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86" activeTab="6"/>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state="hidden"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Budgets!$A$3:$AD$473</definedName>
    <definedName name="Query_from_RPTSERVER" localSheetId="2" hidden="1">ckAwd!$A$1:$AX$96</definedName>
    <definedName name="Query_from_RPTSERVER" localSheetId="1" hidden="1">ckCoding!$A$1:$BL$96</definedName>
    <definedName name="Query_from_RPTSERVER" localSheetId="7" hidden="1">ckSplits!$A$1:$AH$2</definedName>
    <definedName name="Query_from_RPTSERVER" localSheetId="4" hidden="1">PRCs!$A$2:$B$13</definedName>
    <definedName name="Query_from_RPTSERVER" localSheetId="8" hidden="1">ProjText!$B$1:$P$514</definedName>
    <definedName name="Query_from_RPTSERVER" localSheetId="5" hidden="1">RAData!$A$1:$EC$79</definedName>
    <definedName name="Query_from_RPTSERVER_1" localSheetId="4" hidden="1">PRCs!$D$2:$E$5</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71027" concurrentCalc="0"/>
  <pivotCaches>
    <pivotCache cacheId="700" r:id="rId11"/>
    <pivotCache cacheId="718"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AT2" i="10"/>
  <c r="AT3" i="10"/>
  <c r="AT4" i="10"/>
  <c r="AT5" i="10"/>
  <c r="AT6" i="10"/>
  <c r="AT7" i="10"/>
  <c r="AT8" i="10"/>
  <c r="AT9" i="10"/>
  <c r="AT10" i="10"/>
  <c r="AT11" i="10"/>
  <c r="AT12" i="10"/>
  <c r="AT13" i="10"/>
  <c r="AT14" i="10"/>
  <c r="AT15" i="10"/>
  <c r="AT16" i="10"/>
  <c r="AT17" i="10"/>
  <c r="AT18" i="10"/>
  <c r="AT19" i="10"/>
  <c r="AT20" i="10"/>
  <c r="AT21" i="10"/>
  <c r="AT22" i="10"/>
  <c r="AT23" i="10"/>
  <c r="AT24" i="10"/>
  <c r="AT25" i="10"/>
  <c r="AT26" i="10"/>
  <c r="AT27" i="10"/>
  <c r="AT28" i="10"/>
  <c r="AT29" i="10"/>
  <c r="AT30" i="10"/>
  <c r="AT31" i="10"/>
  <c r="AT32" i="10"/>
  <c r="AT33" i="10"/>
  <c r="AT34" i="10"/>
  <c r="AT35" i="10"/>
  <c r="AT36" i="10"/>
  <c r="AT37" i="10"/>
  <c r="AT38" i="10"/>
  <c r="AT39" i="10"/>
  <c r="AT40" i="10"/>
  <c r="AT41" i="10"/>
  <c r="AT42" i="10"/>
  <c r="AT43" i="10"/>
  <c r="AT44" i="10"/>
  <c r="AT45" i="10"/>
  <c r="AT46" i="10"/>
  <c r="AT47" i="10"/>
  <c r="AT48" i="10"/>
  <c r="AT49" i="10"/>
  <c r="AT50" i="10"/>
  <c r="AT51" i="10"/>
  <c r="AT52" i="10"/>
  <c r="AT53" i="10"/>
  <c r="AT54" i="10"/>
  <c r="AT55" i="10"/>
  <c r="AT56" i="10"/>
  <c r="AT57" i="10"/>
  <c r="AT58" i="10"/>
  <c r="AT59" i="10"/>
  <c r="AT60" i="10"/>
  <c r="AT61" i="10"/>
  <c r="AT62" i="10"/>
  <c r="AT63" i="10"/>
  <c r="AT64" i="10"/>
  <c r="AT65" i="10"/>
  <c r="AT66" i="10"/>
  <c r="AT67" i="10"/>
  <c r="AT68" i="10"/>
  <c r="AT69" i="10"/>
  <c r="AT70" i="10"/>
  <c r="AT71" i="10"/>
  <c r="AT72" i="10"/>
  <c r="AT73" i="10"/>
  <c r="AT74" i="10"/>
  <c r="AT75" i="10"/>
  <c r="AT76" i="10"/>
  <c r="AT77" i="10"/>
  <c r="AT78" i="10"/>
  <c r="AT79" i="10"/>
  <c r="AT80" i="10"/>
  <c r="AT81" i="10"/>
  <c r="AT82" i="10"/>
  <c r="AT83" i="10"/>
  <c r="AT84" i="10"/>
  <c r="AT85" i="10"/>
  <c r="AT86" i="10"/>
  <c r="AT87" i="10"/>
  <c r="AT88" i="10"/>
  <c r="AT89" i="10"/>
  <c r="AT90" i="10"/>
  <c r="AT91" i="10"/>
  <c r="AT92" i="10"/>
  <c r="AT93" i="10"/>
  <c r="AT94" i="10"/>
  <c r="AT95" i="10"/>
  <c r="AT96"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AW60" i="10"/>
  <c r="AW61" i="10"/>
  <c r="AW62" i="10"/>
  <c r="AW63" i="10"/>
  <c r="AW64" i="10"/>
  <c r="AW65" i="10"/>
  <c r="AW66" i="10"/>
  <c r="AW67" i="10"/>
  <c r="AW68" i="10"/>
  <c r="AW69" i="10"/>
  <c r="AW70" i="10"/>
  <c r="AW71" i="10"/>
  <c r="AW72" i="10"/>
  <c r="AW73" i="10"/>
  <c r="AW74" i="10"/>
  <c r="AW75" i="10"/>
  <c r="AW76" i="10"/>
  <c r="AW77" i="10"/>
  <c r="AW78" i="10"/>
  <c r="AW79" i="10"/>
  <c r="AW80" i="10"/>
  <c r="AW81" i="10"/>
  <c r="AW82" i="10"/>
  <c r="AW83" i="10"/>
  <c r="AW84" i="10"/>
  <c r="AW85" i="10"/>
  <c r="AW86" i="10"/>
  <c r="AW87" i="10"/>
  <c r="AW88" i="10"/>
  <c r="AW89" i="10"/>
  <c r="AW90" i="10"/>
  <c r="AW91" i="10"/>
  <c r="AW92" i="10"/>
  <c r="AW93" i="10"/>
  <c r="AW94" i="10"/>
  <c r="AW95" i="10"/>
  <c r="AW96"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L410" i="13"/>
  <c r="L411" i="13"/>
  <c r="L412" i="13"/>
  <c r="L413" i="13"/>
  <c r="L414" i="13"/>
  <c r="L415" i="13"/>
  <c r="L416" i="13"/>
  <c r="L417" i="13"/>
  <c r="L418" i="13"/>
  <c r="L419" i="13"/>
  <c r="L420" i="13"/>
  <c r="L421" i="13"/>
  <c r="L422" i="13"/>
  <c r="L423" i="13"/>
  <c r="L424" i="13"/>
  <c r="L425" i="13"/>
  <c r="L426" i="13"/>
  <c r="L427" i="13"/>
  <c r="L428" i="13"/>
  <c r="L429" i="13"/>
  <c r="L430" i="13"/>
  <c r="L431" i="13"/>
  <c r="L432" i="13"/>
  <c r="L433" i="13"/>
  <c r="L434" i="13"/>
  <c r="L435" i="13"/>
  <c r="L436" i="13"/>
  <c r="L437" i="13"/>
  <c r="L438" i="13"/>
  <c r="L439" i="13"/>
  <c r="L440" i="13"/>
  <c r="L441" i="13"/>
  <c r="L442" i="13"/>
  <c r="L443" i="13"/>
  <c r="L444" i="13"/>
  <c r="L445" i="13"/>
  <c r="L446" i="13"/>
  <c r="L447" i="13"/>
  <c r="L448" i="13"/>
  <c r="L449" i="13"/>
  <c r="L450" i="13"/>
  <c r="L451" i="13"/>
  <c r="L452" i="13"/>
  <c r="L453" i="13"/>
  <c r="L454" i="13"/>
  <c r="L455" i="13"/>
  <c r="L456" i="13"/>
  <c r="L457" i="13"/>
  <c r="L458" i="13"/>
  <c r="L459" i="13"/>
  <c r="L460" i="13"/>
  <c r="L461" i="13"/>
  <c r="L462" i="13"/>
  <c r="L463" i="13"/>
  <c r="L464" i="13"/>
  <c r="L465" i="13"/>
  <c r="L466" i="13"/>
  <c r="L467" i="13"/>
  <c r="L468" i="13"/>
  <c r="L469" i="13"/>
  <c r="L470" i="13"/>
  <c r="L471" i="13"/>
  <c r="L472" i="13"/>
  <c r="L473"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O294" i="13"/>
  <c r="O295" i="13"/>
  <c r="O296" i="13"/>
  <c r="O297" i="13"/>
  <c r="O298" i="13"/>
  <c r="O299" i="13"/>
  <c r="O300" i="13"/>
  <c r="O301" i="13"/>
  <c r="O302" i="13"/>
  <c r="O303" i="13"/>
  <c r="O304" i="13"/>
  <c r="O305" i="13"/>
  <c r="O306" i="13"/>
  <c r="O307" i="13"/>
  <c r="O308" i="13"/>
  <c r="O309" i="13"/>
  <c r="O310" i="13"/>
  <c r="O311" i="13"/>
  <c r="O312" i="13"/>
  <c r="O313" i="13"/>
  <c r="O314" i="13"/>
  <c r="O315" i="13"/>
  <c r="O316" i="13"/>
  <c r="O317" i="13"/>
  <c r="O318" i="13"/>
  <c r="O319" i="13"/>
  <c r="O320" i="13"/>
  <c r="O321" i="13"/>
  <c r="O322" i="13"/>
  <c r="O323" i="13"/>
  <c r="O324" i="13"/>
  <c r="O325" i="13"/>
  <c r="O326" i="13"/>
  <c r="O327" i="13"/>
  <c r="O328" i="13"/>
  <c r="O329" i="13"/>
  <c r="O330" i="13"/>
  <c r="O331" i="13"/>
  <c r="O332" i="13"/>
  <c r="O333" i="13"/>
  <c r="O334" i="13"/>
  <c r="O335" i="13"/>
  <c r="O336" i="13"/>
  <c r="O337" i="13"/>
  <c r="O338" i="13"/>
  <c r="O339" i="13"/>
  <c r="O340" i="13"/>
  <c r="O341" i="13"/>
  <c r="O342" i="13"/>
  <c r="O343" i="13"/>
  <c r="O344" i="13"/>
  <c r="O345" i="13"/>
  <c r="O346" i="13"/>
  <c r="O347" i="13"/>
  <c r="O348" i="13"/>
  <c r="O349" i="13"/>
  <c r="O350" i="13"/>
  <c r="O351" i="13"/>
  <c r="O352" i="13"/>
  <c r="O353" i="13"/>
  <c r="O354" i="13"/>
  <c r="O355" i="13"/>
  <c r="O356" i="13"/>
  <c r="O357" i="13"/>
  <c r="O358" i="13"/>
  <c r="O359" i="13"/>
  <c r="O360" i="13"/>
  <c r="O361" i="13"/>
  <c r="O362" i="13"/>
  <c r="O363" i="13"/>
  <c r="O364" i="13"/>
  <c r="O365" i="13"/>
  <c r="O366" i="13"/>
  <c r="O367" i="13"/>
  <c r="O368" i="13"/>
  <c r="O369" i="13"/>
  <c r="O370" i="13"/>
  <c r="O371" i="13"/>
  <c r="O372" i="13"/>
  <c r="O373" i="13"/>
  <c r="O374" i="13"/>
  <c r="O375" i="13"/>
  <c r="O376" i="13"/>
  <c r="O377" i="13"/>
  <c r="O378" i="13"/>
  <c r="O379" i="13"/>
  <c r="O380" i="13"/>
  <c r="O381" i="13"/>
  <c r="O382" i="13"/>
  <c r="O383" i="13"/>
  <c r="O384" i="13"/>
  <c r="O385" i="13"/>
  <c r="O386" i="13"/>
  <c r="O387" i="13"/>
  <c r="O388" i="13"/>
  <c r="O389" i="13"/>
  <c r="O390" i="13"/>
  <c r="O391" i="13"/>
  <c r="O392" i="13"/>
  <c r="O393" i="13"/>
  <c r="O394" i="13"/>
  <c r="O395" i="13"/>
  <c r="O396" i="13"/>
  <c r="O397" i="13"/>
  <c r="O398" i="13"/>
  <c r="O399" i="13"/>
  <c r="O400" i="13"/>
  <c r="O401" i="13"/>
  <c r="O402" i="13"/>
  <c r="O403" i="13"/>
  <c r="O404" i="13"/>
  <c r="O405" i="13"/>
  <c r="O406" i="13"/>
  <c r="O407" i="13"/>
  <c r="O408" i="13"/>
  <c r="O409" i="13"/>
  <c r="O410" i="13"/>
  <c r="O411" i="13"/>
  <c r="O412" i="13"/>
  <c r="O413" i="13"/>
  <c r="O414" i="13"/>
  <c r="O415" i="13"/>
  <c r="O416" i="13"/>
  <c r="O417" i="13"/>
  <c r="O418" i="13"/>
  <c r="O419" i="13"/>
  <c r="O420" i="13"/>
  <c r="O421" i="13"/>
  <c r="O422" i="13"/>
  <c r="O423" i="13"/>
  <c r="O424" i="13"/>
  <c r="O425" i="13"/>
  <c r="O426" i="13"/>
  <c r="O427" i="13"/>
  <c r="O428" i="13"/>
  <c r="O429" i="13"/>
  <c r="O430" i="13"/>
  <c r="O431" i="13"/>
  <c r="O432" i="13"/>
  <c r="O433" i="13"/>
  <c r="O434" i="13"/>
  <c r="O435" i="13"/>
  <c r="O436" i="13"/>
  <c r="O437" i="13"/>
  <c r="O438" i="13"/>
  <c r="O439" i="13"/>
  <c r="O440" i="13"/>
  <c r="O441" i="13"/>
  <c r="O442" i="13"/>
  <c r="O443" i="13"/>
  <c r="O444" i="13"/>
  <c r="O445" i="13"/>
  <c r="O446" i="13"/>
  <c r="O447" i="13"/>
  <c r="O448" i="13"/>
  <c r="O449" i="13"/>
  <c r="O450" i="13"/>
  <c r="O451" i="13"/>
  <c r="O452" i="13"/>
  <c r="O453" i="13"/>
  <c r="O454" i="13"/>
  <c r="O455" i="13"/>
  <c r="O456" i="13"/>
  <c r="O457" i="13"/>
  <c r="O458" i="13"/>
  <c r="O459" i="13"/>
  <c r="O460" i="13"/>
  <c r="O461" i="13"/>
  <c r="O462" i="13"/>
  <c r="O463" i="13"/>
  <c r="O464" i="13"/>
  <c r="O465" i="13"/>
  <c r="O466" i="13"/>
  <c r="O467" i="13"/>
  <c r="O468" i="13"/>
  <c r="O469" i="13"/>
  <c r="O470" i="13"/>
  <c r="O471" i="13"/>
  <c r="O472" i="13"/>
  <c r="O473"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6"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R78" i="2"/>
  <c r="R56" i="2"/>
  <c r="R62" i="2"/>
  <c r="R63" i="2"/>
  <c r="R17" i="2"/>
  <c r="R3" i="2"/>
  <c r="R39" i="2"/>
  <c r="R31" i="2"/>
  <c r="R32" i="2"/>
  <c r="R28" i="2"/>
  <c r="R22" i="2"/>
  <c r="R64" i="2"/>
  <c r="R33" i="2"/>
  <c r="R65" i="2"/>
  <c r="R71" i="2"/>
  <c r="R79" i="2"/>
  <c r="R66" i="2"/>
  <c r="R26" i="2"/>
  <c r="R18" i="2"/>
  <c r="R67" i="2"/>
  <c r="R4" i="2"/>
  <c r="R57" i="2"/>
  <c r="R34" i="2"/>
  <c r="R23" i="2"/>
  <c r="R68" i="2"/>
  <c r="R5" i="2"/>
  <c r="R11" i="2"/>
  <c r="R58" i="2"/>
  <c r="R12" i="2"/>
  <c r="R35" i="2"/>
  <c r="R6" i="2"/>
  <c r="R77" i="2"/>
  <c r="R29" i="2"/>
  <c r="R69" i="2"/>
  <c r="R59" i="2"/>
  <c r="R60" i="2"/>
  <c r="R42" i="2"/>
  <c r="R40" i="2"/>
  <c r="R41" i="2"/>
  <c r="R61" i="2"/>
  <c r="R38" i="2"/>
  <c r="R70" i="2"/>
  <c r="R7" i="2"/>
  <c r="R44" i="2"/>
  <c r="R72" i="2"/>
  <c r="R24" i="2"/>
  <c r="R13" i="2"/>
  <c r="R47" i="2"/>
  <c r="R43" i="2"/>
  <c r="R8" i="2"/>
  <c r="R15" i="2"/>
  <c r="R16" i="2"/>
  <c r="R73" i="2"/>
  <c r="R45" i="2"/>
  <c r="R9" i="2"/>
  <c r="R46" i="2"/>
  <c r="R74" i="2"/>
  <c r="R19" i="2"/>
  <c r="R75" i="2"/>
  <c r="R20" i="2"/>
  <c r="R30" i="2"/>
  <c r="R48" i="2"/>
  <c r="R27" i="2"/>
  <c r="R14" i="2"/>
  <c r="R21" i="2"/>
  <c r="R49" i="2"/>
  <c r="R50" i="2"/>
  <c r="R51" i="2"/>
  <c r="R52" i="2"/>
  <c r="R53" i="2"/>
  <c r="R54" i="2"/>
  <c r="R36" i="2"/>
  <c r="R37" i="2"/>
  <c r="R10" i="2"/>
  <c r="R25" i="2"/>
  <c r="R55" i="2"/>
  <c r="R76" i="2"/>
  <c r="R2" i="2"/>
  <c r="U78" i="2"/>
  <c r="U56" i="2"/>
  <c r="U62" i="2"/>
  <c r="U63" i="2"/>
  <c r="U17" i="2"/>
  <c r="U3" i="2"/>
  <c r="U39" i="2"/>
  <c r="U31" i="2"/>
  <c r="U32" i="2"/>
  <c r="U28" i="2"/>
  <c r="U22" i="2"/>
  <c r="U64" i="2"/>
  <c r="U33" i="2"/>
  <c r="U65" i="2"/>
  <c r="U71" i="2"/>
  <c r="U79" i="2"/>
  <c r="U66" i="2"/>
  <c r="U26" i="2"/>
  <c r="U18" i="2"/>
  <c r="U67" i="2"/>
  <c r="U4" i="2"/>
  <c r="U57" i="2"/>
  <c r="U34" i="2"/>
  <c r="U23" i="2"/>
  <c r="U68" i="2"/>
  <c r="U5" i="2"/>
  <c r="U11" i="2"/>
  <c r="U58" i="2"/>
  <c r="U12" i="2"/>
  <c r="U35" i="2"/>
  <c r="U6" i="2"/>
  <c r="U77" i="2"/>
  <c r="U29" i="2"/>
  <c r="U69" i="2"/>
  <c r="U59" i="2"/>
  <c r="U60" i="2"/>
  <c r="U42" i="2"/>
  <c r="U40" i="2"/>
  <c r="U41" i="2"/>
  <c r="U61" i="2"/>
  <c r="U38" i="2"/>
  <c r="U70" i="2"/>
  <c r="U7" i="2"/>
  <c r="U44" i="2"/>
  <c r="U72" i="2"/>
  <c r="U24" i="2"/>
  <c r="U13" i="2"/>
  <c r="U47" i="2"/>
  <c r="U43" i="2"/>
  <c r="U8" i="2"/>
  <c r="U15" i="2"/>
  <c r="U16" i="2"/>
  <c r="U73" i="2"/>
  <c r="U45" i="2"/>
  <c r="U9" i="2"/>
  <c r="U46" i="2"/>
  <c r="U74" i="2"/>
  <c r="U19" i="2"/>
  <c r="U75" i="2"/>
  <c r="U20" i="2"/>
  <c r="U30" i="2"/>
  <c r="U48" i="2"/>
  <c r="U27" i="2"/>
  <c r="U14" i="2"/>
  <c r="U21" i="2"/>
  <c r="U49" i="2"/>
  <c r="U50" i="2"/>
  <c r="U51" i="2"/>
  <c r="U52" i="2"/>
  <c r="U53" i="2"/>
  <c r="U54" i="2"/>
  <c r="U36" i="2"/>
  <c r="U37" i="2"/>
  <c r="U10" i="2"/>
  <c r="U25" i="2"/>
  <c r="U55" i="2"/>
  <c r="U76" i="2"/>
  <c r="U2" i="2"/>
  <c r="V78" i="2"/>
  <c r="V56" i="2"/>
  <c r="V62" i="2"/>
  <c r="V63" i="2"/>
  <c r="V17" i="2"/>
  <c r="V3" i="2"/>
  <c r="V39" i="2"/>
  <c r="V31" i="2"/>
  <c r="V32" i="2"/>
  <c r="V28" i="2"/>
  <c r="V22" i="2"/>
  <c r="V64" i="2"/>
  <c r="V33" i="2"/>
  <c r="V65" i="2"/>
  <c r="V71" i="2"/>
  <c r="V79" i="2"/>
  <c r="V66" i="2"/>
  <c r="V26" i="2"/>
  <c r="V18" i="2"/>
  <c r="V67" i="2"/>
  <c r="V4" i="2"/>
  <c r="V57" i="2"/>
  <c r="V34" i="2"/>
  <c r="V23" i="2"/>
  <c r="V68" i="2"/>
  <c r="V5" i="2"/>
  <c r="V11" i="2"/>
  <c r="V58" i="2"/>
  <c r="V12" i="2"/>
  <c r="V35" i="2"/>
  <c r="V6" i="2"/>
  <c r="V77" i="2"/>
  <c r="V29" i="2"/>
  <c r="V69" i="2"/>
  <c r="V59" i="2"/>
  <c r="V60" i="2"/>
  <c r="V42" i="2"/>
  <c r="V40" i="2"/>
  <c r="V41" i="2"/>
  <c r="V61" i="2"/>
  <c r="V38" i="2"/>
  <c r="V70" i="2"/>
  <c r="V7" i="2"/>
  <c r="V44" i="2"/>
  <c r="V72" i="2"/>
  <c r="V24" i="2"/>
  <c r="V13" i="2"/>
  <c r="V47" i="2"/>
  <c r="V43" i="2"/>
  <c r="V8" i="2"/>
  <c r="V15" i="2"/>
  <c r="V16" i="2"/>
  <c r="V73" i="2"/>
  <c r="V45" i="2"/>
  <c r="V9" i="2"/>
  <c r="V46" i="2"/>
  <c r="V74" i="2"/>
  <c r="V19" i="2"/>
  <c r="V75" i="2"/>
  <c r="V20" i="2"/>
  <c r="V30" i="2"/>
  <c r="V48" i="2"/>
  <c r="V27" i="2"/>
  <c r="V14" i="2"/>
  <c r="V21" i="2"/>
  <c r="V49" i="2"/>
  <c r="V50" i="2"/>
  <c r="V51" i="2"/>
  <c r="V52" i="2"/>
  <c r="V53" i="2"/>
  <c r="V54" i="2"/>
  <c r="V36" i="2"/>
  <c r="V37" i="2"/>
  <c r="V10" i="2"/>
  <c r="V25" i="2"/>
  <c r="V55" i="2"/>
  <c r="V76" i="2"/>
  <c r="V2" i="2"/>
  <c r="W78" i="2"/>
  <c r="W56" i="2"/>
  <c r="W62" i="2"/>
  <c r="W63" i="2"/>
  <c r="W17" i="2"/>
  <c r="W3" i="2"/>
  <c r="W39" i="2"/>
  <c r="W31" i="2"/>
  <c r="W32" i="2"/>
  <c r="W28" i="2"/>
  <c r="W22" i="2"/>
  <c r="W64" i="2"/>
  <c r="W33" i="2"/>
  <c r="W65" i="2"/>
  <c r="W71" i="2"/>
  <c r="W79" i="2"/>
  <c r="W66" i="2"/>
  <c r="W26" i="2"/>
  <c r="W18" i="2"/>
  <c r="W67" i="2"/>
  <c r="W4" i="2"/>
  <c r="W57" i="2"/>
  <c r="W34" i="2"/>
  <c r="W23" i="2"/>
  <c r="W68" i="2"/>
  <c r="W5" i="2"/>
  <c r="W11" i="2"/>
  <c r="W58" i="2"/>
  <c r="W12" i="2"/>
  <c r="W35" i="2"/>
  <c r="W6" i="2"/>
  <c r="W77" i="2"/>
  <c r="W29" i="2"/>
  <c r="W69" i="2"/>
  <c r="W59" i="2"/>
  <c r="W60" i="2"/>
  <c r="W42" i="2"/>
  <c r="W40" i="2"/>
  <c r="W41" i="2"/>
  <c r="W61" i="2"/>
  <c r="W38" i="2"/>
  <c r="W70" i="2"/>
  <c r="W7" i="2"/>
  <c r="W44" i="2"/>
  <c r="W72" i="2"/>
  <c r="W24" i="2"/>
  <c r="W13" i="2"/>
  <c r="W47" i="2"/>
  <c r="W43" i="2"/>
  <c r="W8" i="2"/>
  <c r="W15" i="2"/>
  <c r="W16" i="2"/>
  <c r="W73" i="2"/>
  <c r="W45" i="2"/>
  <c r="W9" i="2"/>
  <c r="W46" i="2"/>
  <c r="W74" i="2"/>
  <c r="W19" i="2"/>
  <c r="W75" i="2"/>
  <c r="W20" i="2"/>
  <c r="W30" i="2"/>
  <c r="W48" i="2"/>
  <c r="W27" i="2"/>
  <c r="W14" i="2"/>
  <c r="W21" i="2"/>
  <c r="W49" i="2"/>
  <c r="W50" i="2"/>
  <c r="W51" i="2"/>
  <c r="W52" i="2"/>
  <c r="W53" i="2"/>
  <c r="W54" i="2"/>
  <c r="W36" i="2"/>
  <c r="W37" i="2"/>
  <c r="W10" i="2"/>
  <c r="W25" i="2"/>
  <c r="W55" i="2"/>
  <c r="W76" i="2"/>
  <c r="W2" i="2"/>
  <c r="X78" i="2"/>
  <c r="X56" i="2"/>
  <c r="X62" i="2"/>
  <c r="X63" i="2"/>
  <c r="X17" i="2"/>
  <c r="X3" i="2"/>
  <c r="X39" i="2"/>
  <c r="X31" i="2"/>
  <c r="X32" i="2"/>
  <c r="X28" i="2"/>
  <c r="X22" i="2"/>
  <c r="X64" i="2"/>
  <c r="X33" i="2"/>
  <c r="X65" i="2"/>
  <c r="X71" i="2"/>
  <c r="X79" i="2"/>
  <c r="X66" i="2"/>
  <c r="X26" i="2"/>
  <c r="X18" i="2"/>
  <c r="X67" i="2"/>
  <c r="X4" i="2"/>
  <c r="X57" i="2"/>
  <c r="X34" i="2"/>
  <c r="X23" i="2"/>
  <c r="X68" i="2"/>
  <c r="X5" i="2"/>
  <c r="X11" i="2"/>
  <c r="X58" i="2"/>
  <c r="X12" i="2"/>
  <c r="X35" i="2"/>
  <c r="X6" i="2"/>
  <c r="X77" i="2"/>
  <c r="X29" i="2"/>
  <c r="X69" i="2"/>
  <c r="X59" i="2"/>
  <c r="X60" i="2"/>
  <c r="X42" i="2"/>
  <c r="X40" i="2"/>
  <c r="X41" i="2"/>
  <c r="X61" i="2"/>
  <c r="X38" i="2"/>
  <c r="X70" i="2"/>
  <c r="X7" i="2"/>
  <c r="X44" i="2"/>
  <c r="X72" i="2"/>
  <c r="X24" i="2"/>
  <c r="X13" i="2"/>
  <c r="X47" i="2"/>
  <c r="X43" i="2"/>
  <c r="X8" i="2"/>
  <c r="X15" i="2"/>
  <c r="X16" i="2"/>
  <c r="X73" i="2"/>
  <c r="X45" i="2"/>
  <c r="X9" i="2"/>
  <c r="X46" i="2"/>
  <c r="X74" i="2"/>
  <c r="X19" i="2"/>
  <c r="X75" i="2"/>
  <c r="X20" i="2"/>
  <c r="X30" i="2"/>
  <c r="X48" i="2"/>
  <c r="X27" i="2"/>
  <c r="X14" i="2"/>
  <c r="X21" i="2"/>
  <c r="X49" i="2"/>
  <c r="X50" i="2"/>
  <c r="X51" i="2"/>
  <c r="X52" i="2"/>
  <c r="X53" i="2"/>
  <c r="X54" i="2"/>
  <c r="X36" i="2"/>
  <c r="X37" i="2"/>
  <c r="X10" i="2"/>
  <c r="X25" i="2"/>
  <c r="X55" i="2"/>
  <c r="X76" i="2"/>
  <c r="X2" i="2"/>
  <c r="Y78" i="2"/>
  <c r="Y56" i="2"/>
  <c r="Y62" i="2"/>
  <c r="Y63" i="2"/>
  <c r="Y17" i="2"/>
  <c r="Y3" i="2"/>
  <c r="Y39" i="2"/>
  <c r="Y31" i="2"/>
  <c r="Y32" i="2"/>
  <c r="Y28" i="2"/>
  <c r="Y22" i="2"/>
  <c r="Y64" i="2"/>
  <c r="Y33" i="2"/>
  <c r="Y65" i="2"/>
  <c r="Y71" i="2"/>
  <c r="Y79" i="2"/>
  <c r="Y66" i="2"/>
  <c r="Y26" i="2"/>
  <c r="Y18" i="2"/>
  <c r="Y67" i="2"/>
  <c r="Y4" i="2"/>
  <c r="Y57" i="2"/>
  <c r="Y34" i="2"/>
  <c r="Y23" i="2"/>
  <c r="Y68" i="2"/>
  <c r="Y5" i="2"/>
  <c r="Y11" i="2"/>
  <c r="Y58" i="2"/>
  <c r="Y12" i="2"/>
  <c r="Y35" i="2"/>
  <c r="Y6" i="2"/>
  <c r="Y77" i="2"/>
  <c r="Y29" i="2"/>
  <c r="Y69" i="2"/>
  <c r="Y59" i="2"/>
  <c r="Y60" i="2"/>
  <c r="Y42" i="2"/>
  <c r="Y40" i="2"/>
  <c r="Y41" i="2"/>
  <c r="Y61" i="2"/>
  <c r="Y38" i="2"/>
  <c r="Y70" i="2"/>
  <c r="Y7" i="2"/>
  <c r="Y44" i="2"/>
  <c r="Y72" i="2"/>
  <c r="Y24" i="2"/>
  <c r="Y13" i="2"/>
  <c r="Y47" i="2"/>
  <c r="Y43" i="2"/>
  <c r="Y8" i="2"/>
  <c r="Y15" i="2"/>
  <c r="Y16" i="2"/>
  <c r="Y73" i="2"/>
  <c r="Y45" i="2"/>
  <c r="Y9" i="2"/>
  <c r="Y46" i="2"/>
  <c r="Y74" i="2"/>
  <c r="Y19" i="2"/>
  <c r="Y75" i="2"/>
  <c r="Y20" i="2"/>
  <c r="Y30" i="2"/>
  <c r="Y48" i="2"/>
  <c r="Y27" i="2"/>
  <c r="Y14" i="2"/>
  <c r="Y21" i="2"/>
  <c r="Y49" i="2"/>
  <c r="Y50" i="2"/>
  <c r="Y51" i="2"/>
  <c r="Y52" i="2"/>
  <c r="Y53" i="2"/>
  <c r="Y54" i="2"/>
  <c r="Y36" i="2"/>
  <c r="Y37" i="2"/>
  <c r="Y10" i="2"/>
  <c r="Y25" i="2"/>
  <c r="Y55" i="2"/>
  <c r="Y76" i="2"/>
  <c r="Y2" i="2"/>
  <c r="AE78" i="2"/>
  <c r="AE56" i="2"/>
  <c r="AE62" i="2"/>
  <c r="AE63" i="2"/>
  <c r="AE17" i="2"/>
  <c r="AE3" i="2"/>
  <c r="AE39" i="2"/>
  <c r="AE31" i="2"/>
  <c r="AE32" i="2"/>
  <c r="AE28" i="2"/>
  <c r="AE22" i="2"/>
  <c r="AE64" i="2"/>
  <c r="AE33" i="2"/>
  <c r="AE65" i="2"/>
  <c r="AE71" i="2"/>
  <c r="AE79" i="2"/>
  <c r="AE66" i="2"/>
  <c r="AE26" i="2"/>
  <c r="AE18" i="2"/>
  <c r="AE67" i="2"/>
  <c r="AE4" i="2"/>
  <c r="AE57" i="2"/>
  <c r="AE34" i="2"/>
  <c r="AE23" i="2"/>
  <c r="AE68" i="2"/>
  <c r="AE5" i="2"/>
  <c r="AE11" i="2"/>
  <c r="AE58" i="2"/>
  <c r="AE12" i="2"/>
  <c r="AE35" i="2"/>
  <c r="AE6" i="2"/>
  <c r="AE77" i="2"/>
  <c r="AE29" i="2"/>
  <c r="AE69" i="2"/>
  <c r="AE59" i="2"/>
  <c r="AE60" i="2"/>
  <c r="AE42" i="2"/>
  <c r="AE40" i="2"/>
  <c r="AE41" i="2"/>
  <c r="AE61" i="2"/>
  <c r="AE38" i="2"/>
  <c r="AE70" i="2"/>
  <c r="AE7" i="2"/>
  <c r="AE44" i="2"/>
  <c r="AE72" i="2"/>
  <c r="AE24" i="2"/>
  <c r="AE13" i="2"/>
  <c r="AE47" i="2"/>
  <c r="AE43" i="2"/>
  <c r="AE8" i="2"/>
  <c r="AE15" i="2"/>
  <c r="AE16" i="2"/>
  <c r="AE73" i="2"/>
  <c r="AE45" i="2"/>
  <c r="AE9" i="2"/>
  <c r="AE46" i="2"/>
  <c r="AE74" i="2"/>
  <c r="AE19" i="2"/>
  <c r="AE75" i="2"/>
  <c r="AE20" i="2"/>
  <c r="AE30" i="2"/>
  <c r="AE48" i="2"/>
  <c r="AE27" i="2"/>
  <c r="AE14" i="2"/>
  <c r="AE21" i="2"/>
  <c r="AE49" i="2"/>
  <c r="AE50" i="2"/>
  <c r="AE51" i="2"/>
  <c r="AE52" i="2"/>
  <c r="AE53" i="2"/>
  <c r="AE54" i="2"/>
  <c r="AE36" i="2"/>
  <c r="AE37" i="2"/>
  <c r="AE10" i="2"/>
  <c r="AE25" i="2"/>
  <c r="AE55" i="2"/>
  <c r="AE76" i="2"/>
  <c r="AE2" i="2"/>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P2" i="3"/>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R2" i="3"/>
  <c r="AR3" i="3"/>
  <c r="AR4" i="3"/>
  <c r="AR5" i="3"/>
  <c r="AR6" i="3"/>
  <c r="AR7" i="3"/>
  <c r="AR8" i="3"/>
  <c r="AR9" i="3"/>
  <c r="AR10" i="3"/>
  <c r="AR11" i="3"/>
  <c r="AR12" i="3"/>
  <c r="AR13" i="3"/>
  <c r="AR14" i="3"/>
  <c r="AR15" i="3"/>
  <c r="AR16" i="3"/>
  <c r="AR17" i="3"/>
  <c r="AR18" i="3"/>
  <c r="AR19" i="3"/>
  <c r="AR20" i="3"/>
  <c r="AR21" i="3"/>
  <c r="AR22" i="3"/>
  <c r="AR23" i="3"/>
  <c r="AR24" i="3"/>
  <c r="AR25" i="3"/>
  <c r="AR26" i="3"/>
  <c r="AR27" i="3"/>
  <c r="AR28" i="3"/>
  <c r="AR29" i="3"/>
  <c r="AR30" i="3"/>
  <c r="AR31" i="3"/>
  <c r="AR32" i="3"/>
  <c r="AR33" i="3"/>
  <c r="AR34" i="3"/>
  <c r="AR35" i="3"/>
  <c r="AR36" i="3"/>
  <c r="AR37" i="3"/>
  <c r="AR38" i="3"/>
  <c r="AR39" i="3"/>
  <c r="AR40" i="3"/>
  <c r="AR41" i="3"/>
  <c r="AR42" i="3"/>
  <c r="AR43" i="3"/>
  <c r="AR44" i="3"/>
  <c r="AR45" i="3"/>
  <c r="AR46" i="3"/>
  <c r="AR47" i="3"/>
  <c r="AR48" i="3"/>
  <c r="AR49" i="3"/>
  <c r="AR50" i="3"/>
  <c r="AR51" i="3"/>
  <c r="AR52" i="3"/>
  <c r="AR53" i="3"/>
  <c r="AR54" i="3"/>
  <c r="AR55" i="3"/>
  <c r="AR56" i="3"/>
  <c r="AR57" i="3"/>
  <c r="AR58" i="3"/>
  <c r="AR59" i="3"/>
  <c r="AR60" i="3"/>
  <c r="AR61" i="3"/>
  <c r="AR62" i="3"/>
  <c r="AR63"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U2" i="3"/>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AU76" i="3"/>
  <c r="AU77" i="3"/>
  <c r="AU78" i="3"/>
  <c r="AU79" i="3"/>
  <c r="AU80" i="3"/>
  <c r="AU81" i="3"/>
  <c r="AU82" i="3"/>
  <c r="AU83" i="3"/>
  <c r="AU84" i="3"/>
  <c r="AU85" i="3"/>
  <c r="AU86" i="3"/>
  <c r="AU87" i="3"/>
  <c r="AU88" i="3"/>
  <c r="AU89" i="3"/>
  <c r="AU90" i="3"/>
  <c r="AU91" i="3"/>
  <c r="AU92" i="3"/>
  <c r="AU93" i="3"/>
  <c r="AU94" i="3"/>
  <c r="AU95" i="3"/>
  <c r="AU96" i="3"/>
  <c r="P515"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K2" i="13"/>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IN ('p180637','p180207','p180209') )_x000a_ AND (prop.prop_stts_code LIKE '%'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<sst xmlns="http://schemas.openxmlformats.org/spreadsheetml/2006/main" count="19880" uniqueCount="2091">
  <si>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</si>
  <si>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</si>
  <si>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</si>
  <si>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</si>
  <si>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</si>
  <si>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</si>
  <si>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</si>
  <si>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</si>
  <si>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</si>
  <si>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</si>
  <si>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</si>
  <si>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</si>
  <si>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</si>
  <si>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</si>
  <si>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</si>
  <si>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</si>
  <si>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</si>
  <si>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</si>
  <si>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</si>
  <si>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</si>
  <si>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</si>
  <si>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</si>
  <si>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</si>
  <si>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</si>
  <si>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</si>
  <si>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</si>
  <si>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</si>
  <si>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</si>
  <si>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</si>
  <si>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</si>
  <si>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</si>
  <si>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</si>
  <si>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</si>
  <si>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</si>
  <si>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</si>
  <si>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</si>
  <si>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</si>
  <si>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</si>
  <si>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</si>
  <si>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</si>
  <si>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</si>
  <si>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</si>
  <si>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</si>
  <si>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</si>
  <si>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</si>
  <si>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</si>
  <si>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</si>
  <si>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</si>
  <si>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</si>
  <si>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</si>
  <si>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</si>
  <si>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</si>
  <si>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</si>
  <si>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</si>
  <si>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</si>
  <si>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</si>
  <si>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</si>
  <si>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</si>
  <si>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</si>
  <si>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</si>
  <si>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</si>
  <si>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</si>
  <si>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</si>
  <si>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</si>
  <si>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</si>
  <si>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</si>
  <si>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</si>
  <si>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</si>
  <si>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</si>
  <si>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</si>
  <si>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</si>
  <si>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</si>
  <si>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</si>
  <si>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</si>
  <si>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</si>
  <si>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</si>
  <si>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</si>
  <si>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</si>
  <si>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</si>
  <si>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</si>
  <si>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</si>
  <si>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</si>
  <si>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</si>
  <si>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</si>
  <si>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</si>
  <si>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</si>
  <si>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</si>
  <si>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</si>
  <si>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</si>
  <si>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</si>
  <si>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</si>
  <si>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</si>
  <si>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</si>
  <si>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</si>
  <si>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</si>
  <si>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</si>
  <si>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</si>
  <si>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</si>
  <si>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</si>
  <si>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</si>
  <si>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</si>
  <si>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</si>
  <si>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</si>
  <si>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</si>
  <si>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</si>
  <si>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</si>
  <si>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</si>
  <si>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</si>
  <si>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</si>
  <si>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</si>
  <si>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</si>
  <si>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</si>
  <si>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</si>
  <si>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</si>
  <si>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</si>
  <si>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</si>
  <si>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</si>
  <si>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</si>
  <si>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</si>
  <si>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</si>
  <si>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</si>
  <si>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</si>
  <si>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</si>
  <si>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</si>
  <si>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</si>
  <si>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</si>
  <si>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</si>
  <si>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</si>
  <si>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</si>
  <si>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</si>
  <si>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</si>
  <si>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</si>
  <si>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</si>
  <si>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</si>
  <si>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</si>
  <si>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</si>
  <si>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</si>
  <si>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</si>
  <si>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</si>
  <si>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</si>
  <si>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</si>
  <si>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</si>
  <si>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</si>
  <si>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</si>
  <si>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</si>
  <si>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</si>
  <si>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</si>
  <si>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</si>
  <si>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</si>
  <si>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</si>
  <si>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</si>
  <si>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</si>
  <si>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</si>
  <si>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</si>
  <si>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</si>
  <si>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</si>
  <si>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</si>
  <si>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</si>
  <si>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</si>
  <si>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</si>
  <si>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</si>
  <si>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</si>
  <si>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</si>
  <si>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</si>
  <si>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</si>
  <si>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</si>
  <si>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</si>
  <si>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</si>
  <si>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</si>
  <si>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</si>
  <si>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</si>
  <si>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</si>
  <si>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</si>
  <si>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</si>
  <si>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</si>
  <si>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</si>
  <si>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</si>
  <si>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</si>
  <si>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</si>
  <si>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</si>
  <si>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</si>
  <si>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</si>
  <si>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</si>
  <si>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</si>
  <si>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</si>
  <si>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</si>
  <si>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</si>
  <si>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</si>
  <si>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</si>
  <si>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</si>
  <si>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</si>
  <si>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</si>
  <si>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</si>
  <si>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</si>
  <si>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</si>
  <si>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E/V</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</si>
  <si>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</si>
  <si>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</si>
  <si>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</si>
  <si>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</si>
  <si>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</si>
  <si>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</si>
  <si>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</si>
  <si>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</si>
  <si>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</si>
  <si>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</si>
  <si>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</si>
  <si>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</si>
  <si>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</si>
  <si>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</si>
  <si>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</si>
  <si>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</si>
  <si>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</si>
  <si>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</si>
  <si>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</si>
  <si>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</si>
  <si>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</si>
  <si>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</si>
  <si>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</si>
  <si>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</si>
  <si>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</si>
  <si>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</si>
  <si>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</si>
  <si>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</si>
  <si>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</si>
  <si>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</si>
  <si>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</si>
  <si>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</si>
  <si>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</si>
  <si>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</si>
  <si>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CA</t>
  </si>
  <si>
    <t>MA</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</si>
  <si>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</si>
  <si>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</si>
  <si>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</si>
  <si>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</si>
  <si>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</si>
  <si>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</si>
  <si>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</si>
  <si>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</si>
  <si>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</si>
  <si>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</si>
  <si>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</si>
  <si>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</si>
  <si>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</si>
  <si>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</si>
  <si>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</si>
  <si>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</si>
  <si>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</si>
  <si>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</si>
  <si>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</si>
  <si>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</si>
  <si>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</si>
  <si>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</si>
  <si>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</si>
  <si>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</si>
  <si>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</si>
  <si>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</si>
  <si>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</si>
  <si>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</si>
  <si>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</si>
  <si>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</si>
  <si>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</si>
  <si>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</si>
  <si>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</si>
  <si>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</si>
  <si>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</si>
  <si>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</si>
  <si>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</si>
  <si>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</si>
  <si>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</si>
  <si>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</si>
  <si>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</si>
  <si>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</si>
  <si>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</si>
  <si>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</si>
  <si>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</si>
  <si>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</si>
  <si>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</si>
  <si>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</si>
  <si>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</si>
  <si>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</si>
  <si>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</si>
  <si>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</si>
  <si>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</si>
  <si>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</si>
  <si>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</si>
  <si>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</si>
  <si>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</si>
  <si>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</si>
  <si>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</si>
  <si>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</si>
  <si>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</si>
  <si>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</si>
  <si>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</si>
  <si>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</si>
  <si>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</si>
  <si>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</si>
  <si>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</si>
  <si>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</si>
  <si>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</si>
  <si>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</si>
  <si>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</si>
  <si>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</si>
  <si>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</si>
  <si>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</si>
  <si>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IL</t>
  </si>
  <si>
    <t>University of Michigan</t>
  </si>
  <si>
    <t>MI</t>
  </si>
  <si>
    <t>NC</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</si>
  <si>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</si>
  <si>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</si>
  <si>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</si>
  <si>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</si>
  <si>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</si>
  <si>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</si>
  <si>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</si>
  <si>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</si>
  <si>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</si>
  <si>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</si>
  <si>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</si>
  <si>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</si>
  <si>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</si>
  <si>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</si>
  <si>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</si>
  <si>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</si>
  <si>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</si>
  <si>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</si>
  <si>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</si>
  <si>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</si>
  <si>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</si>
  <si>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</si>
  <si>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</si>
  <si>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</si>
  <si>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</si>
  <si>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</si>
  <si>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</si>
  <si>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</si>
  <si>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</si>
  <si>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</si>
  <si>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</si>
  <si>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</si>
  <si>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</si>
  <si>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</si>
  <si>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</si>
  <si>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</si>
  <si>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</si>
  <si>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</si>
  <si>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</si>
  <si>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</si>
  <si>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</si>
  <si>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</si>
  <si>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</si>
  <si>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</si>
  <si>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</si>
  <si>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</si>
  <si>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</si>
  <si>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</si>
  <si>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</si>
  <si>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</si>
  <si>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</si>
  <si>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</si>
  <si>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</si>
  <si>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</si>
  <si>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</si>
  <si>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</si>
  <si>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</si>
  <si>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</si>
  <si>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</si>
  <si>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</si>
  <si>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</si>
  <si>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</si>
  <si>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</si>
  <si>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</si>
  <si>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</si>
  <si>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</si>
  <si>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</si>
  <si>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</si>
  <si>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</si>
  <si>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</si>
  <si>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</si>
  <si>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</si>
  <si>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</si>
  <si>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</si>
  <si>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</si>
  <si>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</si>
  <si>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</si>
  <si>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</si>
  <si>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</si>
  <si>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</si>
  <si>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</si>
  <si>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</si>
  <si>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</si>
  <si>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</si>
  <si>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</si>
  <si>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</si>
  <si>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</si>
  <si>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</si>
  <si>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</si>
  <si>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</si>
  <si>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</si>
  <si>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</si>
  <si>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</si>
  <si>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</si>
  <si>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</si>
  <si>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</si>
  <si>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</si>
  <si>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</si>
  <si>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</si>
  <si>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</si>
  <si>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</si>
  <si>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</si>
  <si>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</si>
  <si>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</si>
  <si>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</si>
  <si>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</si>
  <si>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</si>
  <si>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</si>
  <si>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</si>
  <si>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</si>
  <si>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</si>
  <si>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</si>
  <si>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</si>
  <si>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</si>
  <si>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</si>
  <si>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</si>
  <si>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</si>
  <si>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</si>
  <si>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</si>
  <si>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</si>
  <si>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</si>
  <si>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</si>
  <si>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</si>
  <si>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</si>
  <si>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</si>
  <si>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</si>
  <si>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</si>
  <si>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</si>
  <si>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</si>
  <si>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</si>
  <si>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</si>
  <si>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</si>
  <si>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</si>
  <si>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</si>
  <si>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</si>
  <si>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</si>
  <si>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</si>
  <si>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</si>
  <si>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</si>
  <si>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</si>
  <si>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</si>
  <si>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</si>
  <si>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</si>
  <si>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</si>
  <si>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</si>
  <si>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</si>
  <si>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</si>
  <si>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</si>
  <si>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</si>
  <si>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</si>
  <si>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</si>
  <si>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</si>
  <si>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</si>
  <si>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</si>
  <si>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</si>
  <si>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</si>
  <si>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</si>
  <si>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</si>
  <si>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</si>
  <si>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</si>
  <si>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</si>
  <si>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</si>
  <si>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</si>
  <si>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</si>
  <si>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</si>
  <si>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</si>
  <si>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</si>
  <si>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05010000</t>
  </si>
  <si>
    <t>CCF</t>
  </si>
  <si>
    <t>Division of Computing and Communication Foundations</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</si>
  <si>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</si>
  <si>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</si>
  <si>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</si>
  <si>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</si>
  <si>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</si>
  <si>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</si>
  <si>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</si>
  <si>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</si>
  <si>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Zhang</t>
  </si>
  <si>
    <t>Nguyen</t>
  </si>
  <si>
    <t>MD</t>
  </si>
  <si>
    <t>L</t>
  </si>
  <si>
    <t>MT</t>
  </si>
  <si>
    <t>N</t>
  </si>
  <si>
    <t>IN</t>
  </si>
  <si>
    <t>Purdue University</t>
  </si>
  <si>
    <t>PA</t>
  </si>
  <si>
    <t>Carnegie Mellon University</t>
  </si>
  <si>
    <t>NJ</t>
  </si>
  <si>
    <t>William Marsh Rice Univ</t>
  </si>
  <si>
    <t>U of MD College Park</t>
  </si>
  <si>
    <t>U of Cal Berkeley</t>
  </si>
  <si>
    <t>Northeastern University</t>
  </si>
  <si>
    <t>V,V/G,G,G/F</t>
  </si>
  <si>
    <t xml:space="preserve"> G</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</si>
  <si>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</si>
  <si>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</si>
  <si>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</si>
  <si>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</si>
  <si>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</si>
  <si>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</si>
  <si>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Awd RAt.docm</t>
  </si>
  <si>
    <t>Decline RAt.docm</t>
  </si>
  <si>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</si>
  <si>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</si>
  <si>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</si>
  <si>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</si>
  <si>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</si>
  <si>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</si>
  <si>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7924</t>
  </si>
  <si>
    <t>MEDIUM PROJECT</t>
  </si>
  <si>
    <t>XP0846820</t>
  </si>
  <si>
    <t>Chakrabarti</t>
  </si>
  <si>
    <t>ac@cs.dartmouth.edu</t>
  </si>
  <si>
    <t>NSF 17-571</t>
  </si>
  <si>
    <t>FY18MEDCTX</t>
  </si>
  <si>
    <t>E/V,V,V,F</t>
  </si>
  <si>
    <t>U of Pennsylvania</t>
  </si>
  <si>
    <t>David</t>
  </si>
  <si>
    <t>Computing and Communication Foundations (CCF): Core Programs</t>
  </si>
  <si>
    <t>C:\Users\JSNOEYIN\Desktop\med18</t>
  </si>
  <si>
    <t>V,V/G,G,G</t>
  </si>
  <si>
    <t xml:space="preserve"> V,V/G,G,G</t>
  </si>
  <si>
    <t xml:space="preserve"> PanlSumm</t>
  </si>
  <si>
    <t>5</t>
  </si>
  <si>
    <t>2</t>
  </si>
  <si>
    <t>3</t>
  </si>
  <si>
    <t>1</t>
  </si>
  <si>
    <t>4</t>
  </si>
  <si>
    <t>Competitive</t>
  </si>
  <si>
    <t>C</t>
  </si>
  <si>
    <t>Low Competitive</t>
  </si>
  <si>
    <t>LC</t>
  </si>
  <si>
    <t>Highly Competitive</t>
  </si>
  <si>
    <t>HC</t>
  </si>
  <si>
    <t>7</t>
  </si>
  <si>
    <t>Not Competitive</t>
  </si>
  <si>
    <t>Questionable '?' in abstract</t>
  </si>
  <si>
    <t>Reviews&amp;panel summ released</t>
  </si>
  <si>
    <t>Folder to save RA drafts</t>
  </si>
  <si>
    <t>U of Texas Austin</t>
  </si>
  <si>
    <t>E,E,E/V,E/V</t>
  </si>
  <si>
    <t>Princeton University</t>
  </si>
  <si>
    <t>WI</t>
  </si>
  <si>
    <t>U of Wisconsin Madison</t>
  </si>
  <si>
    <t>UT</t>
  </si>
  <si>
    <t>University of Utah</t>
  </si>
  <si>
    <t>FL</t>
  </si>
  <si>
    <t>U of South Florida</t>
  </si>
  <si>
    <t>Utah State University</t>
  </si>
  <si>
    <t>V/G,G,G/F,F</t>
  </si>
  <si>
    <t>Qiu</t>
  </si>
  <si>
    <t>AZ</t>
  </si>
  <si>
    <t>IA</t>
  </si>
  <si>
    <t>Honavar</t>
  </si>
  <si>
    <t>vhonavar@ist.psu.edu</t>
  </si>
  <si>
    <t>Indiana University</t>
  </si>
  <si>
    <t>E/V,V,V/G,V/G</t>
  </si>
  <si>
    <t xml:space="preserve"> E,E,E/V,E/V</t>
  </si>
  <si>
    <t xml:space="preserve"> V/G,G,G/F,F</t>
  </si>
  <si>
    <t xml:space="preserve"> G,G/F,F</t>
  </si>
  <si>
    <t xml:space="preserve"> V</t>
  </si>
  <si>
    <t xml:space="preserve"> V/G,G,G/F</t>
  </si>
  <si>
    <t xml:space="preserve"> E/V,V,V/G,V/G</t>
  </si>
  <si>
    <t xml:space="preserve">Germany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</si>
  <si>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</si>
  <si>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</si>
  <si>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p180637,p180207,p180209</t>
  </si>
  <si>
    <t>026Y</t>
  </si>
  <si>
    <t>CRII CISE Research Initiation</t>
  </si>
  <si>
    <t>7495</t>
  </si>
  <si>
    <t>ROBUST INTELLIGENCE</t>
  </si>
  <si>
    <t>7796</t>
  </si>
  <si>
    <t>ALGORITHMIC FOUNDATIONS</t>
  </si>
  <si>
    <t>1045</t>
  </si>
  <si>
    <t>CAREER: FACULTY EARLY CAR DEV</t>
  </si>
  <si>
    <t>7926</t>
  </si>
  <si>
    <t>ALGORITHMS</t>
  </si>
  <si>
    <t>7927</t>
  </si>
  <si>
    <t>COMPLEXITY &amp; CRYPTOGRAPHY</t>
  </si>
  <si>
    <t>7929</t>
  </si>
  <si>
    <t>COMPUTATIONAL GEOMETRY</t>
  </si>
  <si>
    <t>7932</t>
  </si>
  <si>
    <t>COMPUT GAME THEORY &amp; ECON</t>
  </si>
  <si>
    <t>7933</t>
  </si>
  <si>
    <t>NUM, SYMBOL, &amp; ALGEBRA COMPUT</t>
  </si>
  <si>
    <t>7934</t>
  </si>
  <si>
    <t>PARAL/DISTRIBUTED ALGORITHMS</t>
  </si>
  <si>
    <t>8228</t>
  </si>
  <si>
    <t>CISE Resrch Initiatn Initiatve</t>
  </si>
  <si>
    <t>9150</t>
  </si>
  <si>
    <t>EXP PROG TO STIM COMP RES</t>
  </si>
  <si>
    <t>1749173</t>
  </si>
  <si>
    <t>Borgwardt</t>
  </si>
  <si>
    <t>JSNOEYI</t>
  </si>
  <si>
    <t>P180207</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</si>
  <si>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</si>
  <si>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</si>
  <si>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</si>
  <si>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ejupd</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</si>
  <si>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Algorithms for Optimal Walks_x000D_
_x000D_
L: 1749173 Borgwardt, Steffen U of Colorado Denver $  470,400_x000D_
_x000D_
_x000D_
P180207 NC AF CAREER/CRII Panel A (14 panelists; 0 decl confl),_x000B_  on 10/24/2017, recommended as Not Competitive (V,F,F,F/P)_x000D_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</si>
  <si>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TKIMBRE</t>
  </si>
  <si>
    <t>XB0890913</t>
  </si>
  <si>
    <t>Ceberio</t>
  </si>
  <si>
    <t>mceberio@utep.edu</t>
  </si>
  <si>
    <t>F/P</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</si>
  <si>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</si>
  <si>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</si>
  <si>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</si>
  <si>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</si>
  <si>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</si>
  <si>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</si>
  <si>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</si>
  <si>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</si>
  <si>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</si>
  <si>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</si>
  <si>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</si>
  <si>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</si>
  <si>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</si>
  <si>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</si>
  <si>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1749385</t>
  </si>
  <si>
    <t>Wang</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</si>
  <si>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</si>
  <si>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</si>
  <si>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Algorithms for Shortest Paths and Related Problems in Computational Geometry_x000D_
_x000D_
L: 1749385 Wang, Haitao Utah State University $  524,898_x000D_
_x000D_
_x000D_
P180207 LC AF CAREER/CRII Panel A (14 panelists),_x000B_  on 10/24/2017, recommended as Low Competitive (E,V,G,G/F)_x000D_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</si>
  <si>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</si>
  <si>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</si>
  <si>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</si>
  <si>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</si>
  <si>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</si>
  <si>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</si>
  <si>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</si>
  <si>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</si>
  <si>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</si>
  <si>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</si>
  <si>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</si>
  <si>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</si>
  <si>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</si>
  <si>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</si>
  <si>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</si>
  <si>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</si>
  <si>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</si>
  <si>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1749414</t>
  </si>
  <si>
    <t>Moseley</t>
  </si>
  <si>
    <t>RSHAH</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</si>
  <si>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</si>
  <si>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Scaling Computation via Massively Distributed Algorithms_x000D_
_x000D_
L: 1749414 Moseley, Benjamin Carnegie Mellon University $  545,000_x000D_
_x000D_
_x000D_
P180207 LC AF CAREER/CRII Panel A (14 panelists; 1 decl confl),_x000B_  on 10/24/2017, recommended as Low Competitive (E,E/V,V,G,G)_x000D_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</si>
  <si>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</si>
  <si>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</si>
  <si>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</si>
  <si>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</si>
  <si>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</si>
  <si>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</si>
  <si>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</si>
  <si>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</si>
  <si>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</si>
  <si>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</si>
  <si>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</si>
  <si>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</si>
  <si>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1749563</t>
  </si>
  <si>
    <t>Del Pia</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</si>
  <si>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</si>
  <si>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</si>
  <si>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</si>
  <si>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</si>
  <si>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</si>
  <si>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</si>
  <si>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1749609</t>
  </si>
  <si>
    <t>Lee</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</si>
  <si>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</si>
  <si>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</si>
  <si>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</si>
  <si>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</si>
  <si>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</si>
  <si>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</si>
  <si>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1749678</t>
  </si>
  <si>
    <t>Im</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</si>
  <si>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</si>
  <si>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</si>
  <si>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</si>
  <si>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</si>
  <si>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</si>
  <si>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</si>
  <si>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</si>
  <si>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</si>
  <si>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</si>
  <si>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</si>
  <si>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</si>
  <si>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</si>
  <si>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</si>
  <si>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</si>
  <si>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</si>
  <si>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1749734</t>
  </si>
  <si>
    <t>Sidford</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</si>
  <si>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</si>
  <si>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</si>
  <si>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</si>
  <si>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</si>
  <si>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</si>
  <si>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</si>
  <si>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</si>
  <si>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</si>
  <si>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1749747</t>
  </si>
  <si>
    <t>Weinstein</t>
  </si>
  <si>
    <t>P180209</t>
  </si>
  <si>
    <t xml:space="preserve"> AF CAREER/CRII Panel B</t>
  </si>
  <si>
    <t xml:space="preserve"> Panel Summary       
 Description: This proposal is focussed on attempting to find techniques to prove new lower bounds on data structure problems. The problems discussed in the proposal are of fundamental importance. Proving lower bounds is extremely challenging in computer science. There are few models where we truly have a full understanding of the complexity of computation. Communication complexity lies on one end of this spectrum (we know a lot about it), general models like circuits lies on the other end (there are many basic open questions). The data structures model seems to lie in between. At the same time, data structure problems are practically relevant._x000D_
_x000D_
_x000D_
Strengths_x000D_
_x000D_
+  There is a lot of space here for interaction with other kinds of research (for example understanding the complexity of computing polynomials)_x000D_
+ The technical part of the proposal with respect to data structure lower bounds is written very well with deep fundamental questions and proposed approaches. _x000D_
+ The problems posed are fundamental and some of the questions even if partly addressed (e.g., breaking the logarithmic barrier for static data structure lower bounds) will be significant theoretically._x000D_
_x000D_
_x000D_
Weaknesses_x000D_
- The second (and smaller) part of the proposal titled ?Information theory in modern distributed systems? is missing discussion of relevant work in distributed computing._x000D_
_x000D_
Broader Impact: _x000D_
_x000D_
Strengths:_x000D_
+ The proposal has a good community outreach component that promotes information theory in computer science and bridging different groups that are interested in the area._x000D_
+ The proposal lays out an interesting outreach program for high school students in New York City. _x000D_
_x000D_
Solicitation-specific criteria: _x000D_
The PI has developed a new course on the boundary of information theory and theoretical computer science bringing together researchers from both areas. The PI has also given several tutorials and survey talks and written survey articles._x000D_
_x000D_
Data Management Plan: adequate_x000D_
_x000D_
Justification for Panel Rating: _x000D_
The proposal would have been rated higher if the last part had more details. The proposal could be more competitive if the PI had a longer track record working on data structures. _x000D_
_x000D_
_x000D_
Panel Rating: _x000D_
_ Highly Competitive_x000D_
X Competitive_x000D_
_ Low Competitive_x000D_
_ Not Competitive_x000D_
The summary was read by/to the panel and the panel concurred that the summary accurately reflects_x000D_
the panel discussion._x000D_
_x000D_
_x000D_
_x000D_
</t>
  </si>
  <si>
    <t>KU0968186</t>
  </si>
  <si>
    <t>Pandurangan</t>
  </si>
  <si>
    <t>GopalPandurangan@gmail.com</t>
  </si>
  <si>
    <t xml:space="preserve">In the context of the five review elements, please _x000D_
evaluate the strengths and weaknesses of the proposal with respect to intellectual merit._x000D_
_x000D_
Summary: This proposal addresses two majors directions using an information-theoretic approach: (1) data structure lower bounds in the cell probe model and (2) algorithms for distributed systems. It addresses fundamental open problems in establishing improved lower bounds  for static and dynamic data structures in the cell-probe model. It also explores connections to circuits and coding theory._x000D_
_x000D_
_x000D_
Strengths:_x000D_
_x000D_
1.	The technical part of the proposal with respect to data structure lower bounds is written very well with deep fundamental questions and proposed approaches._x000D_
_x000D_
2.	The PI has done a significant work in the area with many publications in top conferences. The PI demonstrates in-depth understanding of research in the area of data structure lower bounds  which has been active area of research in the theory community, especially in the last decade or so._x000D_
_x000D_
3.	The problems posed are fundamental and some of the questions even if partly addressed (e.g., breaking the logarithmic barrier for static data structure lower bounds) will be significant theoretically._x000D_
_x000D_
Weaknesses:_x000D_
1.	The main weakness is the second (and smaller) part of the proposal titled 'Information theory in modern distributed systems.'. This part is not well fleshed out and lacks understanding of significant research in distributed computing and literature done in this area. It is too generally titled, whereas the main focus is on a specific topic (asymmetric information for compressing sensing).  The MapReduce part is also not flesh out well with missing related work on connectivity and related problems in distributed computing._x000D_
_x000D_
2.	The proposal is titled too generally, while the bulk of the proposal focuses on lower bounds for data structures. It would be better if just this was the focus of the whole proposal._x000D_
_x000D_
_x000D_
In the context of the five review elements, please _x000D_
evaluate the strengths and weaknesses of the proposal with respect to broader impacts._x000D_
_x000D_
Strengths:_x000D_
1.	It has a good community outreach component that promotes information theory in computer science and bridging different groups that are interested in the area._x000D_
_x000D_
2.	Lays out an interesting outreach program for high school students in New York City._x000D_
_x000D_
Weaknesses:_x000D_
_x000D_
1. The proposal should elaborate on the industrial impact, in particular, on implementing algorithms and software package. Does the PI have prior experience on this?_x000D_
_x000D_
_x000D_
Please evaluate the strengths and _x000D_
weaknesses of the proposal with respect to any additional solicitation-specific review criteria, if _x000D_
applicable_x000D_
_x000D_
The integration of education and research is good._x000D_
_x000D_
Summary Statement_x000D_
_x000D_
This is a strong proposal if just confined to the first part, namely lower bounds for data structures. It poses fundamental open questions with credible approaches. The PI is very well-suited to undertake research in this area with many significant publications in data structure lower bounds. The practical impact is less clear, since in many cases the difficulty is closing at most a logarithmic  factor  gap._x000D_
_x000D_
</t>
  </si>
  <si>
    <t>HP0953471</t>
  </si>
  <si>
    <t>Rao</t>
  </si>
  <si>
    <t>anuprao@cs.washington.edu</t>
  </si>
  <si>
    <t xml:space="preserve">In the context of the five review elements, please _x000D_
evaluate the strengths and weaknesses of the proposal with respect to intellectual merit._x000D_
_x000D_
This proposal is focussed on attempting to find techniques to prove new lower bounds on data structure problems. The problems discussed in the proposal are of fundamental importance. Proving lower bounds has proven to be extremely challenging in computer science. There are few models where we truly have a full  understanding of the complexity of computation. Communication complexity lies on one of this spectrum (we know a lot about it), general models like circuits like on the other end (there are many basic open questions). The data structures model seems to lie in between. At the same time, data structure problems are actually practically relevant._x000D_
_x000D_
As the PI's proposal illustrates, there is a lot of space here for interaction with other kinds of research (for example understanding the complexity of computing polynomials). Overall, I find the goals of the proposal ambitious, but a good target for this PI, who has a proven track record of succeeding on challenging problems in the past._x000D_
_x000D_
In the context of the five review elements, please _x000D_
evaluate the strengths and weaknesses of the proposal with respect to broader impacts._x000D_
_x000D_
The PI details several initiatives related to education that he is involved in and will be involved in. These involve interacting with high school students and broadly helping with STEM education at an early stage._x000D_
_x000D_
Please evaluate the strengths and _x000D_
weaknesses of the proposal with respect to any additional solicitation-specific review criteria, if _x000D_
applicable_x000D_
_x000D_
_x000D_
_x000D_
Summary Statement_x000D_
_x000D_
This proposal deserves to be funded._x000D_
_x000D_
</t>
  </si>
  <si>
    <t>HG0714371</t>
  </si>
  <si>
    <t>Rubinfeld</t>
  </si>
  <si>
    <t>ronitt@csail.mit.edu</t>
  </si>
  <si>
    <t xml:space="preserve">In the context of the five review elements, please _x000D_
evaluate the strengths and weaknesses of the proposal with respect to intellectual merit._x000D_
_x000D_
This proposal concerns the interplay between information, communication and computation, as applied to data structures and distributed computing.  This is an exciting research area with several cool breakthroughs.   The PI has suggested promising avenues for furthering_x000D_
the research, and has contributed several results in these directions._x000D_
_x000D_
The PI also proposes  a study of compressed sensing with asymmetric _x000D_
information for modeling communication in the internet-of-things, though these directions could be more fleshed out in the proposal._x000D_
_x000D_
PI is a promising young researcher._x000D_
_x000D_
In the context of the five review elements, please _x000D_
evaluate the strengths and weaknesses of the proposal with respect to broader impacts._x000D_
_x000D_
The PI will participate in Columbia programs to encourage STEM in K-12.  The PI is developing a new course on Information Theory in TCS, which is a very good contribution to the field._x000D_
_x000D_
Please evaluate the strengths and _x000D_
weaknesses of the proposal with respect to any additional solicitation-specific review criteria, if _x000D_
applicable_x000D_
_x000D_
_x000D_
_x000D_
Summary Statement_x000D_
_x000D_
+ Exciting area with good directions_x000D_
+ PI has good track record_x000D_
+ good broader impacts_x000D_
_x000D_
_x000D_
_x000D_
</t>
  </si>
  <si>
    <t>AS1006560</t>
  </si>
  <si>
    <t>Zuckerman</t>
  </si>
  <si>
    <t>diz@utexas.edu</t>
  </si>
  <si>
    <t xml:space="preserve">In the context of the five review elements, please _x000D_
evaluate the strengths and weaknesses of the proposal with respect to intellectual merit._x000D_
_x000D_
The PI proposes a strong research program of proving lower bounds for data structures in the prominent cell probe model. The PI suggest proving important lower bounds, such as a super constant lower bound on the number of queries required for an explicit static problem using space n^1.01.   The PI has a good track record, having proved lower bounds for the membership problem in the static case when the space is only a small additive amount above the information theoretic minimum, and a query lower bound of roughly log^{1.5} n in the dynamic case for 2D weighted range counting._x000D_
_x000D_
There are also interesting connections with locally decodable codes._x000D_
_x000D_
A weakness is that given the state of the art, breaking the barriers that the PI identifies seems very difficult, so it's not clear a breakthrough is imminent._x000D_
_x000D_
_x000D_
In the context of the five review elements, please _x000D_
evaluate the strengths and weaknesses of the proposal with respect to broader impacts._x000D_
_x000D_
The PI wants to bridge the gap between Electrical Engineering and Computer Science, do educational outreach to underrepresented groups, and have impact in industry._x000D_
_x000D_
Please evaluate the strengths and _x000D_
weaknesses of the proposal with respect to any additional solicitation-specific review criteria, if _x000D_
applicable_x000D_
_x000D_
_x000D_
_x000D_
Summary Statement_x000D_
_x000D_
This is a very good proposal about using information theoretic methods to prove lower bounds._x000D_
_x000D_
</t>
  </si>
  <si>
    <t>1749748</t>
  </si>
  <si>
    <t>Chandrasekaran</t>
  </si>
  <si>
    <t>6</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</si>
  <si>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</si>
  <si>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</si>
  <si>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</si>
  <si>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</si>
  <si>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</si>
  <si>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</si>
  <si>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1749855</t>
  </si>
  <si>
    <t>Orabona</t>
  </si>
  <si>
    <t xml:space="preserve"> Panel Summary       
 INTELLECTUAL MERIT:_x000D_
_x000D_
The goal of this proposal is to provide new algorithms with provable guarantees that depend on less parameters than the current machine learning algorithms. For example, this project aims at removing the need to set learning rates, regularization hyper parameters, and use weight initialization strategies in convex and non-convex optimization based machine learning algorithms._x000D_
_x000D_
+ Strengths_x000D_
-- This is a high risk, high rewards proposal on removing hyper parameters (and their tuning) from machine learning algorithms._x000D_
-- The proposal is very well written._x000D_
-- The proposal has a very exciting vision._x000D_
-- The PI is well qualified  to make progress on the problems he is proposing; he has good preliminary work in these directions._x000D_
_x000D_
- Weaknesses_x000D_
-- While the proposal research is broad and general, the techniques that the PI plans to use are quite specific (e.g. connection to a betting game). It's unclear whether the algorithms and results that are expected from this research are for some special learning scenarios or are going to be quite general (and if they are general, why it's possible to achieve that). The PI can strengthen the proposal by addressing this. _x000D_
-- The  relative ranking compared to the other proposals in the same panel was the only reason for which some of the panelists did not rank this proposal in the Excellent category._x000D_
_x000D_
_x000D_
BROADER IMPACTS:_x000D_
If successful, the research has direct benefits on the practicality of machine learning algorithms in various domains. The proposal provides adequate integration of research and education: course development, student advising/monitoring and outreach to K-12 classrooms (including collaborating with the non-profit company Kioto to create web-based machine learning courses for K-12 schools)._x000D_
_x000D_
+ Strengths_x000D_
The integration of research and teaching was particularly strong. _x000D_
_x000D_
- Weaknesses_x000D_
Some panelists felt that the proposed agenda is quite challenging and thus too risky, which might mitigate its potential broader impact._x000D_
_x000D_
Summary:_x000D_
This is a very strong proposal which has identified a number of interesting and interrelated research questions related to advancing the state of the art in theoretical machine learning via eliminating hyper parameters. The  broader impact and education components are strong as well._x000D_
_x000D_
PANEL RECOMMENDATION: Justification, including key strengths and critical_x000D_
weaknesses._x000D_
__Highly competitive (HC)_x000D_
_X_Competitive (C)_x000D_
__Low Competitive (LC)_x000D_
__Not Competitive (NC)_x000D_
_x000D_
The summary was read by/to the panel and the panel concurred that the summary accurately reflects the panel discussion. 
</t>
  </si>
  <si>
    <t>YC1007331</t>
  </si>
  <si>
    <t>Balcan</t>
  </si>
  <si>
    <t>ninamf@cs.cmu.edu</t>
  </si>
  <si>
    <t xml:space="preserve">In the context of the five review elements, please _x000D_
evaluate the strengths and weaknesses of the proposal with respect to intellectual merit._x000D_
_x000D_
The goal of this proposal is to provide new algorithms and the theoretical understanding to remove some of the hyperparameters present in current machine learning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models._x000D_
_x000D_
_x000D_
The PI has a recent interesting work in this direction a reasonable plan to attach the proposed objectives._x000D_
_x000D_
In the context of the five review elements, please _x000D_
evaluate the strengths and weaknesses of the proposal with respect to broader impacts._x000D_
_x000D_
The educational&amp;broader impact component is nicely laid out: it includes curriculum development, outreach to the growing community of machine learning practitioners via tutorial materials and open-source software on a dedicated website, collaborating with the non-profit company kidOYO to create web-based machine learning courses for K-12 schools._x000D_
_x000D_
_x000D_
Please evaluate the strengths and _x000D_
weaknesses of the proposal with respect to any additional solicitation-specific review criteria, if _x000D_
applicable_x000D_
_x000D_
_x000D_
_x000D_
Summary Statement_x000D_
_x000D_
This is a well written proposal on new algorithms and the theoretical understanding to remove some of the hyperparameters present in current machine learning algorithms. The project has an exciting vision and the PI is well qualified  to make progress on the problems he is proposing; he has good preliminary work in these directions._x000D_
_x000D_
_x000D_
</t>
  </si>
  <si>
    <t>XN0907598</t>
  </si>
  <si>
    <t>Chen</t>
  </si>
  <si>
    <t>yiling@seas.harvard.edu</t>
  </si>
  <si>
    <t xml:space="preserve">In the context of the five review elements, please _x000D_
evaluate the strengths and weaknesses of the proposal with respect to intellectual merit._x000D_
_x000D_
This proposal aims to develop theory for hyperparameter-free machine learning algorithms (or reducing hyperparameters). The proposed research includes three components: (1) Characterize computational complexity of learning algorithms without assuming knowledge on values of hyperparameters. In other words, take into account the computation involved for setting and tuning hyperparameters when considering the complexity of a learning algorithm. (2) Develop hyperparameter-free online optimization for both convex and some non-convex functions. (3) Reduce hyperparameters in deep learning. _x000D_
_x000D_
The research plan for the three components are generally well thought out and built upon the PI's previous research. For (1), the PI plans to first establish a lower bound of optimal computational complexity for learning in RKHS and then design a learning algorithm to match this optimal bound. The PI plans to extend his prior results (a lower bound for stochastic optimization in a particular setting and a hypermarameter-free stochastic approximation procedure) to achieve these. For (2), the PI's prior work has established a connection between parameter-free online convex optimization and a betting game and has used this connection to design parameter-free online learning algorithms. The PI will extend the work to richer settings. For (3), the PI again plans to leverage the aforementioned connection to the betting game to help remove superfluous hyperparameters from deep learning. But why the technique may help deep learning algorithms are somewhat vague to me. _x000D_
_x000D_
The directions of the proposed research are challenging and exciting. Theory for hyperparameter-free machine learning can fundamentally change our understanding of machine learning. The PI has a track record of developing interesting results in the area of the proposed research and is highly qualified for carrying out the proposed research.  _x000D_
_x000D_
One weakness of the proposal is: While the proposal research is broad and general, the techniques that the PI plan to use are quite specific (e.g. connection to a betting game). I didn't figure out from reading the proposal whether, as a result, the algorithms and results that are expected from this research are for some special learning scenarios or are going to be quite general (and if they are general, why it's possible to achieve that)._x000D_
_x000D_
In the context of the five review elements, please _x000D_
evaluate the strengths and weaknesses of the proposal with respect to broader impacts._x000D_
_x000D_
+ If successful, the research has direct benefits on practicality of machine learning algorithms in various domains._x000D_
_x000D_
Please evaluate the strengths and _x000D_
weaknesses of the proposal with respect to any additional solicitation-specific review criteria, if _x000D_
applicable_x000D_
_x000D_
Adequate integration of research and education: course development, student advising/mentoring and outreach to K-12 classrooms._x000D_
_x000D_
Summary Statement_x000D_
_x000D_
A solid, ambitious and well-reasoned proposal._x000D_
_x000D_
</t>
  </si>
  <si>
    <t>WE0867353</t>
  </si>
  <si>
    <t>Drineas</t>
  </si>
  <si>
    <t>drineas@gmail.com</t>
  </si>
  <si>
    <t xml:space="preserve">In the context of the five review elements, please _x000D_
evaluate the strengths and weaknesses of the proposal with respect to intellectual merit._x000D_
_x000D_
The objective of the proposal is to prevent overfitting as in machine learning by tuning the hyperparameters of the algorithm in order to trade-off the simplicity of the model with its performance on the training data. The PI seeks to design hyperparameter-free algorithms in order to achieve a better understanding of the computational complexity of learning. The career goal of the PI is to lay the foundations for hyperparameter-free non-linear and_x000D_
non-convex machine learning algorithms and already has some preliminary results in this direction. _x000D_
_x000D_
The proposal has three research directions, with the third direction being probably the most interesting and timely one. The first two directions focus on characterizing (fully?) the computational complexity of learning without prior knowledge and on doing stochastic optimization without hyperparameters. The third direction aims to reduce the hyperparameters in deep learning. _x000D_
_x000D_
Overall, this is a challenging and worth-while objective. Removing hyperparameters instead of fine-tuning them is an important direction for machine learning in the era of big data. The PI has a significant amount of prior work in this area and has a reasonable plan to attach the proposed objectives. I was not able to follow all the details of the PI's proposed plan, but the research questions are reasonably formulated -- I would have preferred a more detailed discussion of the assumptions under which the PI will actually deliver some of the proposed lower bounds. The proposed work in deep learning is more qualitatively described and was somewhat easier to follow. The end objective is to understand the characteristics of machine learning tasks that guarantee a better performance with deep learning methods with fewer hyperparameters._x000D_
_x000D_
In the context of the five review elements, please _x000D_
evaluate the strengths and weaknesses of the proposal with respect to broader impacts._x000D_
_x000D_
The broader impacts of the proposed research could be significant, if successful. However, the proposed agenda is quite challenging and thus risky. Other broader impacts are relatively standard, except for the collaboration with kidOYO, which is quite interesting. There is a letter of support for kidOYO, but no preliminary work showing how the educational infrastructure that kidOYO builds could benefit from the PI's agenda._x000D_
_x000D_
Please evaluate the strengths and _x000D_
weaknesses of the proposal with respect to any additional solicitation-specific review criteria, if _x000D_
applicable_x000D_
_x000D_
See above discussion._x000D_
_x000D_
Summary Statement_x000D_
_x000D_
A high risk high rewards proposal on removing hyperparameters (and their tuning) from machine learning algorithms. Solid proposal, with a nice vision and good preliminary work. Reasonable educational broader impacts._x000D_
_x000D_
</t>
  </si>
  <si>
    <t>NC1006557</t>
  </si>
  <si>
    <t>Mattei</t>
  </si>
  <si>
    <t>nsmattei@gmail.com</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</si>
  <si>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proposed research is important and an impressive number of key questions are identified towards expanding machine learning algorithms to eliminate dependancy on manually tuned hyperparameters..  It has the potential to impact not only the subfield of Machine Learning but inform advancements across a number of disciplines in computer science.  Focusing on eliminating hyperparameters is an important step and has broad application._x000D_
_x000D_
2. To what extent do the proposed activities suggest and explore creative, original, or potentially transformative concepts?_x000D_
_x000D_
The proposed activities are impressive -- the questions are obviously linked though not in an inter-coupled way and the PI identifies key aspects that need to be addressed. _x000D_
_x000D_
3. Is the plan for carrying out the proposed activities well-reasoned, well-organized, and based on a sound rationale? Does the plan incorporate a mechanism to assess success?_x000D_
_x000D_
This was a very tight proposal in so far as some of the same algorithmic machinery could be applied in may different areas without being codependent.  These aspects can be worked on independently and advances in any of them could be cross-fertilized._x000D_
_x000D_
4. How well qualified is the individual, team, or institution to conduct the proposed activities?_x000D_
_x000D_
He is obviously well qualified and given his experience creating opensource software there is obvious opportunity for significant impact_x000D_
_x000D_
5. Are there adequate resources available to the PI (either at the home institution or through collaborations) to carry out the proposed activities?_x000D_
_x000D_
Yes, there is strong support from both the coordinating institutions and within the department._x000D_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Very strong broader impacts -- the PI has identified several channels for teaching that are non-traditional and have significant opportunity to make an impact on a variety of populations, in addition his commitment to creating new learning modules and outreach to local communities._x000D_
_x000D_
2. To what extent do the proposed activities suggest and explore creative, original, or potentially transformative concepts?_x000D_
_x000D_
The PI has identified gaps where his research area can seamlessly support broader outreach.  The ideas (creating learning modules) are creative and potentially transformative if done well. _x000D_
_x000D_
3. Is the plan for carrying out the proposed activities well-reasoned, well-organized, and based on a sound rationale? Does the plan incorporate a mechanism to assess success?_x000D_
_x000D_
Yes, the plan is solid and there are feedback mechanisms to address success both for releasing software as well as outreach activities._x000D_
_x000D_
4. How well qualified is the individual, team, or institution to conduct the proposed activities?_x000D_
_x000D_
The PI has a track record of open-source software and identified good channels to host and maintain his work._x000D_
_x000D_
5. Are there adequate resources available to the PI (either at the home institution or through collaborations) to carry out the proposed activities?_x000D_
_x000D_
There were sufficient resources allocated to achieve the ambitious broader impacts (i.e., a GA for programming).  The PI seems committed to these broader impacts both with OYO and releasing source code._x000D_
_x000D_
Please evaluate the strengths and _x000D_
weaknesses of the proposal with respect to any additional solicitation-specific review criteria, if _x000D_
applicable_x000D_
_x000D_
_x000D_
_x000D_
Summary Statement_x000D_
_x000D_
An extremely strong proposal which has identified a number of interesting and interrelated research questions related to advancing the state of the art in theoretical machine learning via eliminating hyperparameters.  Outstanding attention to broader impacts and establishing connections to deliver the research to a diverse set of stakeholders._x000D_
_x000D_
_x000D_
</t>
  </si>
  <si>
    <t>Machine Learning has been described as the fuel of the next industrial revolution. Yet, current state-of-the-art machine learning algorithms still heavily rely on having a human in the loop setting hyperparameters to make the algorithms work properly._x000D_
The long-term goal of this project is to change the way machine learning algorithms are designed and analyzed, removing the need for hyperparameters to be tuned, yet retaining optimal theoretical and empirical performance. The overall objective is to lay the foundations for hyperparameter-free non-linear and non-convex machine learning algorithms. _x000D_
The PI's recent results built unexpected connections between optimal sequential investment and machine learning with convex models. This connection allows us, for example, to use hyperparameter-free algorithm from optimal sequential investment to design hyperparameter-free convex learning algorithms. Hence, the central hypothesis is that these connections will lead to hyperparameter-free learning algorithms for non-convex models, in particular for modern Deep Learning architectures._x000D_
_x000D_
The central hypothesis will be tested by pursuing the following inter-related specific aims:_x000D_
- Generalization and computational complexity. The aim is to fully characterize the computational complexity of learning, without assuming knowledge of unknown quantities._x000D_
- Stochastic optimization without hyperparameters. The PI will extend his recent results on hyperparameter-free online convex optimization to take advantage of curvature and smoothness. Moreover, the PI will extend these results to non-convex smooth functions proving convergence to local minima._x000D_
- Reducing hyperparameters in Deep Learning. A natural application of this theory is to deep learning models. For example, the PI aims at designing, analyzing, and implementing full fledged optimization algorithms aimed to be used by deep learning practitioners, rather than proof of concepts on synthetic problems._x000D_
_x000D_
The proposed line of research fundamentally differs from the current practice of trying to patch existing machine learning methods, finding ways to tune the hyperparameters rather than removing them.The proposed research is expected to contribute new algorithms and the theoretical understanding to remove at least some of the hyperparameters present in current machine learning algorithms. This will be done through a theoretical analysis on the role of the hyperparameters and through the design of hyperparameter-free algorithms. For example, this project aims at removing the need to set learning rates, regularization hyperparameters, and use weight initialization strategies in convex and non-convex machine learning algorithms. Hence, the proposed research is expected to shorten the production cycle of machine learning models, allowing the engineers to focus on the models rather than on the training of the models.Machine learning algorithms are at the core of many recent and future developments in Biology, Medicine, Engineering, etc. However, there is still a wide gap between theoretical and applied results. This project brings together these two worlds, for designing better theoretically principled machine learning algorithms. Also, the proposed Education Plan is designed to fill the same gap in the minds of the students. It will involve designing theoretical undergraduate courses on advanced machine learning and curricular materials for graduate courses. Also, the PI plans to outreach to the growing community of machine learning practitioners via tutorial materials and open-source software on a dedicated website. Moreover, to have a broad and direct impact on the local community of Long Island, the PI will collaborate with the non-profit company kidOYO to create web-based machine learning courses for K-12 schools.</t>
  </si>
  <si>
    <t>1749977</t>
  </si>
  <si>
    <t>Solomon</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</si>
  <si>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</si>
  <si>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Structured Optimization for Geometric Problems_x000D_
_x000D_
L: 1749977 Solomon, Justin MIT $  550,000_x000D_
_x000D_
_x000D_
P180207 LC AF CAREER/CRII Panel A (14 panelists; 2 decl confl),_x000B_  on 10/24/2017, recommended as Low Competitive (E,V,V/G,F)_x000D_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</si>
  <si>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</si>
  <si>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</si>
  <si>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</si>
  <si>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</si>
  <si>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</si>
  <si>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1750032</t>
  </si>
  <si>
    <t>Thaler</t>
  </si>
  <si>
    <t xml:space="preserve"> Panel Summary       
 Description: _x000D_
The main goal is to understand the approximate degree and threshold degree of Boolean functions.  The approximate degree is the minimum degree of a real-valued polynomial that is always within 1/3 of the Boolean function on inputs over {0,1}.  This has many applications and is a fundamental measure.  The PI proposes to improve lower bounds on AC0 functions, among other problems.  The PI also proposes work on Verifiable Computing, which amounts to making interactive proofs zero-knowledge and succinct in practical settings.  _x000D_
_x000D_
Intellectual Merit:_x000D_
Strengths_x000D_
  + The PI had a strong FOCS 2017 paper giving an n^{1-a} lower bound on approximate degree for an AC0 function, for any a&gt;0._x000D_
  + Approximate and threshold degree are fundamental and have applications to various lower bounds._x000D_
  + The PI improved previous runtime of prover in Verifiable Computing._x000D_
  + Well written and creative, with ideas to solve the different problems._x000D_
_x000D_
Weaknesses_x000D_
  - Track record somewhat below top-ranked proposals, though still very good._x000D_
_x000D_
Broader Impact:_x000D_
Strengths_x000D_
  + VC software developed by the PI could have significant influence; his previous implementations have been used by multiple security groups._x000D_
  + Has spoken at summer schools, given tutorials, mentored students with disabilities, and plans to continue._x000D_
_x000D_
Weaknesses_x000D_
_x000D_
Suggestions to PI: _x000D_
Keep up the good work. With a longer track record, this could fare even better against the extremely stiff competition._x000D_
_x000D_
Justification for Panel Rating:  This was a strong proposal, earning a "competitive" ranking against stiff competition.  The somewhat lower track record prevented an even higher ranking._x000D_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</si>
  <si>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is about understanding several somewhat related research directions in understanding the complexity of  boolean functions. The first set of questions concerns the degree of representations of boolean functions as polynomials. These are very basic questions related to both mathematics and computer science, and there is a lot of work to be done to improve our understanding of them. The approximate degree has played a crucial role in some lower bounds for other models, most notably in proving lower bounds on the randomized communication complexity of disjointness in the number-on-forehead model._x000D_
_x000D_
Another direction the PI proposes has to do with efficiently verifiable computation. This is an area with many interesting theoretical questions, and the PI has an established record of proving strong results._x000D_
_x000D_
_x000D_
In the context of the five review elements, please _x000D_
evaluate the strengths and weaknesses of the proposal with respect to broader impacts._x000D_
_x000D_
The PI has already made several important contributions in terms of code, and exposition. He has delivered lectures to a wide audience and seems well placed to continue this good work._x000D_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</si>
  <si>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This proposal will study the methodology of use of polynomials to understand complexity theoretic aspects of functions, referred to as "the polynomial method".  The PI plans to apply this method to a broader class of functions, building on previous work.  The PI gives a number of directions with reason to believe that he will make progress.  This work may impact quantum algorithms, circuit complexity and learning theory._x000D_
_x000D_
The second part of the proposal will work on verifiable computing, focusing on interactive proofs that are zero-knowledge and succinct._x000D_
_x000D_
In prior work, the PI has done creative work and has suggested very nice directions._x000D_
_x000D_
In the context of the five review elements, please _x000D_
evaluate the strengths and weaknesses of the proposal with respect to broader impacts._x000D_
_x000D_
The PI is a creator and current contributor of an open source library that is widely used in government/industry._x000D_
_x000D_
The PI has spoken at summer schools, given tutorials and is mentoring students with disabilities._x000D_
_x000D_
The PI is designing a course on streaming, and another on probabilistic proof systems._x000D_
_x000D_
Please evaluate the strengths and _x000D_
weaknesses of the proposal with respect to any additional solicitation-specific review criteria, if _x000D_
applicable_x000D_
_x000D_
_x000D_
_x000D_
Summary Statement_x000D_
_x000D_
+ the research direction is compelling_x000D_
+ the PI has a strong track record_x000D_
+ the broader impacts are impressive_x000D_
_x000D_
</t>
  </si>
  <si>
    <t>HQ0947191</t>
  </si>
  <si>
    <t>Saha</t>
  </si>
  <si>
    <t>barna@cs.umass.edu</t>
  </si>
  <si>
    <t xml:space="preserve">In the context of the five review elements, please _x000D_
evaluate the strengths and weaknesses of the proposal with respect to intellectual merit._x000D_
_x000D_
The proposal proposes to make progress on our understanding of polynomial method which has been extremely influential in theoretical computer science. _x000D_
_x000D_
The first part of the proposal concentrates on approximate degree and threshold degree of functions, use of dual polynomials to establish lower bounds and connection to quantum query complexity. The proposal also identifies various learning algorithms where the method could be useful. The PI also considers communication analog of approximate degree, the UPP communication model, and several important new directions there._x000D_
_x000D_
In the second part, the PI proposes an ambitious project of developing practical verifiable computing protocols, by developing more efficient IP protocols that also have additional nice properties._x000D_
_x000D_
Summary of strength and weakness: The proposal is well-written with clear direction given to solve each problem._x000D_
_x000D_
In the context of the five review elements, please _x000D_
evaluate the strengths and weaknesses of the proposal with respect to broader impacts._x000D_
_x000D_
Broader impact is adequate and PI has an impressive track record in that direction such as developing software._x000D_
_x000D_
Please evaluate the strengths and _x000D_
weaknesses of the proposal with respect to any additional solicitation-specific review criteria, if _x000D_
applicable_x000D_
_x000D_
_x000D_
_x000D_
Summary Statement_x000D_
_x000D_
Overall, I think the questions posed in the proposal are very important and the PI has provided a nice plan on how they can be solved._x000D_
_x000D_
</t>
  </si>
  <si>
    <t xml:space="preserve">In the context of the five review elements, please _x000D_
evaluate the strengths and weaknesses of the proposal with respect to intellectual merit._x000D_
_x000D_
The PI proposes questions about understanding the minimum degree of a polynomial that approximates certain functions, or the even smaller threshold degree.  The PI had a very nice result in FOCS 2017 using dual polynomials to show that there's a function in AC0 with approximate degree at least n^{1-a} for any a&gt;0. He would like to give a linear lower bound for a function in AC0. The PI also wants to apply approximate degree in the study of learning algorithms._x000D_
_x000D_
In addition, the PI proposes to study the UPP model of communication complexity, where the players only have to be correct with probability greater than 1/2.  This is equivalent to the study of sign rank of matrices.   _x000D_
_x000D_
Finally, the PI proposes work on Verifiable Computing: to make interactive proofs zero-knowledge and succinct in practical settings. Whereas the original interactive proofs in the IP=PSPACE required the prover to spend superpolynomial time even for simple problems, the PI has improved later work by others to achieve prover runtime O(s log s) if the problem is solvable by an arithmetic circuit of size s.  This work could be impactful._x000D_
_x000D_
These are all interesting questions. The PI's track record is fairly good, especially recently with two FOCS 2017 papers. The main weakness is that those are his only STOC/FOCS publications, though he has published in other good venues._x000D_
_x000D_
In the context of the five review elements, please _x000D_
evaluate the strengths and weaknesses of the proposal with respect to broader impacts._x000D_
_x000D_
VC software developed by the PI could have significant influence; his previous implementations have been used by multiple security groups._x000D_
_x000D_
Please evaluate the strengths and _x000D_
weaknesses of the proposal with respect to any additional solicitation-specific review criteria, if _x000D_
applicable_x000D_
_x000D_
_x000D_
_x000D_
Summary Statement_x000D_
_x000D_
Nice proposal about understanding function representations by polynomials over the reals. The work on verifiable computing could have practical impact. The PI has a good track record, though maybe slightly below several other PIs._x000D_
_x000D_
</t>
  </si>
  <si>
    <t>Algebraic structure in the form of approximation or exact computation by low-degree polynomials arises frequently in computer science. The study of such structure is called the polynomial method, and it has led to many celebrated results in theoretical computer science over the last 50 years. Still, serious gaps remain in our understanding of its power. This project seeks to improve our understanding of known formulations of the polynomial method, and to develop new formulations to solve major open problems.The first part of this proposal focuses on two basic formulations of the polynomial method, called approximate degree and threshold degree, that have many applications. As one example, quantum computers have the potential to be vastly more efficient (for some problems) than today's classical computers, and approximate degree is one of the most promising tools available for understanding their power, because the approximate degree of a function is a lower bound on its quantum query complexity._x000D_
     Despite their applications, approximate and threshold degree are poorly understood. To address this, the PI has spent several years developing a relatively new technique for proving approximate degree lower bounds, called the method of dual polynomials. Until this past year, the method had been applied only to very special functions, yet recent work of the PI has, for the first time, applied the method to broad classes of functions. As a result, it is now poised to resolve the approximate and threshold degrees of many basic functions. A key goal of the proposed research is to accomplish this. Via established applications, this will profoundly impact the fields of quantum algorithms (where it is likely to imply the optimality of a variety of quantum algorithms), circuit complexity (where it will resolve the complexity of shallow circuits under basic complexity measures), and learning theory (where it will characterize the power of important objects including halfspace learners and deep nets)._x000D_
     While approximate and threshold degree are powerful notions, this proposal also identifies several major open problems in theoretical computer science that they cannot address, and puts forth new polynomial-based notions of structure with the goal of solving these problems._x000D_
_x000D_
The proposal's second part focuses on verifiable computing (VC). VC refers to cryptographic protocols enabling an untrusted prover to provide a guarantee to a verifier that the prover performed a computation correctly. Efficient VC systems would enable a wide variety of applications. For example, entities that offload data processing to the cloud could obtain guarantees that the cloud is operating correctly._x000D_
     Seminal theoretical results showed that VC protocols can solve much more challenging problems than can traditional (NP) proofs, and the last six years have seen major progress in building VC systems verging on practicality. The PI played a founding role in these efforts, producing the first implementation of a general-purpose VC system (concurrently with one other work), and he continues to play a leading role in the area. The PI's current work targets a specific approach to VC systems, namely interactive proofs (IPs), because IPs generally have lower costs than competing approaches. But IPs lack two key properties, called zero-knowledge and succinctness, and this has limited their applicability. The goal of the proposed research is to overcome the limitations of IPs without sacrificing their advantages. This will yield general-purpose non-interactive zero-knowledge proofs (NIZKs) that are more efficient and apply to a wider variety of applications than current constructions. NIZKs are VC protocols that also protect privacy, and they have many applications in cryptography, such as to emerging blockchain technologies.The proposed research will produce useful software, including a general-purpose toolchain producing efficient NIZKs. The PI has a record of impact via such software dissemination. For example, the PI is a co-creator of an open source library of streaming algorithms that is used widely in industry and government, and his IP implementations have been incorporated into systems built by multiple security research groups. The PI will continue to disseminate research to a broad range of communities via tutorials, summer schools, and written surveys. A major goal of this outreach will be maximizing understanding among researchers and practitioners of the capabilities of the resulting implementations.</t>
  </si>
  <si>
    <t>1750039</t>
  </si>
  <si>
    <t>Solomonik</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</si>
  <si>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</si>
  <si>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Scalable algorithms for tensor networks_x000D_
_x000D_
L: 1750039 Solomonik, Edgar U of Ill Urbana-Champaign $  524,117_x000D_
_x000D_
_x000D_
P180207 LC AF CAREER/CRII Panel A (14 panelists; 2 decl confl),_x000B_  on 10/24/2017, recommended as Low Competitive (G,G,G,F)_x000D_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</si>
  <si>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</si>
  <si>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</si>
  <si>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</si>
  <si>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</si>
  <si>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</si>
  <si>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1750075</t>
  </si>
  <si>
    <t>Razaviyayn</t>
  </si>
  <si>
    <t>18</t>
  </si>
  <si>
    <t xml:space="preserve"> Panel Summary       
 Description: The main objective of this project is to fundamentally improve our understanding of optimization problems that arise in the context of mixture model inference and develop large-scale optimization procedures with theoretical performance guarantees for solving them. There are four high-level research tasks: (i) looking at the maximum-likelihood estimation (MLE) problem for Gaussian mixture models and studying how to avoid local optima when using the expectation-maximization (EM) algorithm; (ii) looking at MLE algorithms and more general optimization techniques and showing their convergence to local optima; (iii) creating better algorithms for the transcriptome sequencing problem in computational biology; and (iv) improving out-of-sample performance by using an approximate estimator for cross-validation instead of computing the exact cross-validation function._x000D_
_x000D_
Intellectual Merit:_x000D_
_x000D_
Strengths_x000D_
  + The PI has preliminary work in the area of the proposal (especially for the second task)._x000D_
  + The proposal is well organized and the PI has identified a number of interesting questions that are non-overlapping but are addressable in parallel._x000D_
_x000D_
Weaknesses_x000D_
  - Much of the proposed research (especially Tasks 1, 3, and 4) consists of making changes to existing techniques and then using numerical experiments to understand their behavior. It was not obvious how this proposal could result in novel theoretical results and contributions._x000D_
  - It was unclear how much the proposed mixture models deviate from just assuming that the underlying data can be nicely clustered; especially for task 3, the PI seems to directly assume clustering of the underlying data._x000D_
  - Some panelists noted that the proposed research plan might not be ambitious enough for a CAREER proposal; either a stronger theoretical component or a more solid evaluation component should be included in the proposal. _x000D_
  - Some panelists noted that the proposed application to computational biology is a weakness, since this part of the research plan was poorly developed and the PI has no prior work in this domain._x000D_
_x000D_
Broader Impact:_x000D_
_x000D_
Strengths_x000D_
  + The proposed educational plan was above average, including outreach to high schools. The PI seems to already have performed such outreach activities._x000D_
  + The PI has secured a collaboration letter from an industrial partner for his work on analyzing transcriptome data._x000D_
_x000D_
Weaknesses_x000D_
  - Some panelists noted that even if successful, this proposal will have limited impact in the machine learning and data mining communities._x000D_
_x000D_
Solicitation-specific criteria: The panel concurred that the integration of research and education was adequate._x000D_
_x000D_
Data Management Plan: _x000D_
_x000D_
The data management plan was deemed adequate by the panel._x000D_
_x000D_
Suggestions to PI: The panelists suggested that the PI should consider explaining in more detail the novelty of the proposed work as well as possible approaches and new theoretical insights that may emerge. The discussion of the broader impact of the proposed work in machine learning and data mining should also be improved._x000D_
_x000D_
Justification for Panel Rating: A well-written proposal with above average broader impact, at least from an educational perspective. However, there were many concerns regarding the intellectual merit (especially in terms of novel theoretical contributions) of the proposed work._x000D_
_x000D_
Panel Rating:_x000D_
_ Highly Competitive_x000D_
_ Competitive_x000D_
_ Low Competitive_x000D_
X Not Competitive_x000D_
_x000D_
The summary was read by/to the panel and the panel concurred that the summary accurately reflects the panel discussion. 
</t>
  </si>
  <si>
    <t>P180211</t>
  </si>
  <si>
    <t xml:space="preserve"> Comp Bio Career Virtual Panel</t>
  </si>
  <si>
    <t xml:space="preserve"> Panel Summary       
 CAREER Panel Summary _x000D_
_x000D_
Objective of the proposed work:_x000D_
_x000D_
This CAREER proposal aims to make contributions to both theory and application of algorithms for mixture models, which are popular tools for describing observations of heterogeneous populations with subpopulation structures. The specific tasks include theoretical exploration of the likelihood landscape of mixture models, design of scalable algorithms for optimization, and applications to sequencing data in computational biology. _x000D_
_x000D_
_x000D_
Overview of reviews:_x000D_
_x000D_
This proposal was reviewed by 4 reviewers in the panel. One reviewer rated the proposal 'Very Good', while the other 3 reviewers were less enthusiastic. The main concern identified by most reviewers was the lack of connection between the first two aims and the last two aims. For example, the proposal does not demonstrate how the activities or results in Aims 1 and 2 relate to or guide those in the latter aims. The simulations in aim 1 show the landscape with respect to the means, while the goal of aim 3 is to estimate the mixture probabilities. Without a strong running thread connecting the aims, it is difficult to appreciate the proposal as a coherent story, rather than loose components put together. Another concern was that the PI does not have track record in computational biology, but the panel did recognize that the PI has a strong background in optimization. _x000D_
_x000D_
_x000D_
_x000D_
Panel Discussion:_x000D_
Intellectual Merit: _x000D_
_x000D_
STRENGTHS:_x000D_
_x000D_
The proposed work will address mixture model inference problems that present significant challenges due to their combinatorial and non-convex nature._x000D_
_x000D_
The PI has a strong record of publication at the interface of optimization and machine learning._x000D_
_x000D_
The application to long read sequencing data is both interesting and challenging. Established collaboration and supporting letter from researchers in PacBio._x000D_
_x000D_
WEAKNESSES:_x000D_
_x000D_
The preliminaries in aim 1 do not show enough information and intuition with respect to how the analysis can be extended to larger K. _x000D_
_x000D_
There is lack of connection between the first two aims and the last two aims, both technicially and conceptually. _x000D_
_x000D_
Except for aim 3, the other aims lack specifics in terms of application, datasets or simulation setting, etc. More specifics can strengthen those aims. _x000D_
_x000D_
Lack of published track record in computational biology._x000D_
_x000D_
Lack of convincing evaluation plan. _x000D_
_x000D_
_x000D_
	_x000D_
Broader Impacts:_x000D_
STRENGTHS:_x000D_
_x000D_
The proposed research and education plans are well integrated. _x000D_
_x000D_
The high-school outreach plan is comprehensive._x000D_
_x000D_
Efficient use of the existing outreach programs offered by the PI's institution. _x000D_
_x000D_
_x000D_
WEAKNESSES:_x000D_
_x000D_
No significant weaknesses identified. _x000D_
_x000D_
_x000D_
_x000D_
CAREER RESPONSIVENESS: _x000D_
- This proposal aims to address important and challenging problems with combinatorial and non-convex nature, and can lead to a career long contributions to research, education and their integrations. _x000D_
- Strong letter from the department chair, including departmental support, alignment of teaching duties and research, as well as mentoring by senior colleagues._x000D_
_x000D_
_x000D_
_x000D_
Panel Recommendation:_x000D_
_x000D_
Low Competitive_x000D_
_x000D_
The panel recommendation was "Low Competitive". The enthusiasm of the panel was dampened by the lack of coherence and coordination among the proposed aims, as well as lack of specific connections between theoretical aims and applications, datasets, or simulations. _x000D_
_x000D_
_x000D_
This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</si>
  <si>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(NC) for proposal with low review scores_x000D_
_x000D_
CAREER: Large Scale Mixture Models: Theory, Algorithms, and Applications in Computational Biology_x000D_
_x000D_
L: 1750075 Razaviyayn, Meisam U of Southern California $  539,673_x000D_
_x000D_
_x000D_
P180209 NC AF CAREER/CRII Panel B (12 panelists),_x000B_  on 11/21/2017, recommended as Not Competitive (G,G,G   ,F)_x000D_
Std competition rank 18 of 29 rated projects: 5 HC, 9 C, 11 LC, 4 NC _x000D_
_x000D_
P180211 LC Comp Bio Career Virtual Panel  (6 panelists),_x000B_  on 11/21/2017, recommended as Low Competitive (V    ,G/F,G/F,G/F)_x000D_
Panel evaluated 5 rated projects: 1 HC, 2 C, 2 LC_x000D_
_x000D_
Ad hoc reviews (1): G, with last on 10/29/2017_x000D_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</si>
  <si>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ZT0899648</t>
  </si>
  <si>
    <t>Anshelevich</t>
  </si>
  <si>
    <t>eanshel@cs.rpi.edu</t>
  </si>
  <si>
    <t xml:space="preserve">In the context of the five review elements, please _x000D_
evaluate the strengths and weaknesses of the proposal with respect to intellectual merit._x000D_
_x000D_
This is a proposal focused on optimization and numerical methods, mostly for problems related to mixture models. There are four high-level research tasks: (1) Looking at the MLE problem for Gaussian mixture models, and studying how to avoid local optima when using the EM algorithm. The PI has preliminary work; it is for small K (the number of Gaussians being mixed) saying that either there are no local optima at all, or it is possible to avoid them with appropriate initialization. (2) Looking at MLE algorithms and more general optimization techniques, and showing their convergence to local optima (3) Creating better algorithms for the transcriptome sequencing problem in computational biology (4) Improving out-of-sample performance by using an approximate estimator for cross-validation instead of computing the exact cross-validation function._x000D_
_x000D_
_x000D_
Strengths:_x000D_
_x000D_
+ For Task 2, the PI has lots of preliminary work on showing when various optimization methods converge, and is likely to make a nice impact._x000D_
_x000D_
+ The applications to computational biology are nice and concrete; it seems likely that this project would result in some well-performing new tools for these problems._x000D_
_x000D_
_x000D_
Weaknesses:_x000D_
_x000D_
- For Task 1, it is really not clear how much insight the proposed work will yield about EM in Gaussian Mixture models. The preliminary work consists essentially of observations about very simple special cases, and it is not clear how these would be generalized (the PI does not really talk about this). The main conjectures are also only for very special cases, and the PI does not really say how they will be proved, except by saying that they seem to hold in numerical experiments._x000D_
_x000D_
- For Task 2, which is the task for which the PI seems especially qualified, very little details are given, or indication how to proceed, or even definitions of the algorithms the PI is analyzing and the issues involved. While this seems like the most promising direction, it is very difficult to tell its importance and feasibility without more detail._x000D_
_x000D_
- For Task 3, it seems that this is not even a mixture model: instead each sample comes from one specific transcript instead of being a combination of them. This is why clustering works. Why is using a mixture model a good idea here? There needs to be a better comparison with existing work, especially since the proposed technique seems to be essentially clustering based on prefixes._x000D_
_x000D_
- Much of the proposed research (especially Tasks 1, 3, and 4) consists of making new (although possibly important) changes to existing techniques, and then using numerical experiments to understand their behavior. It does not seem like this proposal is planning to spend much time in proving theorems about algorithm behavior, or getting further insight into this behavior. Certainly the PI does not talk about how they would do this._x000D_
_x000D_
_x000D_
Suggestions for Improvements: I would suggest focusing on one or two tasks, and really explaining the novelty of the proposed work, the ideas in preliminary work, the possible approaches and comparing with what has been tried, and the new theoretical insights that may result. The other tasks could also be mentioned, but only as an extra possible direction._x000D_
_x000D_
_x000D_
In the context of the five review elements, please _x000D_
evaluate the strengths and weaknesses of the proposal with respect to broader impacts._x000D_
_x000D_
Strengths:_x000D_
_x000D_
+ Course development, mentoring grad students and undergrads (PI has a history of mentoring undergrads)_x000D_
_x000D_
+ High-school outreach (the PI already does this)_x000D_
_x000D_
+ Collaboration with industry in bioinformatics (has collaboration letter)_x000D_
_x000D_
Please evaluate the strengths and _x000D_
weaknesses of the proposal with respect to any additional solicitation-specific review criteria, if _x000D_
applicable_x000D_
_x000D_
_x000D_
_x000D_
Summary Statement_x000D_
_x000D_
A proposal in an important area with nice applications, but not enough details about the proposed research are given, or what new theoretical insights would be likely._x000D_
_x000D_
_x000D_
</t>
  </si>
  <si>
    <t xml:space="preserve">In the context of the five review elements, please _x000D_
evaluate the strengths and weaknesses of the proposal with respect to intellectual merit._x000D_
_x000D_
The main objective of this project is to fundamentally improve our understanding of optimization problems that arise in the context of for mixture model inference and develop large-scale optimization procedures with theoretical performance guarantees for solving them. The PI claims that the proposed tools and algorithms will be more broadly applicable and will cover other non-convex problems._x000D_
_x000D_
The PI is building upon recent work that has shown that many nonconvex optimization problems that arise in machine learning can actually lead to efficient algorithms, contrary to the common view that non-convexity is akin to intractability. Within this domain, the PI seeks to work on optimization problems that arise in finite mixture distributions that are a common statistical model in many scientific disciplines. I am not convinced that the overall proposal is sufficiently ambitious and visionary; the proposal consists of a number of specific tasks that will result in a number of papers but, in total, do not seem to rise to a sufficiently broad CAREER plan. The evaluation plan of the proposed tasks in real data is rather weak and the computational biology tasks that the PI seeks to tackle necessitate background and outreach in computational biology that the PI seems to be lacking (there is one support letter towards that end, but the PI does not seem to have significantly published in biology venues in the past)._x000D_
_x000D_
In the context of the five review elements, please _x000D_
evaluate the strengths and weaknesses of the proposal with respect to broader impacts._x000D_
_x000D_
The broader impact of this proposal is above average, at least from an educational perspective. The PI has a well thought-out plan for outreach to high schools and has already established the necessary connections._x000D_
_x000D_
Please evaluate the strengths and _x000D_
weaknesses of the proposal with respect to any additional solicitation-specific review criteria, if _x000D_
applicable_x000D_
_x000D_
See above discussion._x000D_
_x000D_
Summary Statement_x000D_
_x000D_
An OK proposal from an intellectual merit perspective. An above average proposal with respect to broader impacts in education._x000D_
_x000D_
</t>
  </si>
  <si>
    <t>SH0824834</t>
  </si>
  <si>
    <t>Heber</t>
  </si>
  <si>
    <t>sheber@ncsu.edu</t>
  </si>
  <si>
    <t xml:space="preserve">In the context of the five review elements, please _x000D_
evaluate the strengths and weaknesses of the proposal with respect to intellectual merit._x000D_
_x000D_
The PI's research goals target investigation and algorithm design for large scale mixture model inference target function landscapes, a novel approach to improve out-of-sample performance, and the development of long-read transcriptome sequencing algorithms._x000D_
+ The proposed research aims are creative and original._x000D_
- Except for research task 3 (Pacific Bioscience long read sequence analysis) and a brief section in task 4 no specific application areas, data sets, or collaborations are described. In my opinion, the chance of success of the proposed research could be improved by focusing on specific problems and seeking corresponding collaborations with application scientists. _x000D_
- Evaluation metrics are missing._x000D_
- The research aims are not well-coordinated. It appears that aims 1 and 2 build on each other, while aims 3 and 4 are independent. The proposal states that the proposed aims are parallel tasks. However, working in parallel on four research tasks is quite challenging. The proposal could be improved by a detailed timeline. _x000D_
+ the planned collaboration with Pacific Biosciences is promising; the project could be further strengthened if an additional collaboration with an application scientist in this space is sought._x000D_
+ the PI has a good publication record and has access to sufficient resources for the proposed work._x000D_
+ Data Management Plan and Departmental Support Letter are appropriate._x000D_
_x000D_
In the context of the five review elements, please _x000D_
evaluate the strengths and weaknesses of the proposal with respect to broader impacts._x000D_
_x000D_
The education and outreach thrust includes course development, graduate and undergraduate student mentoring, organization of student reading groups, and outreach to high school students and teachers via the Neighborhood Academic Initiative (NAI) and the Viterbi Adopt-a-School Adopt-a-Teacher (VAST) program. The VAST program focuses on PreK-12 students and teachers, while the NAI program targets under-privileged and immigrant students. The PI plans to integrate his research into these activities._x000D_
_x000D_
Please evaluate the strengths and _x000D_
weaknesses of the proposal with respect to any additional solicitation-specific review criteria, if _x000D_
applicable_x000D_
_x000D_
_x000D_
_x000D_
Summary Statement_x000D_
_x000D_
The proposal lists interesting research goals. However, the proposed tasks are not sufficiently developed and coordinated. In particular, specific areas of application should be identified, and evaluation metrics should be identified. It would also be useful to expand the description of a long-term career plan around the proposed activities. The education and outreach activities are appropriate._x000D_
_x000D_
</t>
  </si>
  <si>
    <t>SK0956952</t>
  </si>
  <si>
    <t xml:space="preserve">In the context of the five review elements, please _x000D_
evaluate the strengths and weaknesses of the proposal with respect to intellectual merit._x000D_
_x000D_
This CAREER proposal aims to advance the theory and practice of algorithms for mixture model inference problems which present significant challenges due to their combinatorial and non-convex nature to develop scalable algorithms with strong theoretical performance guarantees. The resulting algorithms will be applied to problems in machine learning (e.g., optimizing out-of-sample predictive performance and in computational biology (e.g., long-read transcriptome sequencing). Anticipated results include new theoretical understanding of combinatorial and non-convex optimization problems arising in mixture model inference, and practical mixture model inference algorithms for large-scale machine learning and computational biology applications._x000D_
_x000D_
Strengths:_x000D_
Improved understanding of non-convex optimization problems that arise in mixture model inference can have significant impact on the theory and practice of machine learning, as well as a wide range of applications of mixture models, including computational biology. _x000D_
_x000D_
The PI has a strong record of publication at the interface of optimization and machine learning. _x000D_
_x000D_
The proposed research is well-conceived, well-organized, well-motivated, and built on a solid foundation of related work by the PI._x000D_
_x000D_
The approach to generalizing the analysis by relaxing the Gaussian assumption and the observation that the local optima are informative when the number of components in the mixture model exceeds 3 are both insightful and likely to lead to breakthroughs in our understanding of mixture models. _x000D_
_x000D_
Mixture model inference algorithms where in the number of mixture components defined_x000D_
on finite alphabets is large are ubiquitous in computational biology applications such as de_x000D_
novo long-read transcriptome sequencing._x000D_
_x000D_
_x000D_
Any advances in establishing the convergence of successive convex approximations (SCA) method and that of the alternating direction method of multipliers (ADMM) to local optima in the presence of saddle points are important from the standpoint of practical algorithms for large-scale non-convex optimization problems that arise in machine learning and other applications. _x000D_
_x000D_
The proposed approach to computational procedures for direct optimization of out-of-sample performance in statistical learning  (as opposed to the common practice of learning statistical models over a training set; and then adjusting regularizers using cross-validation) offers a fundamentally different and novel approach that if successful, could lead to a paradigm shift in machine learning._x000D_
_x000D_
Weaknesses_x000D_
_x000D_
The only potential  weakness has to do with the lack of detail in some of the theoretical aspects of the proposed work, which is not atypical of theoretical proposals._x000D_
_x000D_
In the context of the five review elements, please _x000D_
evaluate the strengths and weaknesses of the proposal with respect to broader impacts._x000D_
_x000D_
Strengths: _x000D_
_x000D_
The results of the proposed work would directly impact machine learning (using mixture models)  and computational biology (especially transcriptome sequencing), and indirectly benefit non-convex optimization. _x000D_
_x000D_
Broad dissemination of scalable open-source implementations of the  resulting non-convex optimization algorithms would benefit the broader machine learning, optimization, and computational biology communities. _x000D_
_x000D_
The plans for integrating research on non-convex optimization into education and training of students is well-conceived. _x000D_
_x000D_
The PI is especially well-positioned to develop a course on large-scale optimization for data science. Such a course is likely to be well-received by the emerging graduate and undergraduate programs in the Data Sciences. _x000D_
_x000D_
The project will benefit the research-based training of graduate and undergraduate students in an increasingly important area at the interface of optimization and data science._x000D_
_x000D_
The plans for outreach to high school students through USC Neighborhood Academic Initiative (NAI) and Viterbi Adopt-a-School Adopt-a-Teacher (VAST) programs to develop and distribute lesson plans to high school students and teachers are well-conceived._x000D_
_x000D_
The PI's engagement with NAI, along with his past track-record of success in broadening the participation of members of under-represented groups in research  careers in STEM disciplines, bode well for the success of similar efforts by the PI._x000D_
_x000D_
_x000D_
Please evaluate the strengths and _x000D_
weaknesses of the proposal with respect to any additional solicitation-specific review criteria, if _x000D_
applicable_x000D_
_x000D_
This CAREER proposal has all of the key elements of needed to lay the  foundation for a lifetime of contributions to research, education and their integration: Strong preparation for a successful research career in the chosen field; a strong track record of research and publication at the interface of non-convex optimization and machine learning; a well-motivated, well-articulated, innovative and compelling research plan built on a strong foundation of prior work, and with a high likelihood of impact within and beyond the discipline (benefited in part by careful focus on compelling applications in machine learning and computational biology), and credible plans for integrating research and education, including engagement of graduate and undergraduate students in research, and broadening the participation of underrepresented groups in STEM disciplines._x000D_
_x000D_
Summary Statement_x000D_
_x000D_
This is a very strong CAREER proposal, with compelling intellectual merits and a high likelihood of impact within and beyond the discipline (at the interface of optimization and data science). In the opinion of this reviewer, this proposal should have high priority for support._x000D_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</si>
  <si>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interesting questions related to inference and optimization under various mixture models.  The proposal itself is extremely well organized and clear -- doing an exemplary job of showing how the problems that are targeted have clear impact not only on their own domain but across domains.  The research is ambitious but also extremely focused and clear._x000D_
_x000D_
2. To what extent do the proposed activities suggest and explore creative, original, or potentially transformative concepts?_x000D_
_x000D_
The questions that are intended to be addressed are interesting and have the potential to be transformative in a number of application areas including computational biology and gene sequencing.  As the target is general optimization models there are a number of opportunities for impact.  I would have liked to see a bit more discussion of how these results could be applied in other areas or how much generalization could be extracted from the questions that are posed._x000D_
_x000D_
3. Is the plan for carrying out the proposed activities well-reasoned, well-organized, and based on a sound rationale? Does the plan incorporate a mechanism to assess success?_x000D_
_x000D_
The plan is very well organized and the PI has identified a number of interesting questions that are non-overlapping but are addressable in parallel.  This structure makes sure that the PI will not get "stuck" but at the same time several of these streams have interesting applications.  Methods of success include releasing code and publications._x000D_
_x000D_
4. How well qualified is the individual, team, or institution to conduct the proposed activities?_x000D_
_x000D_
The PI has a track record of releasing software (a proposed broader impact) and the research questions are clearly in line with the PIs past expertise._x000D_
_x000D_
5. Are there adequate resources available to the PI (either at the home institution or through collaborations) to carry out the proposed activities?_x000D_
_x000D_
Has the support of his home institution as well as support for the applications in biology through outreach to local companies._x000D_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Overall broader impacts are good -- includes resources for outreach within the local community and under-served populations -- not clear how these activities exactly intersect with the content of the proposal but that is not a major issue.  The research broader impacts are well covered by the outreach with local companies and there is a clear path to impact there._x000D_
_x000D_
2. To what extent do the proposed activities suggest and explore creative, original, or potentially transformative concepts?_x000D_
_x000D_
Outreach to local companies and the targeted nature of the proposal means that there is a high likelihood for broader impact w.r.t. the proposed research directions _x000D_
_x000D_
The course proposed by the PI is interesting and unique._x000D_
_x000D_
3. Is the plan for carrying out the proposed activities well-reasoned, well-organized, and based on a sound rationale? Does the plan incorporate a mechanism to assess success?_x000D_
_x000D_
The plan is well reasoned.  While there is not a clear metric for success the programs that the PI is supporting have a track record of success._x000D_
_x000D_
4. How well qualified is the individual, team, or institution to conduct the proposed activities?_x000D_
_x000D_
In terms of working with industry the PI has a successful track record which will help ensure the success of the proposed broader impacts. However, the PI has some experience in working with high school students but none with high-school teachers so hopefully there are resources through the identified programs to ensure success there._x000D_
_x000D_
5. Are there adequate resources available to the PI (either at the home institution or through collaborations) to carry out the proposed activities?_x000D_
_x000D_
The PI has been in contact with a good number of local companies and outreach organizations to help deliver the proposed impacts.  Funds are allocated to work with teachers and towards broader impacts which is good._x000D_
_x000D_
_x000D_
Please evaluate the strengths and _x000D_
weaknesses of the proposal with respect to any additional solicitation-specific review criteria, if _x000D_
applicable_x000D_
_x000D_
_x000D_
_x000D_
Summary Statement_x000D_
_x000D_
An interesting and strong proposal which will focus on advancing the state of the art in probabilistic mixture models and their applications to computational biology.  An interesting and diverse set of questions is very well specified and opportunities to translate research to impact through coordination with local companies and teaching outreach in local communities is identified._x000D_
_x000D_
_x000D_
</t>
  </si>
  <si>
    <t>MBASU</t>
  </si>
  <si>
    <t>JP0857163</t>
  </si>
  <si>
    <t>Qin</t>
  </si>
  <si>
    <t>zhaohui.qin@emory.edu</t>
  </si>
  <si>
    <t xml:space="preserve">In the context of the five review elements, please _x000D_
evaluate the strengths and weaknesses of the proposal with respect to intellectual merit._x000D_
_x000D_
In this research project,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I doubt the impact would be significant. Despite the fact that Finite Mixture Model is useful in many applications, it is not suitable for the big data scenario the PI wanted to apply it to. Essentially, Finite Mixture Model is ideal for small number of clusters case and when the number of clusters is easy to be decided on. For more complex scenario, infinite mixture model is much more flexible (no need to know the number of clusters a priori) and have been widely adopted and preferred over Finite Mixture Model. I do not understand why the PI never acknowledge this. This reviewer does not believe it is worth considering to apply Finite Mixture Model to any complex real data case unless there is compelling reason to believe what the true "K" should be which is extremely rare. In complex real data scenarios, the number of clusters is often being considered as a "nuisance" parameter. It is not important scientifically and only needed as a required parameter in the statistical model. But in Finite Mixture Model, special effort has to be made to decide on that which is not appealing._x000D_
_x000D_
The PI emphasizes the application on computational biology. But to my disappointment, the computational biology component is very small and weak. Only one application is described and the problem is very specific, even if successful (which I doubt), the impact would be extremely limited.   _x000D_
_x000D_
The computational biology problem is described as "de novo transcriptome sequencing" which seems a misnomer. I think the PI meant "de novo transcriptome assembly" or "de novo transcriptome quantification". There is no evidence to suggest the PI has never conducted any research in computational biology before, and it seems that the PI has limited knowledge in this topic. The problem that the PI is trying to solve is much more complicated than what is described in the proposal. To frame the problem as a 'clustering" problem is over-simplified. The reference cited "[25]" never mentioned "ICE" approach. And I have no idea what it is referring to. _x000D_
_x000D_
The PI has solid training and seems well versed in the optimization field of research and he has been very productive. And the PI has access to great resource at USC. It is noted that the PI has no previous research experience in computational biology. _x000D_
_x000D_
_x000D_
In the context of the five review elements, please _x000D_
evaluate the strengths and weaknesses of the proposal with respect to broader impacts._x000D_
_x000D_
The broad impact of the research to biology and other fiends is not convincing at the present form. The real world application is not well thought out and articulated. There is little evidence that the PI has made effort to really understand the scientific problems in other disciplines.  _x000D_
_x000D_
The PI is committed in education of graduate, undergraduate as well as high school students. The Pi has developed a nice educational plan._x000D_
_x000D_
Please evaluate the strengths and _x000D_
weaknesses of the proposal with respect to any additional solicitation-specific review criteria, if _x000D_
applicable_x000D_
_x000D_
_x000D_
_x000D_
Summary Statement_x000D_
_x000D_
In this application, the PI aims to design efficient algorithms with sound theoretical properties for solving optimization problems arisen from finite mixture model inference. In particular, the PI want to develop methods that can be scaled to optimization problems with large values of clusters, sample size and dimension. Finite mixture model is a classical statistical inference tool in model-based clustering, and widely used across many disciplines. So the proposed research would be useful for the scientific fields. It is evident that the PI is very capable in method development in the optimization field. _x000D_
_x000D_
However, this reviewer has major concern whether the research will have a high impact since there are more powerful methods than finite mixture model for solving problems related to clustering big data. The proposed application to computational biology is a major weakness since the research plan there seems poorly developed. And there is no evidence that the research proposed here will be useful in the broader computational biology field. _x000D_
_x000D_
_x000D_
</t>
  </si>
  <si>
    <t>JE0931898</t>
  </si>
  <si>
    <t>peng.qiu@bme.gatech.edu</t>
  </si>
  <si>
    <t xml:space="preserve">In the context of the five review elements, please _x000D_
evaluate the strengths and weaknesses of the proposal with respect to intellectual merit._x000D_
_x000D_
This project focuses on finite mixture models, which are popular tools to describe observations of heterogeneous populations with subpopulation structures. The proposed research is motivated by the difficulties of parameters optimization in mixture models due to their non-convex and combinatorial nature, as well as the big-data challenge in many disciplines, in particular, sequencing data in genomics applications. _x000D_
_x000D_
Strengths:_x000D_
_x000D_
- The proposed aims in this project attempts to make contributions from both the theoretical perspective and the applications. _x000D_
_x000D_
- Aim 3 describes an interesting application in genomics. Due to the error rate of long read sequencing data, analysis of such data often requires special preprocessing or special modeling considerations. Large mixture models can be useful tools here, but I do have some reservation regarding the example here, which is mentioned in the weaknesses below. _x000D_
_x000D_
- Established collaboration with PacBio, which provide the technology to generate long read sequencing data in Aim 3. _x000D_
_x000D_
- Aim 4 is intriguing, using an approximation of the cross valudation to derive a gradient with respect to tuning parameters, which can guide the efficient tuning of these parameters. Although it does not seem to be applicable to discrete tuning parameters (e.g. number of nodes and layers in deep learning), I think this is a neat contribution, and the PI already showed that this can be applied to regularizatoin parameters. _x000D_
_x000D_
- The PI has strong track record and is well-suited to carry out the proposed research. _x000D_
_x000D_
_x000D_
Weaknesses:_x000D_
_x000D_
- Aim 1 describes the structure of the cost surface of MLE in several special cases of GMM with small number of components, and proposes to investigate cases with larger K. Although these are interesting exercices, this aim seems to be a bit disconnected to the remaining of the proprosal. It is unclear whether any general result can be obtained for large K. _x000D_
_x000D_
- Still related to Aim 1, regarding the observed pattern for K=3 where two of the estimated means are close to each other, is this because of the symmetry in the model, or because of the dimensionality of the data being too low, or something else? I would appreciate some discussions on more insights to the intuituion behind what gives rise to such pattern, rather than just saying we saw it and we clevered bypassed it. _x000D_
_x000D_
- In Aim 3, the result shown in Figure 9 seems too good to be true. Given the estimated transcript accuracy of ICE reported in [25], or more precisely the TOFU pipeline, the ICE/TOFU algorithm already showed excellent performance. The vertical axis in Figure 9 appears to be in log-scale. It is unclear why there is such a huge gap between the proposed method and [25], especially in terms of false positives. This result is probably generated using some simulated data. I wonder what simulation setting made the proposed method behave so much better than [25], and the next question is whether the simulation setting used here reflects what people see in real data. _x000D_
_x000D_
- The example used in Figure 8 is essentially a divisive hierarchical clustering algorithm, where the abundance threshold serves as a stopping criterion. Yes, the abundance quantification at each layer can be performed by mixture models where the number of transcripts (nodes) is fixed. Therefore, the only thing that needs to be estimated are the \rho's. Referring back to GMM, this is a setting where the \mu and \sigma of all the gaussian components are known, and only the mixing probabilities are estimated. However, aim 1 focused on examples of estimating the means. This echos my earlier comment that aim 1 seems to be disconnected from the other aims._x000D_
_x000D_
_x000D_
In the context of the five review elements, please _x000D_
evaluate the strengths and weaknesses of the proposal with respect to broader impacts._x000D_
_x000D_
_x000D_
Strengths: _x000D_
- The education plan includes developments at both graduate and undergraduate level. _x000D_
_x000D_
- The plan on high school outreach is described in details, showing the PI is already spending efforts on this. _x000D_
_x000D_
- The Viterbi VAST and NAI programs provide excellent platforms and support for the PI's outreach plan. _x000D_
_x000D_
_x000D_
_x000D_
Please evaluate the strengths and _x000D_
weaknesses of the proposal with respect to any additional solicitation-specific review criteria, if _x000D_
applicable_x000D_
_x000D_
_x000D_
_x000D_
Summary Statement_x000D_
_x000D_
This project aims to make contributions to both theory/algorithm and applications. Although aim 1 asks interesting questions, it seems to be a bit disconnected. Aims 3 and 4 are the more exciting aims. In the summary page, the Intellectual Merit section mentioned many extremely interesting questions, which raised my interests and expectations of the proposal. However, I felt that the research plan did not really deliver enough answers / conjectures to half of them. The application in genomics is quite focused and thus narrow. It may strengthen the proposal if the PI describe more computational biology applications, and also include briefly descriptions of the biological validation. _x000D_
_x000D_
_x000D_
</t>
  </si>
  <si>
    <t xml:space="preserve">In the context of the five review elements, please _x000D_
evaluate the strengths and weaknesses of the proposal with respect to intellectual merit._x000D_
_x000D_
This proposal is about mixture model inference optimization problems. The author proposes to develop new practically applicable algorithms for such problems. While I found the problems compelling, I did not find much in the proposal to support what kinds of techniques or theoretical insights might lead to improvements. In addition, it was not clear how the proposed research may be connected to other theoretical problems studied in computer science or elsewhere._x000D_
_x000D_
In the context of the five review elements, please _x000D_
evaluate the strengths and weaknesses of the proposal with respect to broader impacts._x000D_
_x000D_
The research questions proposed by the author have many practical applications, and progress on them would be very nice._x000D_
_x000D_
Please evaluate the strengths and _x000D_
weaknesses of the proposal with respect to any additional solicitation-specific review criteria, if _x000D_
applicable_x000D_
_x000D_
_x000D_
_x000D_
Summary Statement_x000D_
_x000D_
The proposed research is of high practical importance, but seems to lack the theoretical depth I would like to see for this program._x000D_
_x000D_
</t>
  </si>
  <si>
    <t>HP0916892</t>
  </si>
  <si>
    <t>Shehu</t>
  </si>
  <si>
    <t>amarda@cs.gmu.edu</t>
  </si>
  <si>
    <t xml:space="preserve">In the context of the five review elements, please _x000D_
evaluate the strengths and weaknesses of the proposal with respect to intellectual merit._x000D_
_x000D_
Strengths:_x000D_
_x000D_
Work on finite mixture models that utilize structure in an optimization landscape is in itself interesting._x000D_
_x000D_
PI Expertise: The PI has a strong background in optimization._x000D_
_x000D_
The PI has adequate resources._x000D_
_x000D_
Weaknesses:_x000D_
_x000D_
The a priori information on K is limiting, and it is not clear how finite mixture models provide an advantage over infinite mixture models._x000D_
_x000D_
The PI has no published track record in computational biology._x000D_
_x000D_
No indication is provided on what theoretically-sound properties will be pursued or demonstrated._x000D_
_x000D_
In the context of the five review elements, please _x000D_
evaluate the strengths and weaknesses of the proposal with respect to broader impacts._x000D_
_x000D_
Strengths:_x000D_
_x000D_
The high-school outreach plan is comprehensive._x000D_
_x000D_
Weaknesses:_x000D_
_x000D_
The project is narrow in scope and can benefit from a tighter connection with computational biology problems. There could possibly be other areas that can benefit from the proposed research, but the PI misses an opportunity in this respect._x000D_
_x000D_
Though preliminary data are related for Task 2, it is unclear whether the proposed activities will make a broader impact in computational biology._x000D_
_x000D_
It is also unclear that the proposed activities will make a more general contribution. For instance, in the context of big data, does the PI expect the same structure in the landscape? The proposal does not generalize from a few shown examples or provide some intuition for why the proposed techniques will be more than a neat but narrow-scope exercise._x000D_
_x000D_
Please evaluate the strengths and _x000D_
weaknesses of the proposal with respect to any additional solicitation-specific review criteria, if _x000D_
applicable_x000D_
_x000D_
_x000D_
_x000D_
Summary Statement_x000D_
_x000D_
This project proposes efficient and theoretically-sound optimization_x000D_
algorithms in finite mixture model inference. The focus is on large_x000D_
and multi-dimensional datasets with many clusters. The formulation_x000D_
under finite mixture models and the under-developed connection with_x000D_
problems of relevance in computational biology raise doubts on the_x000D_
impact of the proposed research activities. The planned educational_x000D_
and outreach activities are very good._x000D_
_x000D_
</t>
  </si>
  <si>
    <t>The ability and flexibility of finite mixture distributions to model the presence of subpopulations within an overall population has made them popular across almost all engineering and scientific disciplines. However, the theory and algorithms for mixture model inference problems are little understood beyond special cases, such as Gaussian mixture models (GMM). Moreover, most of the existing algorithms with theoretical performance guarantees are not scalable to the modern applications of massive size. This is mainly due to the combinatorial and non-convex nature of the underlying optimization problems. This project aims to fundamentally improve our understanding of these optimization problems and develop large-scale optimization procedures with theoretical performance guarantees for solving them. _x000D_
   Despite being motivated by the inference problems in mixture models, the tools and analyses in this project will cover many other non-convex problems as discussed in the proposal.It is expected that the results of the proposed research include:_x000D_
- Answers to fundamental open questions on mixture model inference optimization problems: What are the critical points of a ?typical? objective function? Are all local optimal points globally optimal? Are spurious local optima informative? What is the chance of being trapped in local optima?_x000D_
- Scalable algorithms for computation of ?informative? critical points in non-convex statistical learning problems. These developments will include first order optimization procedures which can escape saddle points of the constrained optimization problems. To date, there is no known algorithm with such favorable property in the optimization community._x000D_
- Efficient computational procedures for direct optimization of out-of-sample performance in statistical learning. To date, the common practice is to learn statistical models over a training set; and then adjust regularizers to achieve optimal out-of-sample performance using cross-validation. This project suggests a fundamentally different framework by optimizing cross-validation functions directly._x000D_
- Development and implementation of publicly available algorithms and software package(s) for long-read transcriptome sequencing problem in computational biology. This problem, which is in fact a mixture model inference problem, is central to biological applications. To date, there is no efficient algorithm/software package with statistical guarantees for this task.The results of this proposal are expected to indirectly affect many scientific disciplines due to the wide-applicability of mixture models and other similar non-convex optimization problems. Moreover, the resulting algorithms and software packages will have direct impact on the transcriptome sequencing and abundance estimation in computational biology. These results, which are developed with close close collaboration with industrial partners, will be available under open source license on GitHub.com._x000D_
The integration of research and education plan in this project includes: development of a new graduate level course, mentoring students, organizing reading groups for students in different departments, and establishing research connections between academia and industry. Central to the educational plan of this proposal is the outreach to high school students through USC Neighborhood Academic Initiative (NAI) and Viterbi Adopt-a-School Adopt-a-Teacher (VAST) programs to develop and distribute lesson plans to high school students and teachers.</t>
  </si>
  <si>
    <t>1750076</t>
  </si>
  <si>
    <t>Schroeder</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</si>
  <si>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</si>
  <si>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NATIONAL SCIENCE FOUNDATION _x000D_
Alexandria, Virginia 22314 _x000D_
Directorate for Computer and Information Science and Engineering (CISE)_x000D_
Division of Computing and Communication Foundations (05010000)_x000D_
ALGORITHMIC FOUNDATIONS (7796)_x000D_
NSF 17-537 Faculty Early Career Development Program_x000D_
Review Analysis: Standard Decline (NC) for proposal with low review scores_x000D_
_x000D_
CAREER: Addressing robustness in numerical simulation of nonlinear elastic solids through optimization integration and improved collision treatments_x000D_
_x000D_
L: 1750076 Schroeder, Craig U of Cal Riverside $  440,331_x000D_
_x000D_
_x000D_
P180207 NC AF CAREER/CRII Panel A (14 panelists; 0 decl confl),_x000B_  on 10/24/2017, recommended as Not Competitive (V,F,F,F)_x000D_
Std competition rank 22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</si>
  <si>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</si>
  <si>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</si>
  <si>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</si>
  <si>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</si>
  <si>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</si>
  <si>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1750118</t>
  </si>
  <si>
    <t>Li</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</si>
  <si>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</si>
  <si>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CCF: Approximate Scheduling Algorithms via Mathematical Relaxations_x000D_
_x000D_
L: 1750118 Li, Shi SUNY Buffalo $  530,842_x000D_
_x000D_
_x000D_
P180207 LC AF CAREER/CRII Panel A (14 panelists; 2 decl confl),_x000B_  on 10/24/2017, recommended as Low Competitive (V,G,G,G/F)_x000D_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</si>
  <si>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</si>
  <si>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</si>
  <si>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</si>
  <si>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</si>
  <si>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</si>
  <si>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1750127</t>
  </si>
  <si>
    <t>Nagarajan</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</si>
  <si>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</si>
  <si>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</si>
  <si>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</si>
  <si>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</si>
  <si>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</si>
  <si>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</si>
  <si>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1750140</t>
  </si>
  <si>
    <t>Panigrahi</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</si>
  <si>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</si>
  <si>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</si>
  <si>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</si>
  <si>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</si>
  <si>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</si>
  <si>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</si>
  <si>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1750302</t>
  </si>
  <si>
    <t>Dinitz</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</si>
  <si>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</si>
  <si>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Optimizing Distances: Compression and Network Design_x000D_
_x000D_
L: 1750302 Dinitz, Michael Johns Hopkins University $  507,459_x000D_
_x000D_
_x000D_
P180207 LC AF CAREER/CRII Panel A (14 panelists; 1 decl confl),_x000B_  on 10/24/2017, recommended as Low Competitive (E/V,V,V/G,V/G)_x000D_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</si>
  <si>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</si>
  <si>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</si>
  <si>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</si>
  <si>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</si>
  <si>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</si>
  <si>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1750333</t>
  </si>
  <si>
    <t>Ene</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</si>
  <si>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</si>
  <si>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</si>
  <si>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</si>
  <si>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</si>
  <si>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</si>
  <si>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1750344</t>
  </si>
  <si>
    <t>Valiant</t>
  </si>
  <si>
    <t>11</t>
  </si>
  <si>
    <t xml:space="preserve"> Panel Summary       
 Description: This proposal is about working with noisy data. There are 3 main lines of problems discussed: learning from compressed data, list-decodable learning, and computation involving humans.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List decodable learning asks if it is possible to return multiple hypothesis out of which at least one is correct such as returning two lines for solving linear regression. _x000D_
PI asks how to discover truth in a crowd-sourcing setting, list decoding truth, emulating multiplicative weight updated method to penalize those who give wrong answer etc._x000D_
_x000D_
_x000D_
Strengths_x000D_
The PI has a track record of outstanding and highly influential results. _x000D_
This project will likely continue that trend._x000D_
The PI does a good job of motivating and presenting various applications. _x000D_
_x000D_
Weaknesses_x000D_
Although the high level goals of the proposal were explained well, it does not contain enough concrete details about the proposed research. It would be a better proposal if it contained concrete models to capture the problems being discussed in the proposal, as well as including more partial attempts and technical barriers to solving the problems._x000D_
The proposal does not explicitly specify the kinds of learning algorithms would be  studied under the compressed data model._x000D_
Past work on streaming algorithms, sketching and crowdsourcing has not been adequately discussed._x000D_
The proposal needs more discussion of techniques used and conjectures or partial attempts for algorithms or lower bounds._x000D_
_x000D_
Broader Impact: _x000D_
+ past work of the PI has had a big influence in other scientific fields _x000D_
_x000D_
_x000D_
Solicitation-specific criteria: _x000D_
The PI has an award-winning track record of teaching. The PI has also innovated greatly on course content and philosophy, in a very interesting and effective way. _x000D_
_x000D_
Data Management Plan: adequate_x000D_
_x000D_
Suggestions to PI: The proposal would be rated higher if it contained concrete models to capture the problems being discussed in the proposal, including partial attempts and technical barriers to solving the problems._x000D_
_x000D_
_x000D_
_x000D_
Justification for Panel Rating: _x000D_
The panel acknowledges that the PI has a strong track record, and is doing important work. The main drawback of the current proposal is a lack of detail about concrete models for the problems discussed, discussion about the technical barriers involved, and partial/failed attempts to solve the problems. _x000D_
_x000D_
_x000D_
Panel Rating: _x000D_
_ Highly Competitive_x000D_
_ Competitive_x000D_
X Low Competitive_x000D_
_ Not Competitive_x000D_
_x000D_
_x000D_
The summary was read by/to the panel and the panel concurred that the summary accurately reflects_x000D_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</si>
  <si>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Sublinear Algorithms on Flaky Data_x000D_
_x000D_
L: 1750344 Valiant, Paul Brown University $  666,111_x000D_
_x000D_
_x000D_
P180209 LC AF CAREER/CRII Panel B (12 panelists),_x000B_  on 11/21/2017, recommended as Low Competitive (V,G,G/F,G/F)_x000D_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</si>
  <si>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deals with so called 'flaky data' and proposes sublinear algorithms, i.e., algorithms that use only a small part of the data to solve various tasks._x000D_
_x000D_
_x000D_
Strengths:_x000D_
_x000D_
1.	The notion of algorithms for flaky data is interesting and seems a relatively new paradigm proposed by the PI. Flaky data are those that are corrupted and algorithms that can handle such data will be very useful in practice as well. It is worthwhile to address the theoretical issues that arise._x000D_
_x000D_
2.	The PI does a good job of motivating and presenting various applications. The proposal reads well._x000D_
_x000D_
3.	The PI has done strong work  publishing in top conferences and is qualified to do this research._x000D_
_x000D_
Weaknesses:_x000D_
_x000D_
1.	The connection between sublinear algorithms and flaky  data is not compelling. Sublinear algorithms have been studied extensively with a clear motivation of using less  time or space (these are not covered here very much). Here doing the same for flaky data seems to make it far more challenging. It seems that these are two different issues and the proposal is not very convincing in promoting this new concept._x000D_
_x000D_
2.	Many of the problems are informally described. It is better to concretely identify key questions and state them rigorously. Many of the preliminary works presented also are quite informal and somewhat vague. _x000D_
_x000D_
_x000D_
In the context of the five review elements, please _x000D_
evaluate the strengths and weaknesses of the proposal with respect to broader impacts._x000D_
_x000D_
_x000D_
_x000D_
Strengths:_x000D_
_x000D_
1.  Algorithms that work on unreliable data has potential for various applications. The project mentions several motivating scenarios._x000D_
_x000D_
2.	The PI has a strong teaching record and proposes to integrate as much as possible his research into both graduate and undergraduate teaching._x000D_
_x000D_
Weaknesses:_x000D_
_x000D_
None,_x000D_
_x000D_
_x000D_
Please evaluate the strengths and _x000D_
weaknesses of the proposal with respect to any additional solicitation-specific review criteria, if _x000D_
applicable_x000D_
_x000D_
The project integrates education and research well._x000D_
_x000D_
Summary Statement_x000D_
_x000D_
This is an interesting, somewhat speculative proposal that targets certain niche data problems where the data might be unreliable or corrupted and the goal is to process the data to answer certain queries  using less data. While the concept is ambitious, the proposal does not concretely identify key mathematical questions to tackle and then propose concinving preliminary work. The teaching component of the proposal is strong._x000D_
_x000D_
</t>
  </si>
  <si>
    <t xml:space="preserve">In the context of the five review elements, please _x000D_
evaluate the strengths and weaknesses of the proposal with respect to intellectual merit._x000D_
_x000D_
This proposal is about working with noisy data. There are 3 main lines of problems discussed: learning from compressed data, list-decodable learning, and computation involving humans. I found the proposal to be well-written, but short on technical details and motivation. I would have liked to see more evidence that the PI has spent time identifying potential avenues of ideas that might lead to solutions to the problems he proposes._x000D_
_x000D_
For the problem of learning from compressed data, where the algorithm itself is compressing data and then learning from it, the problem seems identical to sketching/data structures except that the number of queries is small (or 1 in the case of the example given in the proposal). I found the motivation given for this setting unconvincing. _x000D_
_x000D_
The problem of list-decodable learning seems more interesting to me, and the example of estimating the histogram of means is interesting. I would have liked to see more details about the techniques used and conjectures or partial attempts for algorithms or lower bounds. With human-in-the-loop computation, the model is less clear, and again, the proposal is low on technical details._x000D_
_x000D_
_x000D_
In the context of the five review elements, please _x000D_
evaluate the strengths and weaknesses of the proposal with respect to broader impacts._x000D_
_x000D_
The proposal has a solid plan for impact on education, with a strong past track record of successes._x000D_
_x000D_
Please evaluate the strengths and _x000D_
weaknesses of the proposal with respect to any additional solicitation-specific review criteria, if _x000D_
applicable_x000D_
_x000D_
_x000D_
_x000D_
Summary Statement_x000D_
_x000D_
This proposal considers some interesting and novel problems. The problems should be better justified in terms of their technical merit and potential tractability._x000D_
_x000D_
</t>
  </si>
  <si>
    <t xml:space="preserve">In the context of the five review elements, please _x000D_
evaluate the strengths and weaknesses of the proposal with respect to intellectual merit._x000D_
_x000D_
The PI proposes to work on sublinear algorithms for "flaky data".  _x000D_
The directions have the potential of being important and highly innovative.  A first direction on learning on compressed data deliberately introduces noise (as might happen in differential privacy).  An example of mean estimation is given to motivate a model of what should be required by the algorithm.   Further generalizations to higher dimensions are proposed.   A second direction -- "list decodable learning" is well motivated.  Finally, "human in the loop"_x000D_
computation is considered.  Some of the questions seem similar to bandit problems, and if so, the relationship should be discussed._x000D_
_x000D_
The PI has a track record of outstanding and highly influential results which have had impact well beyond Computer Science. This project will likely continue that trend, though it would be good to give more specific details on the plan of attack._x000D_
_x000D_
In the context of the five review elements, please _x000D_
evaluate the strengths and weaknesses of the proposal with respect to broader impacts._x000D_
_x000D_
The PI has a good track record of teaching (received a very prestigious award).  The PI has also innovated greatly on course content and philosophy, seemingly in a very interesting and effective way._x000D_
_x000D_
_x000D_
_x000D_
Please evaluate the strengths and _x000D_
weaknesses of the proposal with respect to any additional solicitation-specific review criteria, if _x000D_
applicable_x000D_
_x000D_
_x000D_
_x000D_
Summary Statement_x000D_
_x000D_
intellectual merit:_x000D_
+ interesting proposal_x000D_
+ PI has strong track record_x000D_
- questions could be fleshed out more clearly_x000D_
_x000D_
Broader impact:_x000D_
+ innovative teacher in terms of classroom format as well as viewpoint on material (award winning)_x000D_
+ influence in other scientific fields_x000D_
_x000D_
</t>
  </si>
  <si>
    <t xml:space="preserve">In the context of the five review elements, please _x000D_
evaluate the strengths and weaknesses of the proposal with respect to intellectual merit._x000D_
_x000D_
The proposal plans to develop sublinear algorithms for flaky data, specifically learning on compressed data, list decodable learning and handling human error._x000D_
_x000D_
Learning on compressed data alludes to the case where data is compressed by an algorithm designer with the intent of computing some function over the compressed data. The PI illustrates this using the estimation of mean problem, and asks if the technique can be extended to the d-dimensional case. _x000D_
_x000D_
List decodable learning asks if it is possible to return multiple hypothesis out of which at least one is correct such as returning two lines for solving linear regression._x000D_
_x000D_
PI asks how to discover truth in a crowd-sourcing setting, list decoding truth, emulating multiplicative weight updated method to penalize those who give wrong answer etc. _x000D_
_x000D_
Strength and Weakness: The proposal only touches few problems at a very high level without concretely formalizing any problem. For example, what kind of learning algorithms will be studied under compressed data model. Same question applies to other sections._x000D_
_x000D_
There is such a huge literature on streaming algorithms and sketching method, discussion of which is missing. The proposal just briefly talks about count-min sketch. _x000D_
_x000D_
There is also a huge literature on crowdsourcing algorithms and on inferring true answers. It is unclear what new things this proposal is going to bring in the front._x000D_
_x000D_
_x000D_
_x000D_
_x000D_
_x000D_
In the context of the five review elements, please _x000D_
evaluate the strengths and weaknesses of the proposal with respect to broader impacts._x000D_
_x000D_
Broader impact just mentions about PI's qualification as teacher. It would be good to include other impacts that the proposal can bring._x000D_
_x000D_
Please evaluate the strengths and _x000D_
weaknesses of the proposal with respect to any additional solicitation-specific review criteria, if _x000D_
applicable_x000D_
_x000D_
_x000D_
_x000D_
Summary Statement_x000D_
_x000D_
Overall, developing sublinear algorithms over noisy data is important, but the proposal is not structured well, and does not clearly specify the concrete problems that it will tackle._x000D_
_x000D_
</t>
  </si>
  <si>
    <t>The internet contains a vast amount of data, much of it of dubious accuracy, authenticity, impartiality, or integrity. This project aims to adapt the techniques of machine learning and statistics to apply in this newly crucial realm of what we call "flaky data". We adopt the "sublinear algorithms" approach, where we seek algorithms that make decisions in much less time than it would take to process all the relevant data. Sublinear algorithms is a rapidly developing area embracing techniques for quickly "sketching" a synopsis of data that enables broad and nuanced analyses based only on a small approximate sketch of the original data, enabling drastically faster approximate answers to queries about the - potentially very large - original data. Such sketches, however, tend to rely on precise assumptions about the original data that are violated in several ways in the real world. The aim of this project is to draw on the proposer's experience in developing key sublinear statistical estimation algorithms, in order to extend the reach of sublinear algorithms to many practically relevant regimes of unreliable data where no existing algorithms apply.The intellectual merit of the proposed work consists of bringing together several recent lines of algorithmic work to illuminate an area that looks poised to become an interdisciplinary locus of activity. This project aims to create algorithms that are powerful, yet robust. It also aims to develop a toolbox of techniques to get the most use from valuable data. There is enormous potential impact for results in this problem area, as a growing understanding of the settings in which we can robustly compute on unreliable data will shape the next generation of designs for interactive online platforms.First, developing practical algorithms that work despite unreliable data will have a broad impact because unreliable data occurs everywhere on the internet. Both internet companies and internet users would use and benefit from these advances. Second, the project will spark broadly interdisciplinary interest in its developments because the challenges raised touch on so many areas, from the computational fields of machine learning and data science to the areas of mathematics and statistics that underpin the techniques of this project. Finally, this project will have a positive impact on both undergraduate and graduate education, through the proposer's practice of of integrating research ideas into teaching through student projects and presentations, as well as an interactive teaching style that promotes both the development of communication skills and engagement between theory and practice.</t>
  </si>
  <si>
    <t>1750436</t>
  </si>
  <si>
    <t>Mehta</t>
  </si>
  <si>
    <t xml:space="preserve"> Panel Summary       
  Description: _x000D_
This proposal aims to tackle many important and fundamental problems in equilibrium computation. In particular, the PI will investigate complexity classes PPAD, CLS and PLS, which are for total search problems. Some of the key questions proposed include what the hardness of constant approximation for computing Nash equilibrium is, whether there are complete problems for CLS, how PPAD and PLS relate to each other. _x000D_
_x000D_
Intellectual Merit: _x000D_
_x000D_
Strengths_x000D_
  + The  research plan has a clear, overarching theme. The questions being asked are very ambitious: some of the questions have been open for a long time. Despite that, the PI has done a great job fleshing out short-term questions and new approaches to tackle the longer-term questions. _x000D_
 + The proposed research will likely contribute to novel approximation algorithms for long-standing open problems and/or shed light on the complexity of search problems. _x000D_
+ The PI is well known and has an excellent track record in this area. She is very qualified to carry out the proposed research. _x000D_
_x000D_
Weaknesses_x000D_
- As the PI mentioned, Harrow et al.'s recent work has used SoS based approach to provide answers to the questions proposed in Section 3.1. It will be helpful if the PI can discuss how her independent approach differs from that of Harrow et al., whether the approach could refine or improve the results of Harrow et al. and what further results can be expected here. _x000D_
_x000D_
Broader Impact: _x000D_
_x000D_
Strengths_x000D_
  + The course development and mentoring plans are interesting. Students include a female PhD student._x000D_
  + The PI has organized workshops, and will do it again _x000D_
  + The PI is developing a module for high-school on game theory_x000D_
_x000D_
Solicitation-specific criteria: _x000D_
+ Integration of education and research is good._x000D_
- The PI mentioned the CS+Econ program. It will further strengthen the integration if the PI can discuss how her course would fit in with the new program. _x000D_
_x000D_
Data Management Plan: _x000D_
Adequate_x000D_
_x000D_
What is bold, exciting, high risk/reward, or potentially transformative? _x000D_
The research agenda is very ambitious, but includes a set of well carved out problems. Solving these problems will help close long-standing, important open problems. _x000D_
_x000D_
Justification for Panel Rating:  _x000D_
An ambitious proposal with a clear, coherent theme and well-reasoned problems. The panel has some concerns on how Harrow et al.'s recent work affects the proposed research in section 3.1. _x000D_
_x000D_
Panel Rating: 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</si>
  <si>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make progress on many important and fundamental problems in equilibrium computation. The PI plans to investigate the complexity classes CLS, PLS, and PPAD, which are the most fundamental classes of search problems (problems which always have a solution, and the goal is to find such a solution). The focus in on applying techniques from modern approximation algorithms like the sum-of-squares approach and SDP hierarchies to form better approximation algorithms for various computation problems, on smoothed complexity, and on analyzing how these three classes are related and the exact structure of CLS (specifically understanding the problem EoPL and whether it is CLS-complete). This proposal is likely to either come up with novel approximation algorithms for long-standing open problems, or give large insights into the complexity of search problems._x000D_
_x000D_
Strengths:_x000D_
_x000D_
+ The questions being asked are very ambitious: some of the questions have been open for a long time and many researchers have been working on them. That said, the PI does a good job in proposing concrete short-term questions and some new approaches for studying longer-term ones. Even if the big open questions are not solved, there are likely to be important insights obtained from this proposal._x000D_
_x000D_
+ The proposal is ambitious as befits a CAREER proposal, and has a clear overall theme. The PI is very qualified, and has either preliminary work, or at least some idea on how to proceed, for most of the research directions._x000D_
_x000D_
+ In regards to specific research directions: (1) Looking at EoPL and how it relates to class CLS is important, as it would give an intuitive and coherent picture of how these three complexity classes relate to each other. (2) Using techniques from modern approximation algorithms like SoS for equilibrium computation and related problems is clearly worthwhile, and has already met with some success. (3) Showing good smoothed complexity for various search problems in PLS is extremely interesting, and would give great support for using local search algorithms for such search problems. It is very encouraging that the PI has already had some success in this._x000D_
_x000D_
Weaknesses:_x000D_
_x000D_
- The PI could probably compare with some of the existing work a bit more thoroughly. While the PI provides possible approaches for many of the research directions, it is difficult to evaluate how promising these approaches are._x000D_
_x000D_
In the context of the five review elements, please _x000D_
evaluate the strengths and weaknesses of the proposal with respect to broader impacts._x000D_
_x000D_
Strengths:_x000D_
_x000D_
+ Graduate and undergraduate course development, students including a female PhD student_x000D_
_x000D_
+ The PI has a history of mentoring female students_x000D_
_x000D_
+ The PI has organized workshops, and will do it again_x000D_
_x000D_
+ The PI is developing a module for high-school on game theory_x000D_
_x000D_
Please evaluate the strengths and _x000D_
weaknesses of the proposal with respect to any additional solicitation-specific review criteria, if _x000D_
applicable_x000D_
_x000D_
_x000D_
_x000D_
Summary Statement_x000D_
_x000D_
An ambitious proposal on fundamental open problems in equilibrium computation; the PI is very qualified and this is likely to result in some nice insights. _x000D_
_x000D_
_x000D_
</t>
  </si>
  <si>
    <t xml:space="preserve">In the context of the five review elements, please _x000D_
evaluate the strengths and weaknesses of the proposal with respect to intellectual merit._x000D_
_x000D_
This proposal aims to tackle a set of complexity theoretic and algorithmic questions on Nash and market equilibrium computation. In particular, it considers complexity classes, PPAD, CLS and PLS, all related to total search problems. It is well known that computing Nash equilibrium for matrix games is PPAD-complete. Many results have been developed in the literature for equilibrium computation. However, some important questions in this domain remain open for decades. The PI focuses on a set of such open questions in this proposal, including trying to understand whether PTAS algorithms exists for PPAD-complete equilibrium computation, to develop complete problems for the CLS class, and establish the relation between PPAD and PLS. _x000D_
_x000D_
The techniques and approaches that the PI plans to use include sum-of-squares, beyond worst-case analysis, and conditional lower bound. _x000D_
_x000D_
The PI has proposed to solve some very challenging and long-standing open complexity theoretic questions. She has an excellent track record in this area and is one of the few people who are qualified to solve these problems._x000D_
_x000D_
In the context of the five review elements, please _x000D_
evaluate the strengths and weaknesses of the proposal with respect to broader impacts._x000D_
_x000D_
+ The research may have spillover effects to other scientific areas, such as algorithmic game theory, economics, approximation algorithms._x000D_
_x000D_
_x000D_
Please evaluate the strengths and _x000D_
weaknesses of the proposal with respect to any additional solicitation-specific review criteria, if _x000D_
applicable_x000D_
_x000D_
Adequate integration of research and education, through course development and student training. _x000D_
_x000D_
_x000D_
Summary Statement_x000D_
_x000D_
A solid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</si>
  <si>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focuses on advancing the state of the art in questions of computational complexity for a number of interesting problems and classes related to TFNP.  Settling a number of these complexity questions could have impact in a diverse set of subfields in across CS and possibly beyond._x000D_
_x000D_
2. To what extent do the proposed activities suggest and explore creative, original, or potentially transformative concepts?_x000D_
_x000D_
The questions addressed in the proposal are all interesting and potentially transformative depending on the direction that they are settled in.  A number of practical results could emerge from the exploration of the complexity questions enumerated and their approximations.  The questions are well grounded and the PI does a good job of providing intuition and understanding of these questions._x000D_
_x000D_
3. Is the plan for carrying out the proposed activities well-reasoned, well-organized, and based on a sound rationale? Does the plan incorporate a mechanism to assess success?_x000D_
_x000D_
The questions identified are interesting and the PI does a good job of positioning her past work w.r.t. her ability to address the various questions.  Some of these are ambitious open problems but providing intuition on the attack plan is very good._x000D_
_x000D_
In places the proposal gets a bit too into the details and consequently is not as developed as it could be in terms of explaining the importance of the questions.  Specifically, the mechanisms for impact include handing implementation off to undergrads, which is not ideal.  Also, there are no resources committed to fund this part of the work and the PI does not have a track record of releasing software._x000D_
_x000D_
4. How well qualified is the individual, team, or institution to conduct the proposed activities?_x000D_
_x000D_
The individual is well qualified to undertake the proposed research having published extensively in the field.  As is evidenced below she has a strong network of researchers to help her in this task._x000D_
_x000D_
5. Are there adequate resources available to the PI (either at the home institution or through collaborations) to carry out the proposed activities?_x000D_
_x000D_
The PI has a strong network of researchers who have committed to work with her on the proposal.  There are sufficient resources at the home institution to support the proposed research plan._x000D_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of the research work are impressive but outside of traveling to conferences there is very little plan to translate the research itself into broader impacts within the community or home institution._x000D_
_x000D_
2. To what extent do the proposed activities suggest and explore creative, original, or potentially transformative concepts?_x000D_
_x000D_
The course development and mentoring plans are interesting but not transformative.  Diving more into how this could contribute to the CS+ECON degree would be good._x000D_
_x000D_
3. Is the plan for carrying out the proposed activities well-reasoned, well-organized, and based on a sound rationale? Does the plan incorporate a mechanism to assess success?_x000D_
_x000D_
The plan to disseminate results is well reasoned, however the outreach plan is not well reasoned or elucidated._x000D_
_x000D_
4. How well qualified is the individual, team, or institution to conduct the proposed activities?_x000D_
_x000D_
The PI has experience in giving talks and organizing workshops.  It is not clear how well positioned the PI is for some of the proposed outreach activities._x000D_
_x000D_
5. Are there adequate resources available to the PI (either at the home institution or through collaborations) to carry out the proposed activities?_x000D_
_x000D_
This is a weak point of this proposal, the PI names a number of outreach activities but has not reached out to as many organizations or secured commitments or allocated funding in a way that would ensure the success of the proposed broader activities besides traveling to conferences._x000D_
_x000D_
Please evaluate the strengths and _x000D_
weaknesses of the proposal with respect to any additional solicitation-specific review criteria, if _x000D_
applicable_x000D_
_x000D_
_x000D_
_x000D_
Summary Statement_x000D_
_x000D_
A strong research proposal which focuses on a number of interesting and open in theoretical computer science related to the complexity of problems in TFNP.  The questions and ideas are excellent but the proposal is weak when it comes to translating these interesting theoretical questions into broader impact._x000D_
_x000D_
_x000D_
</t>
  </si>
  <si>
    <t>HU0975977</t>
  </si>
  <si>
    <t>Schoenebeck</t>
  </si>
  <si>
    <t>schoeneb@umich.edu</t>
  </si>
  <si>
    <t xml:space="preserve">In the context of the five review elements, please _x000D_
evaluate the strengths and weaknesses of the proposal with respect to intellectual merit._x000D_
_x000D_
The proposal seeks to study complexity theory as it relates to games and equilibrium.  This is an exciting area of complexity that is still rather new, promising interesting results.  _x000D_
_x000D_
Some of the key questions proposed are as follows:_x000D_
1)	Investigating class CLS which contains several problems, but none of them is complete, and the relations between them are unknown.  Here one key approach is using a EoPLùsimilar to PPAD, but each node also has a potential.  A key questions is whether this is complete for CLS.  Also, EoPL works as a nice intermediate step for showing things in CLS.  One question is how general this is:  can this work for all of Unique CLS? _x000D_
2)	Investigating hardness of a constant approximation for 2-Nash.  Current algorithms are optimal assuming PETH: investigate PETH or other ways to establish hardness.  Current algorithms are not very clever.  Author proposes using SoS, but unfortunately, this was already shown not to work, at least in a normal way.  [I did not find this approach very compelling since it has, unfortunately, been done.  Seems like the author found this out very recently.]  Perhaps there are clever ways to circumvent this negative result.  The author also proposes a bunch of other questions in a similar boat as const-approx Nash and wishes to investigate the relations.  This seems more promising than SoS.  I wish more time was spent here.  For example, some of these are exact and some are approximate problems.  Which relationships are the most promising, etc._x000D_
3)	Looking beyond worst case for equilibrium problems.  This seems especially promising with network coordination games, building on recent success for local Max-cut algorithms.  For NE, the average case does not seem that it is likely to capture interesting properties, so that is likely less useful.  _x000D_
_x000D_
_x000D_
_x000D_
_x000D_
_x000D_
The plan for carrying out the research is well-reasoned and most of the proposed directions build on recent advances in the field (parity games in quasi-polynomial time and smaoothed analysis for max-cut local, definition of CLR)_x000D_
_x000D_
_x000D_
The author is well-known in this area, and likely to succeed given the available resources.   _x000D_
_x000D_
_x000D_
A few things I was confused by:_x000D_
_x000D_
I do not see how "One way permutations" results in crypto are related to this.  Maybe more explanation would be helpful._x000D_
_x000D_
Some parts are not properly proof-read and it gets in the way of understanding: for example the second paragraph after Sub-question 3.1.  Should lower bound mean upper bound?  Also, doesn't this directly give a quasi-poly algorithm?  _x000D_
_x000D_
In the first sentence of section 4, it says that the ¢ approx for max-cut by local search is good.  But one gets this same approximation other ways, including a random solution.  Seems like a better example could be created for this.  _x000D_
_x000D_
_x000D_
_x000D_
_x000D_
In the context of the five review elements, please _x000D_
evaluate the strengths and weaknesses of the proposal with respect to broader impacts._x000D_
_x000D_
The research might have some practical applications.  Especially computing NE, which will likely be needed in proxy agents of the future._x000D_
_x000D_
Please evaluate the strengths and _x000D_
weaknesses of the proposal with respect to any additional solicitation-specific review criteria, if _x000D_
applicable_x000D_
_x000D_
The outreach plan is okay.  Programmatic details are lacking and the PI has little track record in out-reach activities.  _x000D_
_x000D_
There is a plan for building an instructional module for high-schoolers, and building a portal for mentor-mentee matching of UIUC undergraduates with K-12 students.  Plus a mentorship workshop at EC for graduate students looking for career advice.  _x000D_
Additionally there is a plan to produce a book, teach two graduate classes (which are already being taught), teach an undergraduate course, and mentor some undergraduate/graduate students.  _x000D_
_x000D_
_x000D_
Summary Statement_x000D_
_x000D_
The overarching research direction is compelling.  It has some strong components, and the author has a strong track-record of success.  The educational component is passable but not overzealous. _x000D_
_x000D_
_x000D_
</t>
  </si>
  <si>
    <t>Nash and market equilibrium are two of the most fundamental solution concepts in Game Theory and Economics respectively. The complexity of computing equilibria for most game and economic models are characterized by sub-classes of Total Function NP, namely Polynomial Parity Argument for Directed Graph (PPAD), Polynomial Local Search (PLS), and Continuous Local Search (CLS). Furthermore, these sub-classes manage to capture long-standing open problems from diverse fields, e.g., oneway permutation from cryptography, contraction map from topology, and simple stochastic games from verification, are all in CLS. Although by now we have a fair understanding of these classes and problems therein, many fundamental questions still remain unresolved. The proposal outlines a career development plan to explore these questions, that builds and significantly broadens PI's extensive work on computation and complexity of equilibria that settled decade-long open questions. High-level questions for this proposal are motivated by the following:_x000D_
* For important PPAD-complete problems, obtaining either PTAS or hardness of constant approximation is a major open question. Lower bounds grounded on well-established assumptions are also not known._x000D_
* CLS captures important problems from diverse fields, and recent work by the PI and others obtained the first CLS-complete problem, however, it does not come from a natural application. Thus, obtaining a natural complete problem for CLS remains open. Furthermore, most of the relations among problems in CLS also remain unknown. No sub-exponential or smoothed polynomial time algorithms are known for most of these problems. _x000D_
* Most equilibrium computation problems that are complete for PPAD and PLS have simple algorithms that work very well in practice, however, almost no theoretical explanation in terms of analysis that goes beyond the worst case is known.This project will need to develop novel tools for approximation and for beyond worst case analysis of equilibrium computation problems to break the long-standing barriers. Furthermore, novel reduction techniques will need to be developed to relate the open problems from diverse fields that are in CLS as well as to obtain hardness of approximation results. The PI plans to approach these by building on and extending her work on equilibrium computation, using tools from Sum-of-Squares, recent smoothed analysis techniques, and recent advances in proving lower bounds for equilibrium computation problems. Tools developed in the process will contribute to the burgeoning literature on approximation, smoothed analysis, sum-of-squares based approaches and conditional lower bounds, and will open up new avenues for further exploration.First, this work will provide efficient and robust algorithms for a large class of game models. This, in turn, will have a positive practical impact due to the numerous applications of these game models, e.g., social network analysis, resource allocation, etc. Second, it will shed light on connections between disparate fields such as verification and cryptography, and thereby will bring new insights into their important open problems._x000D_
_x000D_
In addition to publishing results, PI and co-authors will organize workshops at the intersection of algorithmic game theory, approximation, and complexity. Further, the PI plans to involve and train both graduate and undergraduate students through research and implementation tasks. Integration of research and teaching will be done through graduate and undergraduate courses. In this process, the PI plans to develop detailed lecture notes on Equilibrium Computation with the goal of producing a monograph by the end of this project. All the resulting material and code will be made freely available online. _x000D_
_x000D_
Building on her experience of organizing a session on Career Advice at EC'17, the PI plans to co-organize a one-day Mentoring Workshop at EC'18. Finally, the PI plans to reach out to the students from underrepresented groups through a number of UIUC initiatives.</t>
  </si>
  <si>
    <t>1750443</t>
  </si>
  <si>
    <t>Kol</t>
  </si>
  <si>
    <t xml:space="preserve"> Panel Summary       
  _x000D_
Description: The PI proposes to study interactive information theory.   Some directions the PI will take are to understand the gap between information cost and communication complexity, the extent to which the interactive analogue of data compression can be achieved, the direct sum problem and multiparty settings.  _x000D_
_x000D_
Intellectual Merit: The PI has spelled out a compelling and well detailed plan, with many fundamental questions of varying difficulty.   The PI has made important contributions in these directions, and is likely to make further progress on them.  _x000D_
Strengths_x000D_
  + compelling research direction_x000D_
  +  progress will be important to understanding interactive communication_x000D_
  + extremely strong track record_x000D_
Weaknesses_x000D_
  - In some later sections, does not elaborate enough on new ideas/approaches to make progress (or at least to give some negative approaches)._x000D_
  _x000D_
_x000D_
Broader Impact:  The PI will mentor students, give tutorials and create a new course._x000D_
Weaknesses_x000D_
 -  Not spelled out beyond known scientific impacts._x000D_
  - Would be good to see more details on each part of the educational component_x000D_
_x000D_
Solicitation-specific criteria:  The PI will develop a new course on interactive information for Computer Science and Electrical Engineering majors.  This part of the proposal needs to be improved._x000D_
_x000D_
Data Management Plan: adequate_x000D_
_x000D_
_x000D_
Suggestions to PI: Should talk to program managers and other PIs to get a sense of typical broader impact expected in NSF proposals, and specific criteria for CAREER proposals._x000D_
_x000D_
_x000D_
Justification for Panel Rating:  The research direction is important, the plan is promising and the PI has a very strong track record. The proposal would be rated higher if it contained more details in the broad impact section._x000D_
_x000D_
Panel Rating: _x000D_
_ Highly Competitive_x000D_
x Competitive_x000D_
_ Low Competitive_x000D_
_ Not Competitive_x000D_
_x000D_
The summary was read by/to the panel and the panel concurred that the summary accurately reflects the panel discussion._x000D_
</t>
  </si>
  <si>
    <t>P180139</t>
  </si>
  <si>
    <t xml:space="preserve"> CIF CAREER IT-COMM Panel</t>
  </si>
  <si>
    <t xml:space="preserve"> Panel Summary       
 The goal of this research is to advance information theory in the interactive setting with a particular focus on the compression problem in the interactive setting. In particular, the PI lists important and significant problems in the intersection of source coding and interactive communication. _x000D_
_x000D_
INTELLECTUAL MERIT _x000D_
_x000D_
Strengths: _x000D_
_x000D_
+ The proposal lists many interesting and very challenging problems in this area. _x000D_
_x000D_
+ The PI has an excellent record. _x000D_
_x000D_
_x000D_
Weaknesses: _x000D_
_x000D_
- The proposal reads like a long list of very difficult problems with little explanation regarding the main technical challenges and the approach the PI intends to take in order to tackle or solve them. _x000D_
_x000D_
- Without sufficient details and in its current form, the proposal lacks sufficient novel ideas to merit funding, such as defining information costs in multi-party problems. _x000D_
_x000D_
- To be competitive with other information/coding theory proposals, the PI is encouraged to consider and explicitly discuss the operational meaning/implication of the proposed analysis. Also, a tighter asymptotic analysis would be of interest. _x000D_
_x000D_
BROADER IMPACTS _x000D_
_x000D_
The proposal has a rather brief treatment of the broader impacts of the research, with only a sketch of an education plan. This is a major shortcoming since NSF submissions are required to carefully address broader impacts of the work. _x000D_
_x000D_
SOLICITATION-SPECIFIC CRITERIA _x000D_
_x000D_
The scope of the proposed research is appropriate for a five year effort, and the departmental letter adequately addresses support and mentoring for the PI. However, the NSF CAREER program aims to encourage junior PIs to develop meaningful integration of their research and teaching. The PI, hence, is encouraged to address this in her future submissions. _x000D_
_x000D_
_x000D_
SUMMARY _x000D_
_x000D_
In summary, the proposal addresses an ambitious set of challenging problems in the areas of interactive communications and complexity theory. The PI has an excellent record and is well-positioned to tackle the listed problems. However, the proposal lacks sufficient details on the specific challenges, the approach, or the analytic methodology. The proposal also fails to sufficiently discuss educational aspects or the integration of teaching and research. _x000D_
_x000D_
The panel placed the proposal in the following category: _x000D_
_x000D_
[ ] Highly Competitive _x000D_
[ ] Competitive _x000D_
[x] Low Competitive _x000D_
[ ] Not Competitive _x000D_
_x000D_
The summary was read by/to the panel and the panel concurred that the summary accurately reflects the panel discussion. 
</t>
  </si>
  <si>
    <t>XG0933641</t>
  </si>
  <si>
    <t>Calderbank</t>
  </si>
  <si>
    <t>robert.calderbank@duke.edu</t>
  </si>
  <si>
    <t xml:space="preserve">In the context of the five review elements, please _x000D_
evaluate the strengths and weaknesses of the proposal with respect to intellectual merit._x000D_
_x000D_
Interactive communication involves a pair (X, Y) of random variables distributed over some support set S. Person PX knows X, person PY knows Y, and both know S. The parties use a predetermined protocol to exchange binary messages in order for PY to learn X; PX may or may not learn Y. _x000D_
_x000D_
Communication complexity measures the amount of communication required to solve a task, and information cost measures the amount of information the parties need to reveal about themselves to solve the task. The relationship between the two is fundamental and fascinating. The question of how much an external party learns from observing the protocol, also the generalization to multiple parties, is very important._x000D_
_x000D_
Communication complexity bears upon several problems of significant engineering interest, including that of the edit distance between correlated files, and the privacy / utility tradeoff in querying databases. It bears upon public policy issues of great current interest, for example the goal of ensuring that a given entity (industry or government), trusted to infer certain information with our data, is blocked from inferring protected information from it. For example, a hospital might be allowed to produce a diagnosis on the patient (the positive task), without being able to infer the gender of the subject (negative task). _x000D_
_x000D_
For random errors in interactive communication, the PI has derived a protocol that guarantees a communication rate of 1 û O( (H(epsilon)1/2) and a converse that show the protocol is sometimes optimal. This is a significant result._x000D_
_x000D_
The proposal does not engage with potential applications, nor does it develop a program for interdisciplinary education, rather it is focused exclusively on deriving fundamental mathematical understanding. The aim of the proposal is impact on theoretical computer science, which might be expected, since it is in fact a theoretical computer science proposal._x000D_
_x000D_
_x000D_
In the context of the five review elements, please _x000D_
evaluate the strengths and weaknesses of the proposal with respect to broader impacts._x000D_
_x000D_
If broad impact should happen, it will be accidental, since the PI does not propose a plan for amplifying the impact of the proposed research plan._x000D_
_x000D_
_x000D_
_x000D_
Please evaluate the strengths and _x000D_
weaknesses of the proposal with respect to any additional solicitation-specific review criteria, if _x000D_
applicable_x000D_
_x000D_
_x000D_
_x000D_
Summary Statement_x000D_
_x000D_
Intellectual Merit: Good_x000D_
Broad Impact: Poor_x000D_
_x000D_
</t>
  </si>
  <si>
    <t>SQ0817026</t>
  </si>
  <si>
    <t>Hassibi</t>
  </si>
  <si>
    <t>Hassibi@caltech.edu</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</si>
  <si>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While the proposal is mostly limited to questions of compression (in two and multiparty interactive communication), within this confine, the scope of the proposal is quite ambitious_x000D_
-	The PI has a well thought out research agenda_x000D_
-	The questions studied by the PI are deep and of a foundational nature_x000D_
_x000D_
_x000D_
Weaknesses _x000D_
_x000D_
-	While the proposal is well written at a high level, at some points it is difficult to follow, because of a lack of detail and constant reference to a myriad of papers in the literature. The proposal would have benefited from some concrete descriptions/discussions of the approaches used in a few places._x000D_
-	The proposed work appears to be one that requires strong technical skills (which the PI certainly has). However, it is a little short on novel ideas and concepts. All the problems, information measures, etc., come from prior work (especially, that of Braverman). In this sense, the proposal reads as a continuation of work that earlier researchers have done. It would have been nice had the PI been able to come up with his own new measures of information cost in the multi-party setting and with a much more detailed discussion of the channel modeling issues that come up in error-correction coding for interactive communications._x000D_
_x000D_
_x000D_
In the context of the five review elements, please _x000D_
evaluate the strengths and weaknesses of the proposal with respect to broader impacts._x000D_
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Weaknesses _x000D_
_x000D_
-	The broader impacts, whether educational (graduate, undergraduate), outreach (to industry, other scientific communities, the lay communities and society) is not very well developed and is a weakness of the proposal_x000D_
Strengths _x000D_
_x000D_
-	The PI has plans to present his work in information theory venues and foster more interaction between the IT and CS theory communities_x000D_
-	The PI is planning to give talks and tutorials on the subject and to create a new graduate level course_x000D_
_x000D_
_x000D_
Weaknesses _x000D_
_x000D_
-	The broader impacts, whether educational (graduate, undergraduate), outreach (to industry, other scientific communities, the lay communities and society) is not very well developed and is a weakness of the proposal_x000D_
_x000D_
_x000D_
Please evaluate the strengths and _x000D_
weaknesses of the proposal with respect to any additional solicitation-specific review criteria, if _x000D_
applicable_x000D_
_x000D_
_x000D_
_x000D_
Summary Statement_x000D_
_x000D_
This proposal studies the problems of interactive communication and computation. In particular, it attempts to lower bound the communication complexity of a certain function (or protocol) by information theoretic measures such as the internal (and external) information costs._x000D_
_x000D_
</t>
  </si>
  <si>
    <t>QH0821140</t>
  </si>
  <si>
    <t>Javidi</t>
  </si>
  <si>
    <t>tjavidi@eng.ucsd.edu</t>
  </si>
  <si>
    <t xml:space="preserve">In the context of the five review elements, please _x000D_
evaluate the strengths and weaknesses of the proposal with respect to intellectual merit._x000D_
_x000D_
The goal of this research is to deepen the understanding of information theory in the interactive setting with a particular focus on the compression problem in the interactive setting. In particular, the PI lists important and significant problems in the intersection of source coding and interactive communication. _x000D_
_x000D_
The scope of the project is extremely ambitious; the general area of interactive communication is an extremely important setting, making any research project in this domain extremely valuable. In addition the PI has an excellent track record and is very well positioned to tackle the problems posed. _x000D_
_x000D_
While each of the 14 problems posed by the PI are challenging and the solution to each of which is of significant impact, the proposal reads somewhat disjoint on the common (analytic) underpinning of the actual problems or the most promising methodology. The proposal would have been far stronger if the PI had chosen a subset of the problems listed and provide details on the uniqueness of her approaches and/or the steps involved in successfully tackling the problems proposed. _x000D_
_x000D_
The PI has adequate institutional support._x000D_
_x000D_
In the context of the five review elements, please _x000D_
evaluate the strengths and weaknesses of the proposal with respect to broader impacts._x000D_
_x000D_
The proposal includes a good and solid education plan with mentoring of gradate students._x000D_
_x000D_
Please evaluate the strengths and _x000D_
weaknesses of the proposal with respect to any additional solicitation-specific review criteria, if _x000D_
applicable_x000D_
_x000D_
_x000D_
_x000D_
Summary Statement_x000D_
_x000D_
In summary, the proposed work is ambitious and if successful impactful. However, the proposal would have much improved if the PI choses to focus the writing and the work._x000D_
_x000D_
</t>
  </si>
  <si>
    <t>MP0784008</t>
  </si>
  <si>
    <t>Nosratinia</t>
  </si>
  <si>
    <t>aria@utdallas.edu</t>
  </si>
  <si>
    <t xml:space="preserve">In the context of the five review elements, please _x000D_
evaluate the strengths and weaknesses of the proposal with respect to intellectual merit._x000D_
_x000D_
The proposed project intends to analyze interactive compression. It aims to answer the question: can the transcript of a communication protocol be compressed to its information content. Variations of the problems and its instances in different settings are considered._x000D_
_x000D_
Strengths:_x000D_
_x000D_
+ The proposal addresses interesting problems in interactive compression._x000D_
_x000D_
+ The PI is qualified to undertake the proposed research._x000D_
_x000D_
Weaknesses:_x000D_
_x000D_
- One could argue that interactive compression in a noiseless setting needs better motivation. Aside from questions in complexity theory, in what context would interactive compression be inherently (to the application) interesting or crucial? _x000D_
_x000D_
- Although one section is dedicated to relation to interactive coding, but this section raises new questions rather than tie the rest of the tasks to their equivalent coding problems.  The operational implication of many of the desired results from earlier sections were not sufficiently clarified._x000D_
_x000D_
_x000D_
_x000D_
In the context of the five review elements, please _x000D_
evaluate the strengths and weaknesses of the proposal with respect to broader impacts._x000D_
_x000D_
Weaknesses:_x000D_
_x000D_
- The explanation of the impact is too narrow and confined to the very specialized area of the proposal. The impact of the proposed work on the advancement of the broader theory of computation or information theory could have been explained better._x000D_
_x000D_
- The educational component is insufficient. The educational component of the proposal should be better developed, especially its connection to the research component._x000D_
_x000D_
_x000D_
Please evaluate the strengths and _x000D_
weaknesses of the proposal with respect to any additional solicitation-specific review criteria, if _x000D_
applicable_x000D_
_x000D_
Strengths:_x000D_
_x000D_
+ The scope of the project is compatible with a 5-year duration._x000D_
+ The departmental letter addresses support and mentoring of the PI._x000D_
_x000D_
Weakness:_x000D_
_x000D_
- The education plan is insufficient overall, as well as in addressing synergies between teaching and research._x000D_
_x000D_
_x000D_
Summary Statement_x000D_
_x000D_
A theoretical proposal about interactive compression. The broader impacts of the proposal could have been better clarified. The educational plan is inadequate and does not meet the solicitation-specific criteria._x000D_
_x000D_
</t>
  </si>
  <si>
    <t xml:space="preserve">In the context of the five review elements, please _x000D_
evaluate the strengths and weaknesses of the proposal with respect to intellectual merit._x000D_
_x000D_
This proposal addresses fundamental questions in interactive information theory, which deals  with interactive communication between parties, in contrast to Shannon's classical information theory which deals with one-shot communication. Specifically, a major part of the proposal focuses on  the interactive compression problem, which is the interactive analogue of the data compression problem. The goal is to prove theorems that are analogous to the classical results in information theory, namely noiseless coding theorem.  Interactive channel capacity is also addressed and the goal is to prove a counterpart of the Shannon's noisy coding theorem._x000D_
_x000D_
_x000D_
_x000D_
Strengths:_x000D_
1.	The proposal is generally well-written and focused. It gives a nice introduction to interactive information theory by putting it in context of  classical information theory. _x000D_
_x000D_
2.	The PI is very well-qualified and demonstrates good background and knowledge of the area.  _x000D_
_x000D_
3.	The proposal asks fundamental questions in the area. Addressing even some of these will  lead to significant advances in the field. At least, for some problems (interactive compression, interactive channel capacity), the PI has done significant prior work and seems poised to make progress on the future directions stated._x000D_
_x000D_
4.	Interactive information theory has close connections  to other areas of theory such as communication complexity and distributed computing and this proposal addresses some key issues in those areas._x000D_
_x000D_
Weaknesses:_x000D_
_x000D_
1.	While certain problems are very well-posed and articulated, some problems are just stated based on prior works of other researchers. It is clear that these are important and challenging problems, but no possible approaches to tackling them are mentioned nor any  prior work (even preliminary work) on these  by the PI are mentioned. Examples include the problems in Section 5 (Prior-free setting) and Section 6 (multi-party setting). In particular, it is not clear how to model information cost in the multiparty setting? Generally, this has been quite technical and difficult even for multi-party communication complexity. The PI does not give any hints on possible solutions._x000D_
_x000D_
_x000D_
In the context of the five review elements, please _x000D_
evaluate the strengths and weaknesses of the proposal with respect to broader impacts._x000D_
_x000D_
Strengths:_x000D_
_x000D_
1.	This research has connections with many areas, and has the potential to have an impact similar to Shannon's theory._x000D_
_x000D_
2.	The PI plans to help bridge theoretical computer science and information theory communities._x000D_
_x000D_
Weaknesses:_x000D_
_x000D_
1. The broader impact is rather weakly written and quite generic._x000D_
_x000D_
_x000D_
Please evaluate the strengths and _x000D_
weaknesses of the proposal with respect to any additional solicitation-specific review criteria, if _x000D_
applicable_x000D_
_x000D_
Integration of education and research is rather generic, more elaboration will be better._x000D_
_x000D_
Summary Statement_x000D_
_x000D_
This is a strong proposal focusing on interactive information theory, an important new area in information theory with many applications. The project addresses  fundamental and challenging questions in the area. The PI is very well-qualified to do research in this area with significant prior work. For some problems, more details on possible approaches could ne provided, given the challenging nature. Broader impacts and education plan could have been fleshed out better._x000D_
_x000D_
</t>
  </si>
  <si>
    <t xml:space="preserve">In the context of the five review elements, please _x000D_
evaluate the strengths and weaknesses of the proposal with respect to intellectual merit._x000D_
_x000D_
The intellectual merit component of the proposal is very strong.  The PI proposes questions in compression of interactive protocols._x000D_
Given the known lower bounds (shown by the PI), the PI suggests natural, well motivated, next questions to study -- that is, instead of_x000D_
asking for "nearly perfect compression", can you get a weaker, but still pretty good, compression.  The PI proposes to determine whether there are good algorithms for computing the "information cost", which is a quantity that lower bounds communication complexity.  Extensions to the multiparty setting are proposed.  The PI proposes to work on a number of other questions, including the multiparty setting and interactive coding._x000D_
_x000D_
PI has fantastic track record of solving big open problems in the area._x000D_
_x000D_
In the context of the five review elements, please _x000D_
evaluate the strengths and weaknesses of the proposal with respect to broader impacts._x000D_
_x000D_
Likely impact on information theory._x000D_
_x000D_
Broader impact description could use more details.  The PI has a track record of working with underrepresented groups, but it isn't mentioned (except in the publications)._x000D_
_x000D_
Please evaluate the strengths and _x000D_
weaknesses of the proposal with respect to any additional solicitation-specific review criteria, if _x000D_
applicable_x000D_
_x000D_
_x000D_
_x000D_
Summary Statement_x000D_
_x000D_
+ a large set of important questions, many of them difficult,_x000D_
but the PI has great track record on solving difficult problems._x000D_
_x000D_
- broader impacts could be more well developed._x000D_
_x000D_
</t>
  </si>
  <si>
    <t xml:space="preserve">In the context of the five review elements, please _x000D_
evaluate the strengths and weaknesses of the proposal with respect to intellectual merit._x000D_
_x000D_
The proposal proposes to extent the works on interactive information theory by answering  some of the open questions that have arise in this area. The PI has herself done some very nice works in this area. The problems considered in this proposal are _x000D_
_x000D_
(1) Understanding gap between information cost and communication complexity. Recently such separation has been provided by PI and her coauthors, but those consider special kind of functions. The goal will be to obtain a more general result._x000D_
_x000D_
(2) Interactive compression which is the interactive analogue of data compression: This is related to question (1) and PI will study whether it is possible to develop good compression schemes whose communication complexity grows slowly with information cost and some parameters of the problem. _x000D_
_x000D_
(3) The direct sum problem: Instead of studying it in the amortized setting, the PI proposes to study the one-shot (single copy case) for example, one-shot Wyner-Ziv problem and asks what other classical information theory theorems can be studied in this framework._x000D_
_x000D_
(4) Multiparty setting where the attention is to understand the same questions where several parties are involved._x000D_
_x000D_
There are other problems related to external information cost, interactive compression under various restricted model, connection to interactive coding etc._x000D_
_x000D_
Summary of Strength and Weakness: _x000D_
This is a focused proposal--questions are well-spelled out as they stem from open questions in the papers, some of them are by PI herself, and for that reason I feel good progress will be made. The PI has strong track record and has adequate support from the department._x000D_
_x000D_
The proposal mostly does not contain any idea or approach on how progress will be made. The questions asked are next natural steps stemming from open problems that are currently left out. Having one or two out of the box innovative questions/problems and new ideas that are missing in current literature would have made this proposal much more appealing to me._x000D_
_x000D_
_x000D_
_x000D_
In the context of the five review elements, please _x000D_
evaluate the strengths and weaknesses of the proposal with respect to broader impacts._x000D_
_x000D_
Broader impact is weak for a CAREER proposal. The impact of the results in theoretical computer science and information theory are of course well understood. But beyond that, the proposal does not put effort to spell out anything else._x000D_
_x000D_
Please evaluate the strengths and _x000D_
weaknesses of the proposal with respect to any additional solicitation-specific review criteria, if _x000D_
applicable_x000D_
_x000D_
_x000D_
_x000D_
Summary Statement_x000D_
_x000D_
It is a strong proposal in interactive information theory by a well-qualified PI and it is likely that good progress will be made. The broader impact section of the proposal is considerably weak for a CAREER proposal. Not enough direction is provided on how open questions will be tackled._x000D_
_x000D_
</t>
  </si>
  <si>
    <t>GK0768160</t>
  </si>
  <si>
    <t>Tarokh</t>
  </si>
  <si>
    <t>vahid@seas.harvard.edu</t>
  </si>
  <si>
    <t xml:space="preserve">In the context of the five review elements, please _x000D_
evaluate the strengths and weaknesses of the proposal with respect to intellectual merit._x000D_
_x000D_
The PI considers communications complexity.   In this setting the communication complexity of a function f with respect to a distribution is the minimum communication complexity of a protocol that computes f with high probabilities (she sets this to be 0.9) given that the inputs are drawn according to that distribution.  The information cost of function computation is roughly the amount of information that the parties need to reveal about their inputs to compute f.  For a protocol, this equals to the sum of amounts of information that each party learns about the others assuming that the protocol is executed.  She then proposes to come up with an algorithm to compute this efficiently and asks herself if information cost is equal to the communications complexity.  Her definition of equality is based on order or even polynomial order._x000D_
_x000D_
She then goes on to consider interactive compression, where she points out a result of Braverson that IC + r bits of communications suffice for compression using a protocol that has r rounds. She concludes 'intuitively' that she has to compress multiple rounds in order to reduce compression complexity.  She then reviews her own previous result in this direction about there exist cases that there is a gap between communications complexity and information complexity and proposes to improve on these gaps (at least in order) in future research.  She also asks questions about many questions about situations when a protocol can be replaced by other protocols with same information content but different orders of communications complexities._x000D_
_x000D_
Strengths:  The PI seems amazingly strong.  The topic is interesting (at least to me)._x000D_
_x000D_
Weaknesses: No details of technical approaches to solve the proposed problems are given.  The order analysis may be interesting to theoretical computer scientists, but their relevance to practice, and Shannon Theory are questionable._x000D_
_x000D_
The proposal seems more suitable for a theoretical computer science panel._x000D_
_x000D_
_x000D_
_x000D_
In the context of the five review elements, please _x000D_
evaluate the strengths and weaknesses of the proposal with respect to broader impacts._x000D_
_x000D_
The broader impact statement about potential impacts of the results on other areas of science is good._x000D_
_x000D_
Please evaluate the strengths and _x000D_
weaknesses of the proposal with respect to any additional solicitation-specific review criteria, if _x000D_
applicable_x000D_
_x000D_
_x000D_
_x000D_
Summary Statement_x000D_
_x000D_
Good proposal. Details of technical approaches are missing. The brightest spot is the PI herself which seems super-strong._x000D_
_x000D_
</t>
  </si>
  <si>
    <t xml:space="preserve">In the context of the five review elements, please _x000D_
evaluate the strengths and weaknesses of the proposal with respect to intellectual merit._x000D_
_x000D_
Strong research program of further developing the theory of compression in the interactive setting.  The PI had a pair of papers giving an exponential separation between information cost and communication complexity. The PI hopes to further improve these, as well as solve related problems.  One problem is developing a theory of information cost in the multiparty setting.  The PI also discusses applications to communication complexity and interactive coding._x000D_
_x000D_
The PI has a strong track record in the field._x000D_
_x000D_
_x000D_
In the context of the five review elements, please _x000D_
evaluate the strengths and weaknesses of the proposal with respect to broader impacts._x000D_
_x000D_
The PI discusses the relevance of information and communication in related fields, as well as educating students._x000D_
_x000D_
Please evaluate the strengths and _x000D_
weaknesses of the proposal with respect to any additional solicitation-specific review criteria, if _x000D_
applicable_x000D_
_x000D_
_x000D_
_x000D_
Summary Statement_x000D_
_x000D_
A very good proposal about developing the theory of compression in the interactive setting._x000D_
_x000D_
</t>
  </si>
  <si>
    <t>In the beautiful 1948 paper "A mathematical theory of communication", Claude Shannon introduced information theory and used it to study one-way data transmission problems over different channels. The paper defines and constructs the first error correcting codes and data compression schemes. Shannon's work has had a profound impact on both the practical and theoretical communities, finding application in almost every branch of science and beyond. Information theory is especially relevant today with the rise of the internet and data-intensive applications._x000D_
    In the last decades, interactive communication protocols that perform computations were studied extensively, as interaction often allows for more efficient solutions and models real communication better than one-way models. Interactive information theory is a new field of study at the interface between information theory and the study of interactive protocols. While interactive information theory encompasses many concepts, the key ingredient that sets it apart from classical information theory is that it studies problems where information flows in more than one direction._x000D_
    The goal of the proposed project is to deepen our understanding of information theory in the interactive setting, exploring the question: To what extent can Shannon's results be generalized to the interactive setting, where parties engage in an interactive communication protocol that carries out a computation? We are also interested in applications of interactive information theory to theoretical computer science and to classical information theory._x000D_
    Specifically, we consider the interactive compression problem, which is the interactive analogue of the data compression problem. Informally speaking, the celebrated data compression theorems imply that every message can be compressed to its information content, measured using the Entropy function. The interactive compression problem asks whether the transcript of every communication protocol can be compressed to (roughly) its "information content". An affirmative answer to this problem would also yield a powerful method for proving nearly tight communication complexity lower bounds, and may shed light on other central problems in theoretical computer science that are closely related to it._x000D_
    Key Words: Information Theory; Communication Complexity; Interactive Protocols; Data Compression; Source Coding; Direct SumInteractive information theory studies fundamental problems regarding the flow of information in interactive settings. Information and communication are at the heart of theoretical computer science and related fields. Understanding the interplay between information and communication in the interactive setting is crucial for advancing our knowledge in these fields.The unprecedented effect of Shannon's classical information theory on the sciences, gives hope that a better understanding of the relations between information and communication will also have applications in a wide range of fields. The impact of our project on theoretical computer science is immediate, mainly through connection to the field of communication complexity. The research is also relevant to the information theory community, which often considers related problems. Building better interdisciplinary connections is one of our goals. As part of this project, we intend to train students, and create a new advanced course that covers the new advancements in the field.</t>
  </si>
  <si>
    <t>1750463</t>
  </si>
  <si>
    <t>Raghvendra</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</si>
  <si>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</si>
  <si>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CAREER:Robust and Optimal Algorithms for Real-Time Pick-Up and Delivery Problems_x000D_
_x000D_
L: 1750463 Raghvendra, Sharath VA Polytechnic Inst &amp; St U $  533,991_x000D_
_x000D_
_x000D_
P180207 LC AF CAREER/CRII Panel A (14 panelists; 2 decl confl),_x000B_  on 10/24/2017, recommended as Low Competitive (E/V,V,V/G,G)_x000D_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</si>
  <si>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</si>
  <si>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</si>
  <si>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</si>
  <si>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</si>
  <si>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</si>
  <si>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1750555</t>
  </si>
  <si>
    <t>Hardt</t>
  </si>
  <si>
    <t xml:space="preserve"> Panel Summary       
 Description:_x000D_
_x000D_
The PI proposes to make machine learning more reliable by using algorithmic stability as the technical framework for developing novel theory and practical tools. The proposed work spans three important domains where machine learning, theoretical computer science, and statistics intersect: reliable data science; understanding deep learning; and stability for unsupervised learning. A fourth domain that is also included in the proposal is algorithmic fairness in machine learning, a loaded topic that has received continuous media coverage lately. In all four areas the PI has contributed significant prior work that he intends to build upon in novel, transformative directions. The PI has formulated many precise research questions in the proposal, ranging from the rate of estimation in adaptive data analysis to more reliable benchmarks to the grand challenge of replacing p-values in scientific applications by stability._x000D_
_x000D_
Intellectual Merit:_x000D_
_x000D_
Strengths_x000D_
  + ambitious research tasks with the potential for strong impact in any scientific field where machine learning is applied._x000D_
  + excellent PI with strong track record of ground-breaking contributions._x000D_
  + strong potential for transformative research that could use algorithmic stability to replace the traditional notion of p-values in scientific application domains._x000D_
  _x000D_
Weaknesses_x000D_
  None identified by the panelists._x000D_
_x000D_
Broader Impact: _x000D_
_x000D_
Strengths_x000D_
  + the proposed research, if successful, could impact our understanding of the reliability of the outputs of machine learning algorithms, both in the supervised and the unsupervised setting._x000D_
  + the PI has already made significant efforts to achieve community building around the objectives of this proposal by organizing workshops and specialized conferences that cut across theoretical computer science, machine learning, and statistics. The panel concurred that his work has strong potential to influence all the aforementioned communities._x000D_
  + reasonable educational component; even though the PI just joined UC Berkeley, he is advising multiple PhD students. _x000D_
_x000D_
Weaknesses_x000D_
  None identified by the panel. _x000D_
_x000D_
Solicitation-specific criteria:_x000D_
_x000D_
The panel concurred that the integration of education and research in this proposal is adequate. The panel appreciated the fact that the community building activities proposed by the PI will help train graduate students at the intersection of Machine Learning, Statistics, and Theoretical Computer Science. _x000D_
_x000D_
Data Management Plan: _x000D_
_x000D_
The data management plan is adequate._x000D_
_x000D_
Justification for Panel Rating:  _x000D_
_x000D_
A very well-written, ambitious proposal. Very strong intellectual merit and outstanding potential for broader impact in scientific fields that are impacted by unreliable machine learning. The PI's reputation and record are strong indicators for the proposal's success._x000D_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</si>
  <si>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provide new models and  algorithms with provable guarantees for several topics of significant importance in modern machine learning, including:_x000D_
_x000D_
(1) Reliable machine learning with the goal of reducing false discovery and overfitting._x000D_
(2) Understanding deep networks, for example how the parameterization of the model can help in easing optimization, and how in turn easier optimization problems may lead to better generalization._x000D_
(3) Unsupervised learning_x000D_
(4) Fairness in machine learning_x000D_
_x000D_
The proposed questions are very interesting and of high potential impact. The PI has already done seminal works in all of these directions, and overall he is uniquely qualified to attack the questions proposed._x000D_
_x000D_
The one section I found less convincing is the unsupervised learning section, but even without that section the proposal is very interesting._x000D_
_x000D_
_x000D_
In the context of the five review elements, please _x000D_
evaluate the strengths and weaknesses of the proposal with respect to broader impacts._x000D_
_x000D_
The PI has been actively engaged in organizing workshops on topics related to those in this proposal. He has also mentored students (through summer internships) and engaged with broad interdisciplinary audiences. He plans to continue all these. _x000D_
_x000D_
_x000D_
Please evaluate the strengths and _x000D_
weaknesses of the proposal with respect to any additional solicitation-specific review criteria, if _x000D_
applicable_x000D_
_x000D_
_x000D_
_x000D_
Summary Statement_x000D_
_x000D_
This is a very strong proposal aiming to provide new models and  algorithms with provable guarantees for several topics of significant importance in modern machine learning. The PI has an excellent track record on the proposed topics and is uniquely qualified to tackle the proposed questions._x000D_
_x000D_
</t>
  </si>
  <si>
    <t xml:space="preserve">In the context of the five review elements, please _x000D_
evaluate the strengths and weaknesses of the proposal with respect to intellectual merit._x000D_
_x000D_
This is an exciting and ambitious proposal that focuses on stability in machine learning. The proposed research tackles the problem in three directions: (1) develop new techniques and algorithms for adaptive data analysis to prevent false discovery, (2) use re-parameterization to explain when and why deep learning networks perform and generalize well and (3) develop notions of stability for unsupervised learning. These directions will help establish a stability theory for machine learning and hence are of significant importance.  In addition to the above, the proposed research also touches on privacy and fairness in machine learning. _x000D_
_x000D_
The PI has a track record of publishing in the area of proposed research is well qualified to carry out the proposed research. _x000D_
_x000D_
_x000D_
In the context of the five review elements, please _x000D_
evaluate the strengths and weaknesses of the proposal with respect to broader impacts._x000D_
_x000D_
+ Research results may have broad spillover effect on machine learning practice.  _x000D_
+ Increase awareness of societal consequences of machine learning via FATML workshop/conference_x000D_
+ Technology adoption by company and machine learning challenges_x000D_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advising/mentoring._x000D_
_x000D_
Summary Statement_x000D_
_x000D_
An excellent proposal._x000D_
_x000D_
</t>
  </si>
  <si>
    <t xml:space="preserve">In the context of the five review elements, please _x000D_
evaluate the strengths and weaknesses of the proposal with respect to intellectual merit._x000D_
_x000D_
The PI proposes to make machine learning more reliable by leveraging algorithmic stability as the technical framework for developing novel theory and practical tools. More specifically, the PI proposes to work on three domains: reliable data science; understanding deep learning; and stability for unsupervised learning. In all three areas, the PI will build upon his significant (and one could say groundbreaking) prior work. The PI has had significant contributions at the intersection of machine learning and theoretical computer science: for example, his work on the reusable holdout method which avoid biases that are introduced by probing the same holdout set multiple times using different methods. The PI crucially used ideas from differential privacy, showing that differential privacy implies algorithmic stability (which, in turn, implies generalization --- this is not the PI's work)._x000D_
_x000D_
The PI proceed to formulate many precise questions ranging from the rate of estimation in adaptive data analysis to more reliable benchmarks to the grand challenge of replacing p-values in scientific applications by stability (an excellent objective, in my opinion). Then, the PI proposes to work on understanding the interplay between optimization and parameterization in deep learning, again posing a number of precise technical questions to achieve the end goal. Finally, the PI discusses the potential of algorithmic stability for unsupervised learning: roughly speaking, the PI proposes to significantly extend our understanding of the observation that stability implies_x000D_
useful composition properties, thus ensuring that the unsupervised learner performs well with respect to a second learning task. The PI defines a potential framework that might be used to address such questions._x000D_
_x000D_
From an intellectual merit perspective, the proposed research directions are outstanding. The only concern might be the relative lack of technical details outlining the PI's approach to tackle the formidable challenges laid out in the proposal. However, in my opinion, this lack of technical details is mitigated by the PI's exceptional record which is a strong indicator of success for the proposed work._x000D_
_x000D_
In the context of the five review elements, please _x000D_
evaluate the strengths and weaknesses of the proposal with respect to broader impacts._x000D_
_x000D_
The broader impact of the proposal stems from the importance of reliable machine learning: there is no doubt that irreproducible research is at least partly due to poor statistical analyses and lack of stable, reliable machine learning approaches. The PI also has a significant amount of work on fairness in machine learning, even though this line of research did not seem to be in the forefront of the proposed work. The PI has organized workshops aiming to achieve community building around the objectives of this proposal and, in my opinion, his work will influence both the Machine Learning and Theoretical Computer Science communities. The proposed educational plan is reasonable but not outstanding._x000D_
_x000D_
Please evaluate the strengths and _x000D_
weaknesses of the proposal with respect to any additional solicitation-specific review criteria, if _x000D_
applicable_x000D_
_x000D_
See discussion above._x000D_
_x000D_
Summary Statement_x000D_
_x000D_
A very well-written, ambitious proposal. Very strong intellectual merit, and, if successful, outstanding broader impact. The PI's reputation and record is a strong indicator for the proposal's success._x000D_
_x000D_
</t>
  </si>
  <si>
    <t xml:space="preserve">In the context of the five review elements, please _x000D_
evaluate the strengths and weaknesses of the proposal with respect to intellectual merit._x000D_
_x000D_
This is a compelling proposal about machine learning. It discusses methods to improve reliability and avoid overfitting, to understand why deep learning is so successful in practice, and to develop a universal framework for generalization in unsupervised learning.  These are important problems, and the PI has an excellent track record on related work. Strong practical motivation._x000D_
_x000D_
This may or may not be a weakness for the theory panel, but recently the PI has published in ML venues, rather than theory ones.  Also, his PhD is from 2011, two years before most of the others, giving him perhaps an undeserved advantage._x000D_
_x000D_
_x000D_
In the context of the five review elements, please _x000D_
evaluate the strengths and weaknesses of the proposal with respect to broader impacts._x000D_
_x000D_
Part of the proposal is about fairness, and the PI has been raising awareness about the societal impact of algorithms.  The PI co-founded and has since co-organized a related workshop. He will also advise students, develop a course on fairness, and more._x000D_
_x000D_
Please evaluate the strengths and _x000D_
weaknesses of the proposal with respect to any additional solicitation-specific review criteria, if _x000D_
applicable_x000D_
_x000D_
_x000D_
_x000D_
Summary Statement_x000D_
_x000D_
A strong proposal about important areas of machine learning._x000D_
_x000D_
</t>
  </si>
  <si>
    <t>CAREER: Stable Foundations for Reliable Machine Learning_x000D_
_x000D_
Across all sciences, researchers hope to use algorithms and machine learning to derive reliable insights from data, but often research findings turn out to be false or hard to replicate. Indeed, assessing the validity of insights suggested by data is presently a difficult and error-prone task. Even in industry,_x000D_
where machine learning has fueled dramatic advances, more principled ways of benchmarking and improving the performance of a machine learning system would make a major difference. What often_x000D_
works best in practice are poorly understood non-convex optimization methods-leading to much guesswork with varying results. This inscrutable behavior of machine learning also has repercussions on society at large as more and more people struggle with the implications of algorithmic decisions in their daily lives. Fairness, interpretability, and transparency have become major talking points as algorithms increasingly aid or replace human judgment._x000D_
I aim to build guiding theory alongside scalable algorithms that make the practice of machine learning more reliable, transparent, and effective. Focusing on algorithmic stability as a unifying technical framework, this proposal targets three primary challenges:_x000D_
--Design a robust methodology to address the reliability crisis in data science and machine learning with the goal of reducing false discovery and overfitting. This effort extends on my recent work in the area of adaptive data analysis, but aims to complement the existing perspective with fundamentally new insights._x000D_
--Establish a working theory for why and when large artificial neural networks train and generalize well. This line of work will focus on how the parameterization of the model can help in easing_x000D_
optimization, and how in turn easier optimization problems may lead to better generalization performance._x000D_
--Develop a notion of algorithmic stability for unsupervised learning leading to a robust and universal framework to reason about generalization in unsupervised learning as is presently lacking. An important test case for this theory will be in the area of distribution learning and generative models.The proposed work combines a statistical view of algorithms with an algorithmic view of statistics, extending on the conceptual and technical repertoire of both disciplines. The work is likely to strengthen the ties between these fields, leading to new problems and concepts along the way.A major shortcoming of machine learning is its present lack of interpretable, reliable guarantees that do justice to its increasingly important role in science and society. Developing methods with strong theoretical underpinnings can provide much-needed a priori guarantees that avoid costly trial and error. More reliable machine learning methods may not only reduce the prevalence of incorrect scientific results, they can also facilitate the adoption of machine learning in high stakes applications. I have long been actively raising awareness about the societal impact of algorithms and machine learning, as exemplified not only by early work on privacy and fairness, areas that greatly benefit from a principled understanding of machine learning. Part of this ongoing effort has been community building through workshops, mentorship, teaching, and engaging with broad interdisciplinary audiences.</t>
  </si>
  <si>
    <t>1750640</t>
  </si>
  <si>
    <t>Ullman</t>
  </si>
  <si>
    <t xml:space="preserve"> Panel Summary       
 Description: _x000D_
This proposal focuses on developing data analysis algorithms that have rigorous guarantee of statistical accuracy, privacy, and computational efficiency. It contains several thrusts: (1) develop new techniques and algorithms with optimal sample complexity for interactive data analysis, (2) design computationally efficient and differentially private algorithms, (3) characterize realistic privacy attacks that can inform the design of privacy algorithms, and (4) adversarial machine learning. _x000D_
_x000D_
Intellectual Merit: _x000D_
_x000D_
Strengths_x000D_
  + The panel thinks the research plan is ambitious, compelling and generally well reasoned. The panelists are especially excited about the first two thrusts. Developing notions of stability that are weaker than differential privacy to establish new techniques and optimal algorithms for interactive data analysis and using techniques such as tensor completion and sum-of-squares algorithms to tackle the computational (in)efficiency of differentially private algorithms are exciting and potentially fruitful directions. _x000D_
 +  The panel thinks the crypto perspective that the PI takes is novel for the domain and can be transformative._x000D_
 + The PI has done substantial work in the research directions proposed and is one of the best researchers to carry out the proposed research. _x000D_
_x000D_
Weaknesses_x000D_
  - The last thrust is not very well fleshed out and probably can be left out._x000D_
_x000D_
Broader Impact:_x000D_
The panel thinks the proposal has excellent broader impact_x000D_
+ Workshop organization to reconnect the now very large differential privacy community. This is important and the PI has already been doing it. _x000D_
+ Podcast production showing how scientific perspective can be integrated into practical, non-academic subjects. The panel was especially excited about this broad science outreach. _x000D_
+ Excellent curriculum development and student involvement plan_x000D_
_x000D_
Solicitation-specific criteria: _x000D_
The integration of education and research is very well done._x000D_
_x000D_
Data Management Plan: _x000D_
Adequate_x000D_
_x000D_
What is bold, exciting, high risk/reward, or potentially transformative? _x000D_
The proposed research directions and the approaches that the PI plan to undertake can lead to high risk high reward research.  _x000D_
_x000D_
Justification for Panel Rating:  _x000D_
An excellent, ambitious and well thought-out proposal. 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</si>
  <si>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an excellently written and well reasoned proposal that aims to develop data analysis algorithms that can prevent false discovery in interactive data analysis, that are privacy preserving and computationally efficient, and generally speaking that are robust and trustworthy. _x000D_
_x000D_
The idea behind the proposed research is built upon the insight that challenges in both interactive data analysis and privacy-preserving statistical analysis can be tackled with a notion of stability. Differential privacy has been a popular notion of stability and in prior work has been used to prevent false discovery in interactive data analysis. But the notion of differential privacy is quite strong. For interactive data analysis, when applying differential privacy, it requires many more sample. For privacy-preserving statistical analysis, differential private algorithms often sacrifice computational efficiency. The PI aims to develop notions of stability that are weaker than differential privacy to establish new techniques and optimal algorithms for interactive data analysis and use techniques such as tensor completion and sum-of-squares algorithms to tackle the computational (in)efficiency of differential privacy. In addition to the above two thrusts, the PI will also investigate realistic privacy attacks and apply stable algorithms to other new settings such as adversarial machine learning. _x000D_
_x000D_
The PI has an established record in the area of differential privacy and using it for interactive data analysis. Despite the prior work, the proposed research is challenging and novel. The PI will take a crypto perspective for the proposed research and if successful will significantly advance the stability, reliability and trustworthy of algorithms and statistical analysis._x000D_
_x000D_
In the context of the five review elements, please _x000D_
evaluate the strengths and weaknesses of the proposal with respect to broader impacts._x000D_
_x000D_
+ Will produce more reliable and effective data analysis methods for empirical sciences and practitioners. _x000D_
+ Other excellent broader impacts including workshop organization to reconnect the now very large differential privacy community and a podcast production showing how scientific perspective can be integrated into practical, non-academic subjects. _x000D_
_x000D_
_x000D_
Please evaluate the strengths and _x000D_
weaknesses of the proposal with respect to any additional solicitation-specific review criteria, if _x000D_
applicable_x000D_
_x000D_
Adequate integration of research and education: course development and student advising/mentoring. _x000D_
_x000D_
_x000D_
Summary Statement_x000D_
_x000D_
An excellent proposal. _x000D_
_x000D_
_x000D_
</t>
  </si>
  <si>
    <t xml:space="preserve">In the context of the five review elements, please _x000D_
evaluate the strengths and weaknesses of the proposal with respect to intellectual merit._x000D_
_x000D_
The PI proposes to perform research at the intersection of false discovery from interactive data analysis and statistical data privacy. Interestingly, the two fields have been unified by a body of work by many researchers, including prominent publications by the PI. The proposed research has four axes: (i) the use of differential privacy to prevent false discovery in interactive data analysis while sacrificing less statistical power (reducing false discovery in interactive data analysis is currently quite costly); (ii) computationally efficient privacy preserving algorithms for high-dimensional datasets; (iii) realistic privacy attacks to understand the limitations of privacy; and (iv) new applications of algorithmic stability to avoid sophisticated attacks in machine learning, such as training data manipulation, etc._x000D_
_x000D_
The PI expands on all aforementioned directions with a precise set of research topics and questions that are well-motivated and, in my opinion, is well qualified to address and resolve, at least from a theoretical perspective._x000D_
_x000D_
In the context of the five review elements, please _x000D_
evaluate the strengths and weaknesses of the proposal with respect to broader impacts._x000D_
_x000D_
The broader impacts of the proposal are definitely well above average. A nice educational plan, complemented with even a podcast production that the PI is co-producing. Student involvement and educational outreach are both quite reasonable. The only quibble might be the outreach to the machine learning community: it is not obvious how the PI's work will move from theoretical computer science to more applied venues: for the proposed line of the work to have true impact in practice, the PI will need to reach out to the statistics and the machine learning community, which is a rather tall order. However, this only slightly mitigates the broader impacts of a very good proposal._x000D_
_x000D_
Please evaluate the strengths and _x000D_
weaknesses of the proposal with respect to any additional solicitation-specific review criteria, if _x000D_
applicable_x000D_
_x000D_
See discussion above._x000D_
_x000D_
Summary Statement_x000D_
_x000D_
An ambitious, well-written proposal. Very good in terms of both intellectual merit and broader impacts._x000D_
_x000D_
</t>
  </si>
  <si>
    <t xml:space="preserve">In the context of the five review elements, please _x000D_
evaluate the strengths and weaknesses of the proposal with respect to intellectual merit._x000D_
_x000D_
Summary:_x000D_
_x000D_
This proposal deals with algorithms that have rigorous guarantees of privacy, security, and statistical accuracy. This is an important emerging area in theoretical computer science with many practical applications and is extremely timely with the emergence of Big Data. The main directions are:_x000D_
_x000D_
(1) Interactive data analysis: identifying new techniques and algorithms with optimal sample complexity. A key question is whether we can obtain more powerful algorithms by_x000D_
avoiding privacy or if this is even necessary._x000D_
_x000D_
(2) Designing efficient private algorithms for natural data analysis tasks._x000D_
_x000D_
(3) Realistic privacy attacks that can inform the design and deployment of privacy technologies._x000D_
_x000D_
_x000D_
_x000D_
Strengths:_x000D_
_x000D_
1.	The proposal is extremely very well written  and gives a nice tour de force of differential privacy and its applications. The connections to interactive data analysis  is very interesting and compelling. _x000D_
_x000D_
2.	The PI has done substantial work in essentially all the research directions proposed which are well-thought of and fleshed out._x000D_
_x000D_
3.	The project is right on the money in data analysis and addresses an important aspect, namely privacy and interactive data analysis. The latter has wide implications how data is used and interpreted. The PI is well-poised to make advances in the research directions proposed._x000D_
_x000D_
Weaknesses:_x000D_
1.	None._x000D_
_x000D_
_x000D_
_x000D_
In the context of the five review elements, please _x000D_
evaluate the strengths and weaknesses of the proposal with respect to broader impacts._x000D_
_x000D_
Strengths:_x000D_
_x000D_
1.	Privacy is obviously important and this research can lead to provably good privacy-preserving algorithms with rigorous privacy, security and statistical guarantees._x000D_
_x000D_
2.	Interactive data analysis can be very useful in empirical sciences and can lead to better interpretation of results based on interactive analysis._x000D_
_x000D_
3.	The PI has a strong program in connecting various communities that work in differential privacy._x000D_
_x000D_
4.	The project had an excellent curriculum development and student involvement plan. The PI has mentored a female undergraduate summer intern with whom he has co-authored a COLT paper._x000D_
_x000D_
_x000D_
Please evaluate the strengths and _x000D_
weaknesses of the proposal with respect to any additional solicitation-specific review criteria, if _x000D_
applicable_x000D_
_x000D_
The integration of education and research is very well done._x000D_
_x000D_
Summary Statement_x000D_
_x000D_
This is a strong and timely proposal on privacy aspects of data analysis. The PI is very well qualified to undertake the research agenda. The broader impact and education component is also well-written._x000D_
_x000D_
</t>
  </si>
  <si>
    <t xml:space="preserve">In the context of the five review elements, please _x000D_
evaluate the strengths and weaknesses of the proposal with respect to intellectual merit._x000D_
_x000D_
This proposal lays out several thrusts:_x000D_
1)	Rigorously studying interactive data analysis_x000D_
2)	Computationally efficient algorithms of DP_x000D_
3)	Realistic privacy attracks_x000D_
4)	Adversarial machine learning._x000D_
_x000D_
The most developed is #2.  About computationally efficient data summaries.  The basic idea here is to replace "synthetic data bases, which are either impossible or intractable, with some thing else.  The proposed methods forward are SoS and tensor composition.  They are quite intriguing, and also include back-up plans._x000D_
_x000D_
_x000D_
_x000D_
In the first thrust, the goal is to understand how privacy relates to interactive data analysis, and to figure out the fundamentals.  I think this seems like a great goal, unfortunately, some of the approaches listsed do not seem particularly promising (or perhaps I do not understand them much), but  One sub questions the PI proposes on the way is to study the statistical query model.  I did not understand this, because I don't see how to mix that data "size" metrics, and the SQ model.  I also did not deeply understand question 3, which seems to be asking about how many samples can be saved by testing k hypotheses together versus individually.  Q4 seems very interesting, asking about "what if the tester does not know the population", but the way forward is also a little vague._x000D_
_x000D_
The third trust is based on past research.  The goal is to create realistic attacks by building largely on this past work.  _x000D_
_x000D_
The fourth trust is adversarial machine learning.  This is the least developed.  It seems to miss vast research on the topic, and I do not see the intuitive connection beyond a very surface level._x000D_
_x000D_
The plan definitely explores important areas with novel ideas. _x000D_
_x000D_
The plans are a little spotty at places.  Though, this is often the case with theory research._x000D_
_x000D_
The PI is very qualified with adequate resources. _x000D_
_x000D_
_x000D_
In the context of the five review elements, please _x000D_
evaluate the strengths and weaknesses of the proposal with respect to broader impacts._x000D_
_x000D_
This proposal, if successful with have applications to large areas of empirical science, including datamining and data sharing.  This represents very exciting directions!_x000D_
It would also help the PI in his organization role at two workshops, creating a website for visibility of privacy research, and be input into the Pis grad course (and possible new UG course).  The PI will continue to mentor undergraduates and PhDs in research.  _x000D_
_x000D_
_x000D_
_x000D_
Please evaluate the strengths and _x000D_
weaknesses of the proposal with respect to any additional solicitation-specific review criteria, if _x000D_
applicable_x000D_
_x000D_
The main outreach is a pod-cast to discuss science topics to a broad audience.  While very ambitious, it seems only tangentially related to the proposal._x000D_
_x000D_
Summary Statement_x000D_
_x000D_
The proposal addresses really important questions by a very capable researcher.  Some of the paths forward are better worked out than others.  There is a large potential for broader impacts.  The educations outreach plan is okay but some parts seem rather unrelated to the research._x000D_
_x000D_
</t>
  </si>
  <si>
    <t>Every day, massive amounts of data are collected, analyzed, and used to make high-stakes decisions, raising many questions about how to use this data in a trustworthy manner.  This proposal is about two such questions: (1) How can researchers prevent false discovery and use data to learn meaningful facts about a population without overfitting to that data?  (2) How can researchers use valuable but sensitive data to learn about a population without compromising the privacy of the individuals in that data?  _x000D_
  Although they seem unrelated, these questions can both be addressed using stable algorithms---algorithms whose outputs are insensitive to small changes in their inputs.  Specifically, differential privacy is a strong form of algorithmic stability that guarantees a high degree of individual privacy yet admits highly accurate data analysis.  Recently, differential privacy has been shown to prevent false discovery in interactive data analysis---the common scenario where the same dataset is analyzed repeatedly, which has been implicated in a "statistical crisis in science" by Gelman and Loken.  This connection has led to dramatically more accurate algorithms for interactive data analysis._x000D_
  These examples show that stable algorithms are a strong and unified foundation for making data analysis more trustworthy in the face of modern challenges like false discovery and societal concerns over privacy.   This research program will make a unified study of these problems, and of the power of stable algorithms more generally.Our research will produce new algorithms with rigorous guarantees of privacy, security, and statistical accuracy---addressing key challenges to making these algorithms statistically efficient, computationally efficient, and aligned with modern practice.  It will also identify new barriers to achieving these goals and tradeoffs among them, both in theory and in practice.  Finally, this work will enrich and connect previously distinct areas of study via the unifying lens of algorithmic stability.  Specific contributions will include:_x000D_
(1) Building the foundations of interactive data analysis---identifying new techniques and algorithms with optimal sample complexity.  A key question is whether we can obtain more powerful algorithms by eschewing privacy, or whether privacy comes "for free" in interactive data analysis._x000D_
(2) New computationally efficient private algorithms for natural data analysis tasks, leveraging recent advances in machine learning to overcome computational hardness results for artificial tasks._x000D_
(3) A suite of realistic privacy attacks that can inform the design and deployment of privacy technologies, analogous to the way cryptanalysis informs cryptography.  This work is driven by the conjecture that differential privacy is the "right" stability notion to capture privacy, not only in theory, but in practice._x000D_
(4) Applying algorithmic stability to new problems in secure machine learning where data must be analyzed in the presence of adversaries who manipulate the training data or game the learned model.Privacy concerns are a major obstacle to the collection, sharing, and use of sensitive data coming from sources like medical records and online behavior, and the new algorithms produced in this research will enable greater access to these sensitive datasets.  By bridging the theoretical and applied literatures on privacy attacks, this research will also help prevent the use of unsound methods that lead to breaches and shake public confidence.  False discovery is also a major concern in the empirical sciences, and one that is increasingly discussed in the popular press.  By designing more effective algorithms for interactive data analysis, this research will help mitigate one significant source of false discovery.  Moreover, the broad impact of this research program will be amplified through new courses on data privacy that harness stability as a pedagogical tool to make the next generation of data scientists more fluent in privacy technology.  The impact will be further amplified through the PI's efforts to connect the fragmented privacy research community via a privacy research highlights website.  Finally, the PI will co-produce a podcast showing how the scientific and technological perspective can be applied to issues faced by the general public, including, but not limited to, the subjects of this research program.</t>
  </si>
  <si>
    <t>1750651</t>
  </si>
  <si>
    <t>Awasthi</t>
  </si>
  <si>
    <t xml:space="preserve"> Panel Summary       
  Description: The proposal aims to develop a new approach for unsupervised learning with provable guarantees. _x000D_
_x000D_
First, generalized clustering problems such as community detection, sparse coding, topic modeling etc. will be studied when model satisfies certain deterministic conditions such as weak deletion stability and/or perturbation resilience. _x000D_
_x000D_
Second, robust algorithms for generalized clustering problems as well as other important unsupervised learning algorithms will be studied where the model may be misspecified or there could be large amount of noise in data. The connection to semi random model will be explored. _x000D_
_x000D_
Finally, the proposal will explore new techniques to determine whether the underlying data has important structural properties that can be exploited to develop more efficient learning algorithms._x000D_
_x000D_
_x000D_
Intellectual Merit: _x000D_
_x000D_
Strengths_x000D_
  + Unsupervised learning is a very important paradigm in machine learning and more promising than supervised learning to scale to big data since there is no external annotation or intervention. _x000D_
_x000D_
+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 _x000D_
_x000D_
+ The proposal is very well written and presented. The background, approaches, and problems are clearly stated with a systematic research agenda. _x000D_
_x000D_
+ The PI is very well-qualified to undertake this research with significant prior publications, especially, in developing clustering algorithms under distribution-free models which exploit underlying pattern in data. _x000D_
_x000D_
+ In addition to theory, the project will evaluate the algorithms using real-world data sets. _x000D_
_x000D_
Weaknesses: _x000D_
- More elaboration on the technical difficulties and challenges in tackling the proposed problems would have been better. _x000D_
_x000D_
- The proposal did not make clear  what theoretically significant results or techniques will come out from this work. _x000D_
_x000D_
-The questions look somewhat incremental given the existing literature, some of which are by PI himself._x000D_
_x000D_
-Except for a 2015 paper, the PI's clustering work appears to be at least five years old, so it's unclear the time is ripe for progress. _x000D_
_x000D_
_x000D_
Broader Impact: _x000D_
+ Since unsupervised learning has wide applications in many domains, the algorithms developed in this proposal can have a big impact. _x000D_
_x000D_
+ The project will develop both undergraduate and graduate courses to train students in state of the art in machine learning. _x000D_
_x000D_
+ The PI will disseminate the research in top conference venues and by writing survey articles. _x000D_
_x000D_
+ The PI has given mini courses on Machine Learning to high school students which has attracted undergraduate students to Rutgers. _x000D_
_x000D_
+ The PI is currently supervising two female Ph.D. students who are likely to be supported by this grant. _x000D_
_x000D_
+ The PI is involved in DIMACS REU program, Rutgers young scholars program, and Rutgers China scholars program. He plans to hold regular summer series for dissemination of new results._x000D_
_x000D_
Weaknesses_x000D_
 None_x000D_
_x000D_
Solicitation-specific criteria: _x000D_
The integration of education and research is very well done. _x000D_
_x000D_
Data Management Plan: _x000D_
Adequate _x000D_
_x000D_
What is bold, exciting, high risk/reward, or potentially transformative? _x000D_
_x000D_
Research on provable algorithms for unsupervised learning can have high impact both in theory and practice._x000D_
_x000D_
Justification for Panel Rating: _x000D_
 This is a strong proposal on fundamental advances in unsupervised machine learning with potential to lead to new and robust algorithms with implementations. The educational plan, outreach, and broader impacts are written very well._x000D_
_x000D_
The panel felt the theoretical aspects of the proposal could have been better developed. It was not clear what significant theoretical techniques or breakthroughs can emerge from this work, though overall the panel appreciated the research direction of the proposal.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</si>
  <si>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Towards provably robust algorithms for unsupervised learning: A distribution-free approach_x000D_
_x000D_
L: 1750651 Awasthi, Pranjal Rutgers Univ New Brunswick $  695,874_x000D_
_x000D_
_x000D_
P180209 LC AF CAREER/CRII Panel B (12 panelists; 1 decl confl),_x000B_  on 11/21/2017, recommended as Low Competitive (V,G,G,G)_x000D_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</si>
  <si>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focus of this proposal is to design provably optimal algorithms_x000D_
for unsupervised learning. The goal is to go beyond _x000D_
beyond the traditional probabilistic models and instead assuming a distributed free approach._x000D_
The proposal will develop algorithmic and mathematical techniques that_x000D_
will lead to a more practical, robust and modern theory of unsupervised learning. The main research directions are:_x000D_
(a) Distribution-free data models and algorithms for generalized clustering problems_x000D_
(b) Design of robust algorithms_x000D_
(c) New mathematical tools for robust analysis_x000D_
(d) Algorithms for learning structure inducing representations_x000D_
_x000D_
_x000D_
Strengths:_x000D_
_x000D_
1.Unsupervised learning is a very important paradigm in machine learning and more promising than supervised learning to scale to big data since there is no external annotation or intervention. However, much of the existing theory and algorithms are based on assumptions that the underlying data is generated according to a probability model. This proposal which seeks to design generalized clustering algorithms and robust algorithms is very timely, improves the state of the art and has the potential of improved and better unsupervised machine learning._x000D_
_x000D_
2. The proposal is very well written and presented. The background, approaches, and problems are clearly stated with a systematic research agenda. _x000D_
_x000D_
3. The PI is very well-qualified to undertake this research with significant prior publications, especially in developing clustering algorithms under distributed-free models which exploit underlying pattern in data  are quite reasonable from theory viewpoint and  seems to capture real-world scenarios as well._x000D_
_x000D_
4. In addition to theory, the project will evaluate the algorithms using real-world data sets._x000D_
_x000D_
Weaknesses: _x000D_
1.  More elaboration  on the technical difficulties and challenges in tackling the proposed problems would have been better._x000D_
_x000D_
_x000D_
In the context of the five review elements, please _x000D_
evaluate the strengths and weaknesses of the proposal with respect to broader impacts._x000D_
_x000D_
Strengths:_x000D_
_x000D_
1.	Since unsupervised learning has wide applications in many domains, the algorithms developed in this proposal can have a big impact._x000D_
_x000D_
2.	The project will develop both undergraduate and graduate courses to train students in state of the art in machine learning._x000D_
_x000D_
3.	The PI will disseminate the research in top conference venues and by writing survey articles._x000D_
_x000D_
4.	The PI has given mini courses on Machine Learning to high school students which has attracted  undergraduate students to Rutgers._x000D_
_x000D_
5.	The PI is currently supervising two female Ph.D. students who are likely to be supported by this grant._x000D_
_x000D_
Weaknesses:_x000D_
_x000D_
None._x000D_
_x000D_
_x000D_
_x000D_
_x000D_
Please evaluate the strengths and _x000D_
weaknesses of the proposal with respect to any additional solicitation-specific review criteria, if _x000D_
applicable_x000D_
_x000D_
The education and research are very well integrated._x000D_
_x000D_
Summary Statement_x000D_
_x000D_
This is a strong proposal on fundamental advances in unsupervised machine learning with clear research agenda supported by prior work of the PI. It has potential to lead to new and robust algorithms with  implementations. The educational plan, outreach, and broader impacts are written very well._x000D_
_x000D_
</t>
  </si>
  <si>
    <t xml:space="preserve">In the context of the five review elements, please _x000D_
evaluate the strengths and weaknesses of the proposal with respect to intellectual merit._x000D_
_x000D_
Proposed to work on robust algorithms for unsupervised learning, making use of weaker notions of implicit structure.  Progress in this area will be important.  Proposes interesting and motivated models for designing robust learning algorithms.  The models appear to be novel. Suggests modifications of well-known algorithms that would make them robust._x000D_
PI has made good progress along these lines and will likely make_x000D_
more progress._x000D_
_x000D_
In the context of the five review elements, please _x000D_
evaluate the strengths and weaknesses of the proposal with respect to broader impacts._x000D_
_x000D_
high school outreach_x000D_
undergrad research_x000D_
workshops_x000D_
surveys_x000D_
_x000D_
_x000D_
Please evaluate the strengths and _x000D_
weaknesses of the proposal with respect to any additional solicitation-specific review criteria, if _x000D_
applicable_x000D_
_x000D_
_x000D_
_x000D_
Summary Statement_x000D_
_x000D_
+ important area and proposes good questions which he is likely to make progress on_x000D_
+ good outreach_x000D_
_x000D_
</t>
  </si>
  <si>
    <t xml:space="preserve">In the context of the five review elements, please _x000D_
evaluate the strengths and weaknesses of the proposal with respect to intellectual merit._x000D_
_x000D_
The proposal aims to develop a new approach for unsupervised learning with provable guarantees. _x000D_
_x000D_
First, developing on PI's own work, generalized clustering problems on realistic data model that has weak deletion stability or is perturbation resilient will be studied.  Generalized clustering problem includes problems of community detection, sparse coding, normal data clustering, topic modeling etc. The PI argues that models that are distribution free but have these additional deterministic conditions are practically useful and yet amenable to algorithm design. _x000D_
_x000D_
Second, the PI will study developing robust algorithms for generalized clustering problems as well as other important unsupervised learning algorithms when the model may be misspecified or there could be large amount of noise in data. The connection to semi random model will be explored. _x000D_
_x000D_
Finally, optimal algorithms for unsupervised learning rely on exploiting mathematical structure that is present in real world data. The PI will investigate linear programming based techniques to detect presence of any such structure in data._x000D_
_x000D_
Summary of strength and weakness: The questions posed in this proposal are practically important. The PI has done a lot of work in this area._x000D_
_x000D_
It is not clear what theoretically significant results or techniques will come out from this work. The questions look incremental given the existing literature._x000D_
_x000D_
In the context of the five review elements, please _x000D_
evaluate the strengths and weaknesses of the proposal with respect to broader impacts._x000D_
_x000D_
Broader impact is well-written and the PI is involved in DIMACS REU program, Rutgers young  scholars program, integrating data science into K12 curriculum etc. The PI is also a member of Rutgers China scholars program, and plans to hold regular summer series for dissemination of new results._x000D_
_x000D_
Please evaluate the strengths and _x000D_
weaknesses of the proposal with respect to any additional solicitation-specific review criteria, if _x000D_
applicable_x000D_
_x000D_
_x000D_
_x000D_
Summary Statement_x000D_
_x000D_
In summary, the proposal plans to extend the literature on unsupervised learning and develop provably optimal algorithms with minimal assumptions on data. While, the developed algorithms could be of practical interest, it is not clear how significant the results will be from theoretical point of view._x000D_
_x000D_
</t>
  </si>
  <si>
    <t xml:space="preserve">In the context of the five review elements, please _x000D_
evaluate the strengths and weaknesses of the proposal with respect to intellectual merit._x000D_
_x000D_
Proposes to study unsupervised learning under distribution-free or deterministic data models. One focus is clustering, where the PI showed in a FOCS 2010 paper that a property called weak deletion stability implies a polynomial time approximation scheme (PTAS). The PI seeks robust algorithms, including using a semi-random model, which is interesting but no longer deterministic._x000D_
_x000D_
A weakness of the proposal is that except for a 2015 paper, the PI's clustering work appears to be at least five years old, so it's unclear the time is ripe for progress.  While the PI publishes regularly in COLT, the PI has only two STOC/FOCS papers (in 2014 and 2010)._x000D_
_x000D_
In the context of the five review elements, please _x000D_
evaluate the strengths and weaknesses of the proposal with respect to broader impacts._x000D_
_x000D_
The PI proposed to do curriculum development and outreach._x000D_
_x000D_
Please evaluate the strengths and _x000D_
weaknesses of the proposal with respect to any additional solicitation-specific review criteria, if _x000D_
applicable_x000D_
_x000D_
_x000D_
_x000D_
Summary Statement_x000D_
_x000D_
An interesting proposal about unsupervised learning. However, the PI's track record doesn't seem quite as strong as other applicants._x000D_
_x000D_
</t>
  </si>
  <si>
    <t>The goal of this proposal is to develop a new approach towards designing provably optimal algorithms for unsupervised learning. Traditional unsupervised models are grounded in probability theory and view a given data set as a realization from an idealized probabilistic process. In addition to being an oversimplification of real world data, this approach often leads to algorithms that break down or are poorly understood beyond the specific model. This leads to two fundamental challenges in the current theory and practice of unsupervised learning a) algorithms with theoretical guarantees that apply to realistic data models}, and b) algorithms that are not brittle to modeling assumptions and noise in the data}. _x000D_
_x000D_
The proposal will address these challenges and develop algorithmic and mathematical techniques that will lead to a more practical, robust and modern theory of unsupervised learning. We plan to carry out our research agenda along the following directions: (a) Distribution-free data models and algorithms for generalized clustering problems, (b) Design of robust algorithms, (c) New mathematical tools for robust analysis, (d) Algorithms for learning structure inducing representations, and (e) Education and Outreach.The proposed research aims to develop a robust and modern theory of unsupervised learning. A central theme is to investigate a previously untapped notion of exploiting implicit structure present in the data that is not tied to a specific distribution. The proposal demonstrates how this approach can lead to new algorithms, robustness to model misspecification, and learning useful representations of the data. Achieving the goals of the proposal will involve developing novel algorithmic techniques and a new set of mathematical tools for robust analysis of algorithms. The advances made will likely have applications beyond in other areas of computer science and mathematics.The proposed research tackles fundamental challenges in unsupervised learning. Given the pervasiveness of the paradigm, the algorithms developed as a part of this proposal can significantly improve the _x000D_
state of the art in machine learning thus impacting many domains. The course material developed during this project will educate the students and the community at large about the challenging research questions in this field and will lead to an increased activity in theoretical research in this direction. The educational component of the proposal will train the next generation of students in critical skills needed to perform cutting edge research. Furthermore, the PI plans to pursue various other activities for dissemination of the conducted research including holding a workshop on Challenges in unsupervised learning at top venues such as NIPS and COLT. The PI also plans to write a survey on deterministic data models for unsupervised learning.</t>
  </si>
  <si>
    <t>1750716</t>
  </si>
  <si>
    <t xml:space="preserve"> Panel Summary       
 Description:_x000D_
_x000D_
The PI proposes novel work on sketches, namely data structures that support updates to the underlying data and a pre-specified set of queries, while requiring significantly less space than the size of the original data. The PI proposes to investigate sketches in the following three directions: (i) investigate the time complexity (i.e., the querying time) of linear sketches; (ii) investigate the space complexity of linear sketches; and (iii) investigate sketching in the distributed setting and especially its applications for submodular optimization._x000D_
_x000D_
Intellectual Merit:_x000D_
_x000D_
Strengths_x000D_
  + Well-written proposal, posing deep technical questions and possible approaches to tackle them. Advances in addressing these will significantly advance our knowledge of sketching and its applications._x000D_
  + Very strong PI with significant amount of prior work in the area of the proposal._x000D_
_x000D_
Weaknesses_x000D_
  - Some references might have been added to the proposal; however the panelists agreed that this omission was not a major issue. _x000D_
  - The part of the proposal discussing mapreduce was not as well thought as the remainder of the proposal._x000D_
 _x000D_
Broader Impact:_x000D_
_x000D_
Strengths_x000D_
  + Reasonable teaching plan._x000D_
  + Improving the quality of sketching could result in significant advances in domains where sketching algorithms are used (e.g., big data analytics)._x000D_
_x000D_
Weaknesses_x000D_
  - The broader impacts section was relatively sketchy and more details could have been included (e.g., involvement of under-represented minorities, etc.)._x000D_
  - Some panelists noted that the PI should include a plan for outreach to communities beyond theoretical computer science, as his research is immediately relevant to the machine learning and data mining communities._x000D_
_x000D_
Solicitation-specific criteria:_x000D_
_x000D_
The panel concurred that the integration of education and research was reasonable. The PI will develop graduate and undergraduate courses related to his research as well as write survey articles to disseminate his research to a wider audience. _x000D_
_x000D_
Data Management Plan:_x000D_
_x000D_
The data management plan was deemed adequate by the panel._x000D_
_x000D_
What is bold, exciting, high risk/reward, or potentially transformative?_x000D_
_x000D_
If the PI succeeds in his theoretical endeavors on sketching, it is highly probably that new tools will be developed in the process of proving the proposed results; these tools could be transformative from a theoretical computer science perspective._x000D_
_x000D_
Suggestions to PI: Better outreach plans and a more detailed broader impacts component could help improve the proposal._x000D_
_x000D_
Justification for Panel Rating: A very strong proposal (especially from an intellectual merit perspective) focusing on sketches, a hot topic in theoretical computer science with significant applicability in machine learning and data mining. The PI is a leading expert in this area and has a particularly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</si>
  <si>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A solid theoretical proposal on sketching algorithms. The PI intends to focus on three theoretical research directions: time complexity of sketching (in the turnstile model), mergeable sketches, and space complexity of sketching, addressing open problems that go back to the original pioneering work by Alon et al. on moment estimation. The PI is a very promising young researcher in the theory domain and he almost certainly deliver novel theoretical results._x000D_
_x000D_
In the context of the five review elements, please _x000D_
evaluate the strengths and weaknesses of the proposal with respect to broader impacts._x000D_
_x000D_
However, I am not convinced regarding the true impact of the proposed research outside a subset of the Theoretical Computer Science community. I would like to see more bridges with more applied communities that are often consumers of such tools as well as the applied mathematics communities. Such bridges are essentially non-existent in the proposal (the PI simply mentions some work towards that end with colleagues at NEU). Without such broader impact activities the overall impact of the proposed research, even if it is successful, will be very limited. The educational broader impacts of this proposal are average, at best._x000D_
_x000D_
Please evaluate the strengths and _x000D_
weaknesses of the proposal with respect to any additional solicitation-specific review criteria, if _x000D_
applicable_x000D_
_x000D_
See above discussion._x000D_
_x000D_
Summary Statement_x000D_
_x000D_
A solid theoretical proposal with very good intellectual merit from a theoretical computer science perspective. Limited potential for broader impact, which significantly mitigates the merits of the proposed work._x000D_
_x000D_
</t>
  </si>
  <si>
    <t>KT0605710</t>
  </si>
  <si>
    <t>Garg</t>
  </si>
  <si>
    <t>garg@ece.utexas.edu</t>
  </si>
  <si>
    <t xml:space="preserve">In the context of the five review elements, please _x000D_
evaluate the strengths and weaknesses of the proposal with respect to intellectual merit._x000D_
_x000D_
Strengths:_x000D_
The PI has proposed to investigate the theory of sketches. Sketches have many practical applications in the area of streaming algorithms. The proposed tasks include exploring time complexity, space complexity with connections to compressed sensing,_x000D_
and mergeable summaries with applications to distributed environments._x000D_
_x000D_
The PI has proposed concrete research problems with fundamental implications in multiple areas. One of the key strength of this proposal is that it studies problems that have applications in practical setting such as sketching in distributed environments with map-reduce style models._x000D_
_x000D_
For heavy hitters problem, the PI has given an algorithm with fast query time_x000D_
based on a graph partitioning approach. It is likely that algorithms that use heavy-hitters as subroutine will benefit from the PI's insights._x000D_
_x000D_
The PI has excellent track record with strong publications in top conferences._x000D_
_x000D_
There are adequate resources available to PI._x000D_
_x000D_
Weaknesses:_x000D_
_x000D_
PI has listed two additional pending proposals in the Current and Pending Support form. In the project description, only one of them is mentioned. The relationship with the other proposal is not given. From the title, it does seem that the other proposal is synergistic for distributed optimization algorithms._x000D_
_x000D_
_x000D_
In the context of the five review elements, please _x000D_
evaluate the strengths and weaknesses of the proposal with respect to broader impacts._x000D_
_x000D_
Strengths:_x000D_
_x000D_
The project is likely to have practical impact on sketching and submodular optimization._x000D_
_x000D_
The PI will involve students in theory as well as software development._x000D_
_x000D_
Please evaluate the strengths and _x000D_
weaknesses of the proposal with respect to any additional solicitation-specific review criteria, if _x000D_
applicable_x000D_
_x000D_
_x000D_
_x000D_
Summary Statement_x000D_
_x000D_
The proposal is well-written and advances our knowledge and understanding with benefits to the society._x000D_
_x000D_
</t>
  </si>
  <si>
    <t xml:space="preserve">In the context of the five review elements, please _x000D_
evaluate the strengths and weaknesses of the proposal with respect to intellectual merit._x000D_
_x000D_
Summary: Sketches are data structures that support updates to the underlying data and a pre-specified set of queries while requiring significantly less space than the size of the original data.  This proposal investigates sketches in the following three directions:_x000D_
_x000D_
1.	Investigate the time complexity (i.e., the querying time)  of  linear sketches._x000D_
_x000D_
2.	Space complexity of linear sketches._x000D_
_x000D_
3.	Sketching in distributed setting, especially for submodular optimization._x000D_
_x000D_
_x000D_
Strengths:_x000D_
_x000D_
1.	The proposal is written very well and presented.  It poses  deep technical questions and possible approaches to tackle the same. Advances in addressing these will significantly advance our knowledge of sketches and its applications._x000D_
_x000D_
2.	 The PI has done substantial work in this area and capable of tackling the challenging problems posed. In particular, the project seeks to improve the time complexity of querying in sketches which has been rather ignored in the past (where the focus has mostly been on space complexity). This is an important aspect and  PI's recent work gives the first algorithm for heavy hitters with optimal space and fast query time. This can be useful in designing efficient sketches for graph sparsifiers and sparse recovery. _x000D_
_x000D_
3.	Sparse recovery is an important and fundamental problem. The proposal proposes improving the time complexity and space complexity of sketches._x000D_
_x000D_
Weaknesses:_x000D_
_x000D_
1.	The proposal omits some key references in  submodular optimization and sketching in distributed computing and machine learning literature. It should address and discuss these as well, e.g., see below and the references therein:_x000D_
_x000D_
a.	Distributed and parallel algorithms for weighted vertex cover and other covering problems, PODC, 2009._x000D_
b.	Distributed Submodular Optimization, JMLR 2016._x000D_
c.	Fast Distributed Algorithms for connectivity and MST in large graphs, SPAA 2016._x000D_
_x000D_
_x000D_
In the context of the five review elements, please _x000D_
evaluate the strengths and weaknesses of the proposal with respect to broader impacts._x000D_
_x000D_
Strengths:_x000D_
_x000D_
1.	Good education plan._x000D_
_x000D_
2.	Sketches have applications, including in industry, and this proposal can have an impact._x000D_
_x000D_
3.	The PI plans to collaborate with applied researchers._x000D_
_x000D_
4.	The PI has been an editor for XRDS, an ACM student magazine and will contribute to popularize sketches and related material._x000D_
_x000D_
Weaknesses:_x000D_
1. The Broader impact is pretty sketchy and short, could have been elaborated with details._x000D_
_x000D_
_x000D_
_x000D_
_x000D_
Please evaluate the strengths and _x000D_
weaknesses of the proposal with respect to any additional solicitation-specific review criteria, if _x000D_
applicable_x000D_
_x000D_
Integration of education and research is adequate._x000D_
_x000D_
Summary Statement_x000D_
_x000D_
This is a very strong project focusing on sketches, a hot topic  of  late. It lays out a strong research agenda  backed up by significant  work by the PI. I expect strong publications to come out of this._x000D_
_x000D_
</t>
  </si>
  <si>
    <t xml:space="preserve">In the context of the five review elements, please _x000D_
evaluate the strengths and weaknesses of the proposal with respect to intellectual merit._x000D_
_x000D_
The PI proposes compelling questions including: the time complexity of sketching, sketching of graph sparsifiers (in particular, better query complexity), sparse recovery, streaming lower bounds, the realm of mergeable sketches and sketching in distributed environments. The PI suggests a number of plans of attack and has a number of results in these directions._x000D_
_x000D_
PI has very strong track record, solving long studied open questions and applying his techniques to very powerful classes of problems (i.e., submodular maximization)._x000D_
_x000D_
In the context of the five review elements, please _x000D_
evaluate the strengths and weaknesses of the proposal with respect to broader impacts._x000D_
_x000D_
The algorithms studied in this proposal are useful in industrial settings (e.g. by Google)._x000D_
_x000D_
Will work with researchers in vision, NLP, network security and Database systems._x000D_
_x000D_
Please evaluate the strengths and _x000D_
weaknesses of the proposal with respect to any additional solicitation-specific review criteria, if _x000D_
applicable_x000D_
_x000D_
_x000D_
_x000D_
Summary Statement_x000D_
_x000D_
+ important research area_x000D_
+ very strong track record_x000D_
+ good outline of how the PI will make progress_x000D_
_x000D_
</t>
  </si>
  <si>
    <t>The unprecedented growth of new data has pushed computer systems to their limits in not only storage capacity but also communication bandwidth and computational power. A fundamental challenge underlying these constraints is the need for {\em suitable representations} of the data that facilitate efficient computation and are sufficiently compact for storage and communication. These representations, or {\em sketches}, are data structures that support updates to the underlying data and a pre-specified set of queries while requiring significantly less space than the size of the original data. This proposal aims to address fundamental gaps in our understanding of sketches by pursuing the following goals: _x000D_
_x000D_
- Investigate {\em linear sketches}, a universal form of sketches for turnstile streaming algorithms in a broad class of problems and also applicable to classical algorithms as well as distributed algorithms. The proposal focuses on fundamental questions regarding time complexity of sketches in both upper and lower bounds._x000D_
	_x000D_
- {\em Space complexity} of linear sketches in sparse recovery. Linear sketches are precisely the linear measurements used to recover signals in the flourishing area of compressed sensing[CRT06,Donoho06]. The fundamental challenge in this area is to use as few measurements as possible, which is exactly the space complexity of linear sketches. The PI proposes to study this question with respect to several different recovery guarantees._x000D_
_x000D_
- Develop {\em new forms of sketches} for abstract objects and distributed environments. To this end, the proposal considers sketching for submodular functions, a popular model for machine learning, computer vision, economics, etc. Problems in these applications are modeled as submodular maximization subject to various types of constraints.The proposal will lead to deeper understanding and novel algorithms for fundamental problems in streaming algorithms, compressed sensing, and submodular optimization. The proposed research is of interest to not only theoretical computer science but also databases and machine learning, combining theoretical insights with computational models relevant to applications. The proposal builds on techniques from a wide variety of areas including analysis, information theory, coding theory, combinatorics, and optimization, and it can lead to novel connections among them. As an example, the PI's work with Garg et al.[GMN14,BGMNW16] uses techniques from information theory and communication complexity to tackle problems in distributed machine learning.Work produced through this project is likely to have practical impact due_x000D_
to the extensive use of sketching and submodular optimization in applications[LDP07,TZ12,Bilmes15,ELVZ17]. Investigation of large scale submodular optimization is especially timely given the growth in data size and it has attracted significant attention in the machine learning community[KG10,BMKK14,MKBK15,LBZK16]. The students supported by the project and the PI will actively pursue research in both theory and applications, publishing in both theory and machine learning venues, and broadly disseminate research outcomes by giving talks at universities, industrial labs, research conferences, and tutorial sessions. _x000D_
_x000D_
The PI will involve students in all research activities, from pursuing theoretical constructions to writing software as suitable for students ranging from undergraduate to graduate levels._x000D_
_x000D_
New results will be partly distilled into a new course with publicly available lecture notes. All papers will be available on the PI's website and the arXiv. The PI will also write survey articles aimed at broad audiences and also beginning theory graduate students.</t>
  </si>
  <si>
    <t>1750780</t>
  </si>
  <si>
    <t>Raichel</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</si>
  <si>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</si>
  <si>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</si>
  <si>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</si>
  <si>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</si>
  <si>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</si>
  <si>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</si>
  <si>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1750808</t>
  </si>
  <si>
    <t>Haeupler</t>
  </si>
  <si>
    <t xml:space="preserve"> Panel Summary       
 Description: This proposal is about interactive coding. The broad problem here is to convert any given interactive communication protocol into one that is resilient to transmission errors, while preserving its functionality. The proposal discusses problems that are related to this basic goal. The PI has written many papers on the subject and seems well placed to make further progress. The goals outlined in the proposal are certainly worthy of support. _x000D_
_x000D_
Strengths_x000D_
The PI has a significant track record of success in this area._x000D_
Getting explicit construction of tree-codes or efficient decoding algorithms will be significant contributions. _x000D_
The interaction of interactive coding and crypto is very important._x000D_
It seems that in [GHS14] and [GH14], the PI has already answered many fundamental questions on interactive coding._x000D_
_x000D_
Weaknesses_x000D_
Other proposals for tree codes based on Reed-Solomon codes have been around, and it's very unclear that this proposal is any more likely to admit a proof of correctness than any of the others. _x000D_
The panel did not find the connection to boolean circuits as described in the proposal  convincing. There are some technical issues with finding circuits resilient to short-circuit errors by solving the corresponding communication problem that were not addressed in the proposal.  The PI explains that solving this problem is similar to finding error-resilient versions of protocols with small memory usage. However, every Karchmer-Wigderson game has a logarithmic complexity randomized communication protocol---the randomized complexity of solving Karchmer-Wigderson games says nothing about circuits. Nevertheless, a lot of interactive coding schemes designed by the PI are randomized. Secondly, every Karchmer-Wigderson game for n-bit inputs has a deterministic protocol with O(n) memory states (and O(n) communication) that solves the game. So again, the number of memory states used to solve the game is unrelated to the size of the circuit. The proposal does not address these technical barriers._x000D_
_x000D_
Broader Impact: _x000D_
The PI has a detailed plan for course development, undergraduate/graduate research, and involving underserved minorities. The PI is involved in an effort to reform the interdisciplinary ACO program at his institution. The PI has made significant efforts to increasing female participation in the ICPC programming contests, has a very strong track record of advising graduate students, and has organized tutorials, workshops and a Simons program._x000D_
_x000D_
_x000D_
Solicitation-specific criteria: _x000D_
The proposal targets teaching, advising, involving students from underrepresented groups, interdisciplinary education, and tutorials at workshops. The PI already has a strong track record on many of these issues._x000D_
_x000D_
Data Management Plan: adequate_x000D_
_x000D_
_x000D_
Justification for Panel Rating: _x000D_
The PI has a very strong track record of past work. This proposal was rated low competitive because of the weaknesses in the discussion of the connections between circuits and communication protocols. The proposal would be higher rated if the proposal contained more details about this direction. _x000D_
_x000D_
Panel Rating: _x000D_
_ Highly Competitive_x000D_
_ Competitive_x000D_
X Low Competitive_x000D_
_ Not Competitive_x000D_
_x000D_
The summary was read by/to the panel and the panel concurred that the summary accurately reflects_x000D_
the panel discussion._x000D_
</t>
  </si>
  <si>
    <t xml:space="preserve"> Panel Summary       
  The proposal focuses on the problem of error correction for interactive communication over noisy channels (e.g., in order to execute protocols). The communication is done over very short messages, so the conventional error correction doesn't work. Hence, the project aims at developing a new approach for this problem._x000D_
_x000D_
INTELLECTUAL MERIT _x000D_
_x000D_
  Strengths:_x000D_
_x000D_
+ The topic is theoretically interesting and very challenging. Some of the problems discussed in the proposal are long standing open problems._x000D_
_x000D_
+ The proposal is ambitious and a series of challenging problems are proposed. The research plan is also well articulated._x000D_
_x000D_
+ There are several new and exciting ideas proposed, for example the issue of memory blow-up in error-resilient circuits is novel and exciting._x000D_
_x000D_
+ The PI is well qualified and has an excellent track record._x000D_
_x000D_
_x000D_
  Weaknesses:_x000D_
_x000D_
- The PI is considering challenging problems, however for some of them an approach to attack them is not discussed. For example, building a practical tree code is a very interesting open problem, but how does the PI plan to approach it?_x000D_
_x000D_
- The practical impact and motivation of the work could have been better articulated._x000D_
_x000D_
BROADER IMPACTS_x000D_
_x000D_
  Strengths:_x000D_
_x000D_
+ The broader impact section of the proposal is novel, and several creative methods for education and mentoring are proposed._x000D_
_x000D_
+ The plan for involvement of the undergraduate students is appreciated by the panel._x000D_
_x000D_
+ Joint activities to bring information theorists and computer scientists together are valuable. _x000D_
_x000D_
Weaknesses:_x000D_
_x000D_
- While the panel appreciates the details discussed in the broader impact section, a more balanced allocation of the 15-page budget between research plan and educational activities would have allowed the PI to provide further details on the technical approach to the problem._x000D_
_x000D_
SOLICITATION-SPECIFIC CRITERIA_x000D_
_x000D_
The scope of the proposal is quite ambitious and well suited for a 5-year award. The education and research activities are well integrated._x000D_
_x000D_
SUMMARY_x000D_
_x000D_
The proposal focuses on a series of challenging and important problems in the area of interactive communication over noisy channel. An ambitious research plan is proposed and the PI is well qualified. The broader impact section of the proposal is novel, and several creative methods for education and mentoring are proposed. _x000D_
_x000D_
The panel placed the proposal in the following category:_x000D_
[X ] Highly Competitive_x000D_
[ ] Competitive_x000D_
[ ] Low Competitive_x000D_
[ ]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</si>
  <si>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PI proposes to develop error correcting codes for communication that takes place over many interleaved rounds of interactive communication, which are interspersed with computations. This is an important engineering problem at the interface of electrical engineering and theoretical computer science. It is not possible to simply apply classical asymptotic results because the messages involved in interactive communication can be very short._x000D_
_x000D_
In joint work with Ghaffari and Sudan, the PI has determined, for various settings, the exact tolerable error rates up to which interactive communication can be maintained. There is still quite a different with the tight classical tradeoff between rate and distortion, but it is a significant result nonetheless. _x000D_
_x000D_
The proposed research program is organized into four directions. The problem of explicitly constructing tree codes, and that of deriving the fundamental tradeoff between rate and distortion, are recognized as fundamental and very difficult. The relationship between small circuits that are robust to gate failures and the memory efficiency of interactive communication is very interesting. Finally the whole area of cryptographic protocols and the privacy / utility tradeoff is full of interesting problems._x000D_
_x000D_
_x000D_
In the context of the five review elements, please _x000D_
evaluate the strengths and weaknesses of the proposal with respect to broader impacts._x000D_
_x000D_
The PI proposes to redesign and redevelop Great Theoretical Ideas in Theoretical Computer Science which is a signature sophomore course at CMU, attracting around 200 students per semester. He is experimenting with alternatives to traditional homework assignments, where students develop group solutions, but are responsible for writing down individual answers to a subset of questions in a proctored limited time session. He is also experimenting with conceptual office hours where TAs discuss concepts from lectures rather than homework problems. He works with the Eberly Center for Teaching Excellence and Educational Innovation to incorporate best practices into his teaching._x000D_
_x000D_
The PI has designed a new graduate course, Algorithmic Superpower: Randomization, aimed at advanced undergraduates and beginning graduate students, which includes a module on interactive communication. He intends to develop a second course with Venkat Guruswami that will connect classical information theory and coding with computational complexity. The PI has also redesigned the Algorithms, Combinatorics and Optimization graduate program, leading to a renewal of CS interest in interdisciplinary work involving the mathematical sciences._x000D_
_x000D_
The PI involves undergraduates in his research program, and works closely with CMU programming contest team which advanced to the World Finals in 2016. He is involved with PhD admissions at CMU, and has introduced best practices that create a more welcoming environment for women. It is remarkable that two out of three undergraduates on the CMU programming team were female, when there were only five women among the remaining 400 finals participants. _x000D_
_x000D_
The PI promotes engagement between the information theory and theoretical computer science communities by organizing workshops. He has organized special sessions at Allerton and ITW, a semester long program at the Institut Henri Poincare, and is planning a second semester long program on distributed computing at the Simons Institute in Berkeley._x000D_
_x000D_
_x000D_
Please evaluate the strengths and _x000D_
weaknesses of the proposal with respect to any additional solicitation-specific review criteria, if _x000D_
applicable_x000D_
_x000D_
_x000D_
_x000D_
Summary Statement_x000D_
_x000D_
Intellectual Merit: Excellent_x000D_
Broad Impact: Excellent_x000D_
_x000D_
</t>
  </si>
  <si>
    <t xml:space="preserve">In the context of the five review elements, please _x000D_
evaluate the strengths and weaknesses of the proposal with respect to intellectual merit._x000D_
_x000D_
Strengths:_x000D_
The proposal seeks to develop a theory for correcting errors in interactive communication (analogous to Shannon's theory for one-way communication)._x000D_
The PI has already made significant contributions to this area. He is uniquely qualified to do the proposed research. It seems that in [GHS14] and [GH14], he has already answered many fundamental questions on interactive coding._x000D_
_x000D_
Getting explicit construction of tree-codes or efficient decoding algorithms (analogous to Berlekamp-Massey decoding algrothm for RS codes) will be significant contributions._x000D_
_x000D_
This is a well-written proposal. The PI is extremely capable and has more than adequate resources to carry out the proposed activities._x000D_
_x000D_
_x000D_
_x000D_
_x000D_
In the context of the five review elements, please _x000D_
evaluate the strengths and weaknesses of the proposal with respect to broader impacts._x000D_
_x000D_
Strengths:_x000D_
The proposed project will have impact on multiple areas including cryptography and distributed machine learning._x000D_
_x000D_
The PI is passionate teacher in addition to a stellar researcher. The project will_x000D_
help in development of new course material._x000D_
_x000D_
The PI has proactively reached out to students from underrepresented groups._x000D_
_x000D_
Weaknesses:_x000D_
The PI is already supervising six Ph.D. students. Will he have the bandwidth to supervise additional students? Presumably, the project will support these existing students rather than new students._x000D_
_x000D_
Please evaluate the strengths and _x000D_
weaknesses of the proposal with respect to any additional solicitation-specific review criteria, if _x000D_
applicable_x000D_
_x000D_
_x000D_
_x000D_
Summary Statement_x000D_
_x000D_
Excellent proposal._x000D_
_x000D_
</t>
  </si>
  <si>
    <t xml:space="preserve">In the context of the five review elements, please _x000D_
evaluate the strengths and weaknesses of the proposal with respect to intellectual merit._x000D_
_x000D_
Strengths _x000D_
_x000D_
-	The proposal considers a series of problems that are of great recent interest and that are at the interface of theoretical computer science and information theory_x000D_
-	The PI has a strong track record in this area and has mastery of the related literature_x000D_
-	The scope of the proposal is quite ambitious. The PI mentions that what he has described in the proposal is only a fraction of what he intends to explore in this area_x000D_
-	The PI has a well thought out research agenda_x000D_
-	The work on error-resilient circuits and the issue of memory blow-up is a very interesting one that had hitherto not been explored_x000D_
-	The cryptography application, whether it is through the design of stronger cryptographic primitives, or strong error-correcting codes, is very interesting_x000D_
_x000D_
_x000D_
Weaknesses _x000D_
_x000D_
-	The extensive (more than five pages) material devoted to broader impacts is commendable, but it does detract from the main technical part of the proposal. (There really is no need to include the names of  all the undergraduate students involved, and such other details, etc.)_x000D_
-	The two main thrusts of the proposal (explicit design of tree codes in section 2.4 and fundamental limits in section 2.5) would have benefited from more detail. These are well recognized to be the main challenges in the field. However, section 2.5 contained no new idea and the Reed-Solomon-like code proposal for tree codes seemed very preliminary and somewhat na´ve._x000D_
_x000D_
_x000D_
_x000D_
_x000D_
In the context of the five review elements, please _x000D_
evaluate the strengths and weaknesses of the proposal with respect to broader impacts._x000D_
_x000D_
Strengths _x000D_
_x000D_
-	Excellent educational program: sophomore level course on "Great Theoretical Ideas in Theoretical Computer Science", new graduate courses, PI has twice participated workshops at the Eberly Center at CMU, _x000D_
-	PI has involved undergraduate students in his research and has co-coached CMU's team at the AMC ICPC contest_x000D_
-	PI has involved under-represented groups in his research_x000D_
-	The PI has a leadership role in the interdisciplinary ACO program at CMU_x000D_
-	The PI is very active in organizing workshops, giving tutorials and in other outreach efforts_x000D_
_x000D_
_x000D_
Weaknesses _x000D_
_x000D_
-	None._x000D_
_x000D_
_x000D_
Please evaluate the strengths and _x000D_
weaknesses of the proposal with respect to any additional solicitation-specific review criteria, if _x000D_
applicable_x000D_
_x000D_
_x000D_
_x000D_
Summary Statement_x000D_
_x000D_
This proposal deals with the problem of error correcting coding for interactive communications. It has four main thrusts, the explicit design of efficiently encodable and decodable tree codes, the study of the fundamental limits of interactive communication over noisy channels, as well as applications to error-resilient circuits and cryptography._x000D_
_x000D_
</t>
  </si>
  <si>
    <t xml:space="preserve">In the context of the five review elements, please _x000D_
evaluate the strengths and weaknesses of the proposal with respect to intellectual merit._x000D_
_x000D_
This career development plan aims at developing a theory and methods for correcting errors in interactive communications. The proposal's scope is broad, the projected outcome are of significant impact, and the PI's record in the area is extremely promising. In particular, the PI envisions addressing the following problems: _x000D_
_x000D_
1. the connection between resilient circuits and interactive communication. _x000D_
_x000D_
--&gt; The PI has interesting preliminary work here that grounds his proposed work in specific successes and methods. _x000D_
_x000D_
2. iterative coding and cryptographic protocols over networks w loss. _x000D_
_x000D_
---&gt; Here the PI suggests activities both for developing stronger crypto solutions that are robust to network failures and loss and also for improving the communications bounds for knowledge preserving signature schemes. The PIs preliminary work in this area is well explained and suggests a positive way forward. _x000D_
_x000D_
3) tree code construction. _x000D_
_x000D_
--&gt; This is an intellectually ambitious specific aims. Both stated objectives are known to be extremely challenging. The PI has some lead based on RS codes' algebraic construction and properties. The ideas are fresh but the PI admits that more sophisticated machinery might be needed.  Here, I believe, making connection to the practical codes developed by Hassibi et al on the topic would be beneficial. _x000D_
_x000D_
4) fundamental limits of interactive communications. _x000D_
_x000D_
--&gt; The statement of the objective is extremely ambitious as mentioned by the PI. Instead smaller more attainable asymptotic analysis is discussed. The questions are well motivated and the approach seems likely to succeed. _x000D_
_x000D_
The write up at points becomes too grandiose and unfocused but specifying the objectives and prior work's specific findings makes the case for each specific aim clear and easier to assess. That being said, at many places, the objectives seem to be somewhat disconnected. _x000D_
_x000D_
The PI has an excellent record and is well-positioned to conduct the proposed research._x000D_
_x000D_
In the context of the five review elements, please _x000D_
evaluate the strengths and weaknesses of the proposal with respect to broader impacts._x000D_
_x000D_
The proposal has a very good and solid educational component integrating the PI's teaching/mentoring/advising both at the undergraduate and graduate levels. The PI also has a strong interest and record in broadening the participation and addressing implicit bias. The PI also has an excellent record of organizing workshops and tutorials as well as service to the community._x000D_
_x000D_
Please evaluate the strengths and _x000D_
weaknesses of the proposal with respect to any additional solicitation-specific review criteria, if _x000D_
applicable_x000D_
_x000D_
_x000D_
_x000D_
Summary Statement_x000D_
_x000D_
In summary, this is an extremely intellectually ambitious program with potentially significant impact. The area of research is not as exciting to me as I believe practically distributed computation has gone away from the theoretically questions posed regarding minimizing rate of interactions. In fact, in the intersection of coding theory and distributed computing, the problem of coded computation and parallelization seem to be of far more practical relevance.  The PI is well positioned to address many of the problems specified. If successful, he will for sure put himself in a leadership position in the area of interactive communication for years to come._x000D_
_x000D_
</t>
  </si>
  <si>
    <t xml:space="preserve">In the context of the five review elements, please _x000D_
evaluate the strengths and weaknesses of the proposal with respect to intellectual merit._x000D_
_x000D_
The proposed activity aims to develop theory and techniques for interactive communication, where two-way communication on noisy channels occurs between two agents that wish to compute functions that depend on both their data. In this setting, Shannon type coding utilizing long codewords is not appropriate, and new approaches are called for. The proposed work has four thrusts: (i) explicit construction of tree codes, (ii) exploring fundamental tradeoff of rate and error, (iii) applications in memory-resilient circuits, and (iv) application in cryptography._x000D_
_x000D_
Strengths:_x000D_
_x000D_
+ The introduction of the research area, a cross section of its literature and some of its open problems, are nicely done._x000D_
_x000D_
+ The PI is well qualified for research in this area, evidenced by preliminary results._x000D_
_x000D_
+ Research questions are related to deep problems in theoretical computer science as well as emerging applications._x000D_
_x000D_
+ The proposed research involves creative and original concepts, and is well organized._x000D_
_x000D_
+ The outlining of a reasonable angle of attack, especially on difficult problems (e.g., Question 7) gives the proposal credibility._x000D_
_x000D_
_x000D_
In the context of the five review elements, please _x000D_
evaluate the strengths and weaknesses of the proposal with respect to broader impacts._x000D_
_x000D_
Strengths:_x000D_
_x000D_
+ The course development plan ties research with education._x000D_
_x000D_
+The undergraduate involvement is nice. Is the track record in this area related to PI's preliminary results in the research area of this proposal?_x000D_
_x000D_
+The efforts in recruiting under-represented groups, and leveraging CMU's existing infrastructure in that respect, are positive aspects of the activity._x000D_
_x000D_
Weaknesses:_x000D_
_x000D_
-The educational activities could have been better tied with the research topic of the proposed activity._x000D_
_x000D_
_x000D_
Please evaluate the strengths and _x000D_
weaknesses of the proposal with respect to any additional solicitation-specific review criteria, if _x000D_
applicable_x000D_
_x000D_
+ The scope of the project is compatible with its 5-year duration._x000D_
+The research and educational parts of the proposal are related._x000D_
+The departmental letter indicates mentoring and support for the PI._x000D_
_x000D_
_x000D_
Summary Statement_x000D_
_x000D_
This is a well-written proposal by a qualified PI on an emerging subject with obvious theoretical importance as well as potential practical impact. The activity can advance the state of knowledge in its field. The proposal is well organized and involves creative and novel concepts. The PI has the resources to undertake the proposed activity._x000D_
_x000D_
</t>
  </si>
  <si>
    <t xml:space="preserve">In the context of the five review elements, please _x000D_
evaluate the strengths and weaknesses of the proposal with respect to intellectual merit._x000D_
_x000D_
This proposal is about interactive coding. The broad problem here is to convert any given  interactive communication protocol into one that is resilient to transmission errors, while preserving its functionality. The PI has written many papers on the subject and seems well placed to make further progress. The goals outlined in the proposal are certainly worthy of support. _x000D_
_x000D_
There are some issues with some of the proposed approaches to tackling them. The first goal outlined is about finding circuits resilient to short-circuit errors by solving the corresponding communication problem, which the PI explains is similar to finding error-resilient versions of protocols with small memory usage. However, the proposal does not address some of the basic challenges involved in getting such an approach to work. For one thing, every Karchmer-Wigderson game has a logarithmic complexity randomized communication protocol---the randomized complexity of solving Karchmer-Wigderson games says nothing about circuits. Secondly, every Karchmer-Wigderson game for n-bit inputs has a deterministic protocol with O(n) memory states (and O(n) communication) that solves the game. So again, the number of memory states used to solve the game has nothing to do with circuit size. In particular, Objective 2 cannot possibly be accomplished, because otherwise, plugging in the O(n) state protocol above, one would presumably obtain a circuit of subexponential size for every boolean function, something we know is not possible. The proposal does not adequately address the subtleties involved in the connection between boolean circuits and interactive protocols._x000D_
_x000D_
The other topics discussed in the proposal involve improved interactive coding schemes with nice cryptographic properties, better constructions of tree codes, and problems related to finding the optimal tradeoff between rate and errors of these coding schemes. These are all worthwhile goals._x000D_
_x000D_
_x000D_
In the context of the five review elements, please _x000D_
evaluate the strengths and weaknesses of the proposal with respect to broader impacts._x000D_
_x000D_
This proposal contains a detailed plan for broad impact. The PI has given many well received lectures about this line of work already, and plans to continue this good work. _x000D_
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</si>
  <si>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PI proposes questions in the exciting area of interactive coding. Some of the questions regard memory requirements, questions in circuit complexity_x000D_
and their relationship to the existence of good interactive coding schemes, finding techniques that do not rely on tree codes, constructing tree codes explicity, the interaction of interactive coding and crypto._x000D_
_x000D_
The PI demonstrates promising directions, and has already made outstanding contributions in the area._x000D_
_x000D_
In the context of the five review elements, please _x000D_
evaluate the strengths and weaknesses of the proposal with respect to broader impacts._x000D_
_x000D_
* revamping undergrad courses_x000D_
* programming contest_x000D_
* great research advising record already_x000D_
* tutorials, workshops, coorganize semester program at SIMONS_x000D_
_x000D_
Please evaluate the strengths and _x000D_
weaknesses of the proposal with respect to any additional solicitation-specific review criteria, if _x000D_
applicable_x000D_
_x000D_
_x000D_
_x000D_
Summary Statement_x000D_
_x000D_
+ interesting questions_x000D_
+ fantastic track record_x000D_
+ good quality broader impacts_x000D_
_x000D_
</t>
  </si>
  <si>
    <t xml:space="preserve">In the context of the five review elements, please _x000D_
evaluate the strengths and weaknesses of the proposal with respect to intellectual merit._x000D_
_x000D_
Compelling research program of further developing the theory of correcting errors in interactive communication.  The PI discusses two widely recognized fundamental problems, constructing tree codes and determining the tradeoff between communication rate and tolerable error rate.  He further suggests two other problems, exploring the connection between circuits robust to gate failures and interactive coding schemes, and exploring connections between interactive communication and cryptography.  The PI has a strong track record in the field._x000D_
_x000D_
A weakness is that I've seen other proposals for tree codes based on Reed-Solomon codes, and it's very unclear that this proposal is any more likely to admit a proof of correctness than any of the others._x000D_
_x000D_
_x000D_
In the context of the five review elements, please _x000D_
evaluate the strengths and weaknesses of the proposal with respect to broader impacts._x000D_
_x000D_
The PI proposes several targets: teaching, advising, involving students from underrepresented groups, interdisciplinary education, and tutorials at workshops._x000D_
_x000D_
Please evaluate the strengths and _x000D_
weaknesses of the proposal with respect to any additional solicitation-specific review criteria, if _x000D_
applicable_x000D_
_x000D_
_x000D_
_x000D_
Summary Statement_x000D_
_x000D_
A strong proposal about error correction in the interactive setting._x000D_
_x000D_
</t>
  </si>
  <si>
    <t>This career development plan aims at developing a theory and methods for correcting errors in interactive communications. _x000D_
_x000D_
Shannon's ``A Mathematical Theory of Communication'' established such a theory for one-way communications. Subsequently, coding theory produced computationally efficient methods for reliable data transmissions over unreliable channels. While error correcting codes have transformed communication technologies over the last decades modern communication settings often go beyond one-way transmissions and instead require many interleaved rounds of interactive communication. Over the last years, research developing interactive equivalents of good error correcting codes has gained a lot of attention and the PI has been on the forefront of this effort._x000D_
_x000D_
This proposals outlines the PI's plan to further drive this research direction over the next five years. It gives a large number of interesting aspects to study. This the most important core questions of the research area, namely, explicit constructions of tree-codes, a powerful but so-far elusive type of online-code and determining the fundamental communication rate limits for error correction in interactive communications. It also demonstrates the breadth and wider applicability of the direction by showing connections to other areas of theoretical computer science, including, cryptography, privacy, memory efficient error resilient computations and robust circuits. Lastly, it outlines initiatives of the PI to inform and excite undergraduates, graduate students, the larger scientific community about this research through education and outreach.Understanding the possibilities, limitations, and theoretical underpinnings of reliable interactive communication in the presence of noise is a basic and fundamental question. It combines themes of reliable communication, distributed computation, and the nature of information flow in interactions that have driven the curiosity of the PI since years. It is the PI's vision and goal to transform this relatively young research direction into a well founded and well understood mathematical and computational theory of reliable interactive communication. This vision and passion is shared by many of the PI's collaborators, in both the theoretical computer science and information theory community, and has already lead to exciting and promising initial results. Similar to the theory of error correcting codes this interactive coding theory is poised to find applications in and develop deep connections to other sub-fields in mathematics and computer science.The career development plan has a strong focus on its educational component which outlines the PI's past and future teaching efforts and initiatives, including the integration of the proposed research into a large undergraduate course and the PI's newly designed graduate course. It also provides steps taken to excite, recruit, mentor and include undergraduates in the outlined research as well as steps to integrate and attract more students from underrepresented groups. The research proposed will be carried out in broad collaborations with colleagues from different universities, countries, and disciplines as well as the PI's own group of graduate students. _x000D_
_x000D_
Key Words: Interactive Communication, Communication Complexity, Reliable Computation and Communication, Interactive Coding Theory, Interactive Information Theory.</t>
  </si>
  <si>
    <t>1750893</t>
  </si>
  <si>
    <t>Xie</t>
  </si>
  <si>
    <t xml:space="preserve"> Panel Summary       
 Description: _x000D_
_x000D_
The PI proposes to study three problems about the analysis of Boolean functions: the log-rank conjecture for XOR functions, the sensitivity conjecture, and understanding the structure of Boolean functions with small Fourier-L1 norm._x000D_
_x000D_
Intellectual Merit:_x000D_
Strengths_x000D_
  + Interesting questions, though well known._x000D_
  + PI had a nice FOCS 2013 paper making progress on the first question, and suggests ideas from that paper in the proposal._x000D_
_x000D_
Weaknesses_x000D_
  - The ideas to attack these questions don't appear new._x000D_
  - Proposal seems not up to date on all the topics, not mentioning an exponential improvement in the last problem and a smaller improvement in the first problem._x000D_
   - Relevant track record not as good as other PIs, though he also did important work in the unrelated area of local computation._x000D_
   - Not written for a broad audience._x000D_
_x000D_
Broader Impact: _x000D_
Strengths_x000D_
  + FIU is very diverse, and the PI has co-advised two Hispanic PhD students._x000D_
  + PI aims to include undergraduates in research._x000D_
_x000D_
Weaknesses_x000D_
_x000D_
Suggestions to PI:_x000D_
Probably need more results and ideas to make this competitive._x000D_
_x000D_
Justification for Panel Rating:_x000D_
See intellectual merit weaknesses._x000D_
_x000D_
Panel Rating: _x000D_
_ Highly Competitive_x000D_
_ Competitive_x000D_
_ Low Competitive_x000D_
x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</si>
  <si>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(NC) for proposal with low review scores_x000D_
_x000D_
CAREER: A Study of Some Problems in Boolean Function Analysis_x000D_
_x000D_
L: 1750893 Xie, Ning Florida International Univ $  520,820_x000D_
_x000D_
_x000D_
P180209 NC AF CAREER/CRII Panel B (12 panelists; 1 decl confl),_x000B_  on 11/21/2017, recommended as Not Competitive (G,F,F)_x000D_
Std competition rank 18 of 29 rated projects: 5 HC, 9 C, 11 LC, 4 NC _x000D_
_x000D_
Ad hoc reviews (1): F, with last on 11/15/2017_x000D_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Cognizant Program Director  _x000D_
Wednesday, December 13, 2017_x000D_
_x000D_
_x000D_
_x000C__x000D_
</t>
  </si>
  <si>
    <t>KG0982206</t>
  </si>
  <si>
    <t>ODonnell</t>
  </si>
  <si>
    <t>odonnell@cs.cmu.edu</t>
  </si>
  <si>
    <t xml:space="preserve">In the context of the five review elements, please _x000D_
evaluate the strengths and weaknesses of the proposal with respect to intellectual merit._x000D_
_x000D_
The overall topic of the proposal is a good one: (Fourier) Analysis of Boolean functions, a foundational area of computer science research that the PI has worked in previously.  This is an area that perhaps centers more around problem-solving than theory-building, so the PI's proposal -- which essentially gives a few major open problems to tackle -- is a reasonable approach.  The 3 main problems discussed are:_x000D_
_x000D_
1. The Log-Rank Conjecture for XOR functions.  (The PI has one directly relevant paper on this, from FOCS 2013, and what slightly less related paper, from CSR 2016.)_x000D_
_x000D_
2. The (rather infamous) Sensitivity Conjecture._x000D_
_x000D_
3. Improving the Green-Sanders Theorem on the structure of Boolean functions with small Fourier-L1 norm._x000D_
_x000D_
On one hand, these problems do not have major transformative consequences, but they are certainly well-known (especially #2) and are reasonable test-beds for trying to develop and sharpen Boolean function tools.  The PI says he will try to bring to bear F_2-polynomial representation and coding theory, as well as the usual Fourier analysis._x000D_
_x000D_
I must admit I didn't find that the PI had any striking-sounded new approaches; for #1 and #3 he mentioned ideas from his 2013 paper, and for #2... well, I feel no one has any great ideas for #2._x000D_
_x000D_
One thing that concerned me is that the PI does not seem completely up-to-date on the topics.  For example, regarding #3, he states that the Green-Sanders (2008) bound is doubly-exponential, and he hopes to bring it down to singly-exponential, or even quasipolynomial.  But in fact, it was already brought down to singly-exponential by Sanders in 2016 (https://arxiv.org/abs/1610.07092).  As an additional (albeit much less important) example, in describing the general Log-Rank conjecture, he states that the best known lower bound (power of log_3(6)) is due to Kushilevitz'94.  But in fact, this was recently improved (power of 2) by Goos-Pitassi-Watson'15.  These two examples make me slightly nervous that the PI is not completely in tune with recent progress on the problems he's proposed._x000D_
_x000D_
I should add that the PI also mentions a few more smaller additional problems he wants to tackle: improving the trivial Cauchy--Schwarz upper bound of ||\hat{f}||_1^2 &lt;= ||f||_1 to ||\hat{f}||_1^2 &lt;= (2/pi + o(1))||f||_1 for Boolean functions, and the also tackling the "Fourier Entropy-Influence" inequality.  Again, these are fine problems, though I didn't see any particularly innovative approach suggested._x000D_
_x000D_
_x000D_
_x000D_
In the context of the five review elements, please _x000D_
evaluate the strengths and weaknesses of the proposal with respect to broader impacts._x000D_
_x000D_
Regarding broader impacts, the proposal makes a token effort to say that Boolean Function Analysis could be important for distant areas such as crypto, security, network design, databases, but nothing is added to back this up._x000D_
_x000D_
The more promising broader impacts are regarding training and development of students from under-represented populations.  The PI notes that his institution (FIU) has a particularly high level of diversity, and the PI says he has previously co-advised 1 Hispanic PhD student (and also 1 female PhD student).  This is certainly promising.  _x000D_
_x000D_
The PI also mentioned the possibility of taking an interest in elementary education, but concrete steps have not yet been taken (it was more like, "The PI plans to...")._x000D_
_x000D_
_x000D_
Please evaluate the strengths and _x000D_
weaknesses of the proposal with respect to any additional solicitation-specific review criteria, if _x000D_
applicable_x000D_
_x000D_
Not relevant._x000D_
_x000D_
Summary Statement_x000D_
_x000D_
Overall, I was a little concerned about the PI's ability to make major progress in the area.  Although he has done some good work in the past, it has been a bit distant; his relevant papers he quoted were from CSR'16, FOCS'13, SODA'10, and then two more papers from a decade ago.  As I mentioned, the PI was also not fully up-to-date on some of the problems he discussed.  (Finally, the writing quality of the proposal was adequate, but not particularly high-quality.)_x000D_
_x000D_
</t>
  </si>
  <si>
    <t xml:space="preserve">In the context of the five review elements, please _x000D_
evaluate the strengths and weaknesses of the proposal with respect to intellectual merit._x000D_
_x000D_
This proposal is about the complexity of boolean functions. It has some ambitious goals, for example proving the sensitivity conjecture and the entropy-infuence conjecture. However, the proposal is a bit short on intermediate problems that seem both approachable and tractable. The PI also proposes studying the log-rank conjecture for XOR functions. Here the problem does seem more tractable, and the PI has proposed some plausible approaches to the problem, but the goal is a little less interesting to me._x000D_
_x000D_
Overall, I think the proposal has solid intellectual merit._x000D_
_x000D_
_x000D_
In the context of the five review elements, please _x000D_
evaluate the strengths and weaknesses of the proposal with respect to broader impacts._x000D_
_x000D_
The PI has a good plan for increasing the visibility of TCS at FIU, and for bringing TCS to a broad audience._x000D_
_x000D_
Please evaluate the strengths and _x000D_
weaknesses of the proposal with respect to any additional solicitation-specific review criteria, if _x000D_
applicable_x000D_
_x000D_
_x000D_
_x000D_
Summary Statement_x000D_
_x000D_
This proposal should be funded if possible._x000D_
_x000D_
</t>
  </si>
  <si>
    <t xml:space="preserve">In the context of the five review elements, please _x000D_
evaluate the strengths and weaknesses of the proposal with respect to intellectual merit._x000D_
_x000D_
The author proposes a program to study Boolean function analysis via the Fourier spectrum.  _x000D_
_x000D_
1)	One item proposed to be studied is the log-rank conjecture.  The author proposes a simpler version on "XOR-functions".  _x000D_
2)	The sensitivity conjecture.  _x000D_
3)	Improving the Green-Sanders upperbound on the number of subspaces.  _x000D_
_x000D_
These are (at least the first two), very well-known conjectures in the area.  I confess I do not really understand their importance, and the proposal did not aid in this.  _x000D_
_x000D_
The author lays out several approaches to these problems (which are very difficult problems that have withstood much scrutiny) including: GF(2) polynomial understanding of Boolean functions; some recent advances in coding theory; and additive combinatorics.    _x000D_
_x000D_
I will confess that I could not follow the details at a low level here.  I cannot judge whether the approaches are novel or well-reasoned other than to say the sound plausible at a very surface level._x000D_
_x000D_
The PI has background in the area adequate to reasonably try tackling these problems.  It is a little disconcerting that he has no results (after two years) from his other NSF CCF award.  _x000D_
_x000D_
Notes:_x000D_
_x000D_
Large swaths of this proposal were unintelligible to me.  Several key definitions were deferred to a nonexistent "appendix" (including granularity and GF(2) polynomial understanding of Boolean functions)  _x000D_
_x000D_
I have taken a course on Boolean function analyses, and used it in my research (though I am not an expert).  The proposal would be improved greatly if it were written for an appropriate audience (I understand this is very difficult).   _x000D_
_x000D_
When I was starting out, I did not realize this: people actually read these proposals carefully!  90% of it should be understandable by the person reading it (me in this case).  Your structure is to have high-level overview and then details for the "expert".  The problem is that there are only 3-4 TCS experts (not Fourier analysis experts) reading this.  Most of the time, there is no area "expert".  So your technical proposal largely ends after page 5.   We have a fair bit of patience for some detailed explanations, but at the end, we want to understand them.  _x000D_
_x000D_
The author could add social networks to the uses of Fourier analysis on Boolean functions.  However, it would also add, that it would be great to make the connections of the research in THIS proposal link outside Boolean function analysis.  It is not very convincing to say that A relates to B and B relates to C.  Because C is important, so is A.  A could relate to a completely useless part of B that says nothing about C.  Making these connections explicit (and intelligible to a TCS expert) will strengthen the proposal.  _x000D_
_x000D_
_x000D_
_x000D_
In the context of the five review elements, please _x000D_
evaluate the strengths and weaknesses of the proposal with respect to broader impacts._x000D_
_x000D_
This proposal aims to tackle ambitious problems.  If solved they will likely have impacts beyond TCS.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Please evaluate the strengths and _x000D_
weaknesses of the proposal with respect to any additional solicitation-specific review criteria, if _x000D_
applicable_x000D_
_x000D_
The author has set out a very thoughtful plan for on-boarding students with limited background to this very challenging endeavor.  This proposal will also contribute to two graduate courses under development (the author already designed one new course).  Outside of classes, the author will develop a reading group.  _x000D_
Also the author intends to incorporate undergraduates in research.  Given that his institution is majority minority, this will provide TCS with a more diverse set of scholars.  _x000D_
The PI already has outreach efforts to high school teachers and high school students.  He also intends to extend this to elementary school students through the program Computer Science Unplugged.  _x000D_
_x000D_
_x000D_
Summary Statement_x000D_
_x000D_
The proposal is an ambitious undertaking two some of the most challenging problems in TCS.  The importance of these problem and the proposed techniques could have been better argued.  The educational outreach aspect is strong both in its proposal, the prior work of the author, and the author's university/location._x000D_
_x000D_
</t>
  </si>
  <si>
    <t xml:space="preserve">In the context of the five review elements, please _x000D_
evaluate the strengths and weaknesses of the proposal with respect to intellectual merit._x000D_
_x000D_
The PI proposes to study several interesting and well known problems in the analysis of Boolean functions, including the log-rank conjecture and the sensitivity conjecture. He presents some interesting ideas, notably a few that stem from the PI's FOCS 2013 paper about the log-rank conjecture and Fourier sparsity.  While this paper seems nice,  it's unclear why progress should be made now when progress was slower after 2013.  The log-rank conjecture and sensitivity conjecture seem very difficult.  The PI's track record appears weaker than other applicants, with only two STOC/FOCS publications (from 2013 and 2007), two SODA papers (2012 and 2010), and three ICALP papers (from 2016, 2012, and 2010)._x000D_
_x000D_
_x000D_
In the context of the five review elements, please _x000D_
evaluate the strengths and weaknesses of the proposal with respect to broader impacts._x000D_
_x000D_
FIU is one of the leading minority-serving research universities in the country. The PI has co-advised two Hispanic PhD students._x000D_
_x000D_
Please evaluate the strengths and _x000D_
weaknesses of the proposal with respect to any additional solicitation-specific review criteria, if _x000D_
applicable_x000D_
_x000D_
_x000D_
_x000D_
Summary Statement_x000D_
_x000D_
While the PI proposes interesting ideas in the analysis of Boolean functions, his track record is probably not strong enough to justify a CAREER award at this time._x000D_
_x000D_
</t>
  </si>
  <si>
    <t>Boolean function is one of the most fundamental computation models in theoretical computer science. Applying analytic tools, especially Fourier analysis, to the study Boolean functions has led to fruitful research in many areas such as complexity theory, learning theory, inapproximability, pseudorandomness, metric embedding, property testing, threshold phenomena, social choice, etc.   _x000D_
_x000D_
In this proposal, the PI aims at developing new tools and techniques to study several open problems in the analysis of Boolean functions._x000D_
Specifically, the PI plans to apply GF(2)-polynomial paradigm, coding theoretic methods, additive combinatorics, together with traditional Fourier analytic methods to make progress on the problems of the Log-rank conjecture for XOR functions, the Sensitivity conjecture, tighter characterizations of complexity measures in decision tree complexity, decomposing Boolean functions with small spectral norms, Fourier Entropy Influence (FEI) conjecture, and so on.The proposed research attempts to address some fundamental open problems in Boolean functions, develop novel tools and techniques for analyzing the Fourier spectra of Boolean functions, and reveal new connections between the Fourier spectral and various other complexity measures of Boolean functions. As a foundational research frontier in theoretical computer science, advances in the studies of Boolean functions will have significant impacts on a wide range of areas within computer science, such as complexity theory, learning theory, coding theory, derandomization, approximation algorithms, streaming algorithms, and social choice theory. Due to its close relationship with discrete mathematics and functional analysis, progress in the analysis of Boolean functions will have far-reaching implications in combinatorics, number theory, analysis, and other branches of mathematics.Understanding various properties, including complexity measures, _x000D_
of Boolean functions poses one of the greatest challenges in theoretical computer science. The proposed research will deepen our understanding of Boolean functions from the perspective of Fourier spectral, and thus have the potential of fundamentally changing the way Boolean functions are designed, analyzed and processed. Moreover, due to the intimate connections between Boolean functions and other computational and combinatorial objects, this new study could have far-reaching implications in many other areas in computer science, such as cryptography, cyber security, network design and database systems._x000D_
_x000D_
An integral part of this proposal are the educational components,_x000D_
which are designed to ensure the proposed research's broader impact and improve workforce training. The program includes developing undergraduate and graduate courses geared toward disseminating _x000D_
new algorithmic ideas outside the theoretical computer science community, as well as recruiting and advising graduate students from under-representative groups._x000D_
_x000D_
Given the relatively small number of minority PhD students across the country, it is significant to note that FIU is one of the largest minority-serving research universities in Unite States. The PI has co-advised a Hispanic PhD student and is currently co-advising another female PhD student with another faculty member in the department. With the support of this project, the PI is committed to recruiting more undergraduate and graduate students from minority groups to carry out research in theoretical computer science and, more generally, to pursue computationally-oriented scientific careers.</t>
  </si>
  <si>
    <t>1751040</t>
  </si>
  <si>
    <t>Price</t>
  </si>
  <si>
    <t xml:space="preserve"> Panel Summary       
  Description: _x000D_
This proposal will consider two directions:  First, this work will develop algorithms for recovering continuous signals which have sparse representations, analogous to the important thrust of ongoing work for discrete signals with sparse representation.   Second, this work will develop sublinear time and space algorithms for estimating properties of distributions with better p-values (that is, in terms of the confidence parameters) and for estimating parameters of graphs._x000D_
_x000D_
Intellectual Merit: _x000D_
_x000D_
_x000D_
Strengths_x000D_
  + Question are compelling and well-motivated._x000D_
  + The PI is well-qualified, has made partial progress and has a good track record in this area_x000D_
  + Likely to have practical impact._x000D_
  + Likely to lead to interesting theoretical work._x000D_
  + well-written proposal_x000D_
  + connections with deep nets  are interesting_x000D_
Weaknesses_x000D_
  - The second direction could have been elaborated better._x000D_
_x000D_
Broader Impact: Broader impact includes industrial use of techniques in their algorithms.  The PI plans to work with the USA Olympiad to increase participation, with a special target for diversity.   The PI will integrate more programming assignments into the algorithms class._x000D_
_x000D_
Strengths_x000D_
  + Research is likely to have industrial impact_x000D_
  + PI plans to work with USA Computing Olympiad and high schoolers_x000D_
  - Some of the processes for raising awareness (e.g. handing out flyers) could be better thought out._x000D_
_x000D_
Solicitation-specific criteria: The PI will integrate education and research by designing new graduate courses and enhancing undergraduate courses._x000D_
_x000D_
Data Management Plan:  Adequate_x000D_
_x000D_
Collaboration Plan: not needed_x000D_
_x000D_
What is bold, exciting, high risk/reward, or potentially transformative? _x000D_
 Data that comes from the continuous domain occurs widely.   Our ability to deal with it in better ways will be transformative.  _x000D_
_x000D_
Suggestions to PI: _x000D_
_x000D_
Justification for Panel Rating:  The questions raised are important, and the PI is well-qualified to make progress in these directions. However, there were other stronger proposals in the panel._x000D_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</si>
  <si>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is extremely well organized and clear questions -- does a good job of showing how the problems and areas that are targeted have clear impact not only in their domain but also across domains. The research questions are ambitious but also extremely focused and clear._x000D_
_x000D_
While there was not significant detail on moving to practice and the PI has had success in technology commercialization this proposal does not address how the proposed courses of theoretical research may be exposed to practice.  However, these links don't seem hard to make: i.e., with the distribution testing creating tools / algorithms online or in the case of sample complexity to GANs this could have direct impact._x000D_
_x000D_
2. To what extent do the proposed activities suggest and explore creative, original, or potentially transformative concepts?_x000D_
_x000D_
The questions addressed are well grounded in creative and address fundamental gaps between the theory and more practical aspects (data limited aspects) of signal recovery and property testing._x000D_
_x000D_
3. Is the plan for carrying out the proposed activities well-reasoned, well-organized, and based on a sound rationale? Does the plan incorporate a mechanism to assess success?_x000D_
_x000D_
There is a clear integration between these questions and they are important. Additionally the questions are related but not interdependent such that advances could be used across questions but failure to make progress in any of the theoretical areas will not impede the others._x000D_
_x000D_
4. How well qualified is the individual, team, or institution to conduct the proposed activities?_x000D_
_x000D_
The main questions are well integrated and show a clear focus from the PI in terms of research direction for which he is well qualified based on past publications and performance.  The fundamental questions are informed by the PIs PhD research so he is in a good place to conduct the proposed activities._x000D_
_x000D_
5. Are there adequate resources available to the PI (either at the home institution or through collaborations) to carry out the proposed activities?_x000D_
_x000D_
There is sufficient resources from the department to carryout the proposed research activities._x000D_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broader impacts are ambitious and the PI seems to have a real desire to see the work translated to practice through working on concrete problems of industrial interest (i.e., signal processing).  He also is very invested in expanding the scope of IOI/USACO.  It is unclear to me how impactful this channel will be and how it compares to the scope and impact of the ACM Programming Competition.  _x000D_
_x000D_
2. To what extent do the proposed activities suggest and explore creative, original, or potentially transformative concepts?_x000D_
_x000D_
The broader impacts are creative and explore underutilized resources (USACO) along with potentially transformative applications of algorithms through technology transfer._x000D_
_x000D_
3. Is the plan for carrying out the proposed activities well-reasoned, well-organized, and based on a sound rationale? Does the plan incorporate a mechanism to assess success?_x000D_
_x000D_
See 5, there are good measure for success identified w.r.t. the USACO participation as well as the teaching and mentoring aspects of the project._x000D_
_x000D_
4. How well qualified is the individual, team, or institution to conduct the proposed activities?_x000D_
_x000D_
The PI is a graduate of the programs he has identified and is hence well qualified to execute.  He also has a good track record of teaching and commercialization so he is well qualified for these tasks._x000D_
_x000D_
5. Are there adequate resources available to the PI (either at the home institution or through collaborations) to carry out the proposed activities?_x000D_
_x000D_
W.r.t the outreach related to IOI/USACO I am not sure if flyers are sufficient.  Additionally, it is not clear how this is connected to the bulk of the proposal and how one informs the other. Or how this integrates with the well established ACM programming competition which is only mentioned in passing._x000D_
_x000D_
Please evaluate the strengths and _x000D_
weaknesses of the proposal with respect to any additional solicitation-specific review criteria, if _x000D_
applicable_x000D_
_x000D_
_x000D_
_x000D_
Summary Statement_x000D_
_x000D_
A strong proposal that identifies important and key questions in the area of signal processing and property testing.  Good opportunity for broad impact through technological advances and technology transfer.  Several key areas for outreach are identified but could be developed slightly better._x000D_
_x000D_
</t>
  </si>
  <si>
    <t xml:space="preserve">In the context of the five review elements, please _x000D_
evaluate the strengths and weaknesses of the proposal with respect to intellectual merit._x000D_
_x000D_
This proposal is about understanding several well motivated families of problems. The first has to do with recovering a function with a sparse fourier-spectrum. When the spectrum is supported on discrete frequencies, the problem is well studied. The PI suggests several interesting questions in this regard. These problems are extremely well motivated by practical applications, and progress on them is likely to involve some interesting theoretical work. The PI also suggests studying problems related to robust polynomial regression, where again the problem is quite interesting and the PI has made partial progress already._x000D_
_x000D_
The PI has already established a strong track record of coming up with interesting answers to similar questions._x000D_
_x000D_
In the second part of the proposal the PI discusses problems related to distribution testing and in the third, counting triangles in graphs using streaming algorithms. These are also interesting topics that the PI has had past success with._x000D_
_x000D_
Overall, I find the propoal to have a lot of intellectual merit._x000D_
_x000D_
_x000D_
In the context of the five review elements, please _x000D_
evaluate the strengths and weaknesses of the proposal with respect to broader impacts._x000D_
_x000D_
The PI has been involved with the USA computing Olympiad, and plans to continue advacing theoretical computer science via this participation. Generally, he has a good plan for continuing to have broad impact, both through education and via interaction with other research communities. _x000D_
_x000D_
_x000D_
Please evaluate the strengths and _x000D_
weaknesses of the proposal with respect to any additional solicitation-specific review criteria, if _x000D_
applicable_x000D_
_x000D_
_x000D_
_x000D_
Summary Statement_x000D_
_x000D_
This proposal should be funded._x000D_
_x000D_
</t>
  </si>
  <si>
    <t xml:space="preserve">In the context of the five review elements, please _x000D_
evaluate the strengths and weaknesses of the proposal with respect to intellectual merit._x000D_
_x000D_
PI proposes two major thrusts:_x000D_
(1) Continuous sparse recovery problems:  The PI suggests a research program, as in the (highly successful) large body of work on *discrete* sparse recovery, for continuous sparse recovery.   Since an important class of is continuous, this direction is crucial.  The PI gives a number interesting mathematical suggestions for how he plans to pursue this plan.  (2)  The PI suggests interesting questions in property testing of distributions, namely to reduce the dependence on the confidence parameter, and in sublinear time and space algorithms for triangle counting.   The former builds on previous work of the PI and the proposal suggests directions for making further progress.  _x000D_
_x000D_
The PI is highly qualified to make progress on this project._x000D_
PI proposed interesting questions in signal recovery and property testing.  Fpr tInteresting techniques are suggested for continuous_x000D_
sparse recovery problems, generative models,faster robust polynomial regression and faster property testing of distributions._x000D_
_x000D_
The PI has a very strong research track record, and has made fantastic contributions in the area of the proposal._x000D_
_x000D_
In the context of the five review elements, please _x000D_
evaluate the strengths and weaknesses of the proposal with respect to broader impacts._x000D_
_x000D_
Solutions to sparse recovery for continuous signals will have impact on industry._x000D_
_x000D_
PI will work with USA Computing Olympiad and with high schools.   Places emphasis on more involvement in general, and specifically more diversity involvement._x000D_
_x000D_
Please evaluate the strengths and _x000D_
weaknesses of the proposal with respect to any additional solicitation-specific review criteria, if _x000D_
applicable_x000D_
_x000D_
_x000D_
_x000D_
Summary Statement_x000D_
_x000D_
+ strong track record_x000D_
+ high likelihood of progress_x000D_
+ many of the problems have a fundamental feel._x000D_
+ interesting ideas are suggested for solving them_x000D_
+ likely to have impact on industry_x000D_
_x000D_
</t>
  </si>
  <si>
    <t xml:space="preserve">In the context of the five review elements, please _x000D_
evaluate the strengths and weaknesses of the proposal with respect to intellectual merit._x000D_
_x000D_
There are two main threads in the proposal: (1) to develop new algorithms for recovering signals with sparse Fourier transforms for continuous signals, and (2) to develop new property testing algorithms for distribution testing and estimating parameters over graphs. _x000D_
_x000D_
(1) Most existing results only apply to the discrete setting where the current literature also provides approach that is robust to noise (close to k-sparse signal). These algorithms do not carry over to the continuous setting. There are some old work on continuous setting for noiseless case, but when developing robust algorithms, no known algorithm has sublinear sample complexity in terms of k, and all require certain gap in the frequency spectrum. The PI proposes to analyze various new questions in this domain, especially the connection to sample complexity of deep networks is very interesting. _x000D_
_x000D_
(2) While there has been many results in distribution testing, the impact of those results have been limited. The PI proposes new approach for distribution testing to make the results compatible to hypothesis testing, which on the other hand has enormous practical usage. For example, for uniformity testing, the property testing results suggests \Theta(sqrt{n}/epsilon^2) samples are enough to distinguish a distribution being uniform or \epsilon-far in total variation distance. PI argues the probability amplification step that amplifies the success probability from a constant to any arbitrary precision is problematic as it involves repeating the experiment many times. It introduces large constant factors. PI asks if it is possible to develop simple test statistics that avoid this easy repetition technique. For uniformity testing, such a tester is possible, and PI will try to develop such tester for other problems. PI also asks some interesting questions about counting triangles in the streaming model and understanding the space complexity requirements for turnstile vs sampling model._x000D_
_x000D_
Summary of strength and weakness: Well-written proposal by a qualified PI. The first part of the proposal on sparse Fourier recovery of continuous signals is compelling. The last two sections, especially the one on graph streaming could have been elaborated better._x000D_
_x000D_
In the context of the five review elements, please _x000D_
evaluate the strengths and weaknesses of the proposal with respect to broader impacts._x000D_
_x000D_
Well written broader impact section. The research is likely to have industrial impact (though no industrial collaboration letter has been submitted). The PI plans to work with the USA Computing Olympiad to teach high schoolers advanced algorithmic programming. PI will advise undergraduates and graduate students and develop courses where students can get more hands-on experience with the algorithms._x000D_
_x000D_
Please evaluate the strengths and _x000D_
weaknesses of the proposal with respect to any additional solicitation-specific review criteria, if _x000D_
applicable_x000D_
_x000D_
_x000D_
_x000D_
Summary Statement_x000D_
_x000D_
Overall, the proposal is well-written and is likely to produce interesting results both of theoretical and practical interest._x000D_
_x000D_
</t>
  </si>
  <si>
    <t>From medical imaging to astronomy, scientific hypothesis testing to data analysis, computers are used in a wide variety of areas where computation is cheaper than data collection. Such situations call for algorithms that are not just fast, but more importantly data efficient._x000D_
_x000D_
This proposal focuses on algorithms for fundamental computational problems of interest in both theory and practice. It focuses on two basic questions: how many samples does it take to accurately reconstruct a signal from noisy observations? And given samples from an object, how many samples does it take to estimate a property of the object?For signal recovery, the PI will develop new algorithms for recovering signals with sparse Fourier transforms for continuous signals. There has been substantial recent progress on efficient algorithms for the sparse variant of the discrete Fourier transform. However, there has been much less work on the continuous case, despite the fact that most signals of interest have continuous spectra. The proposal will address this gap._x000D_
_x000D_
The PI will demonstrate the possibility of leveraging recent developments in neural networks into efficient signal recovery. These networks are much more expressive than the sparsity-based models used in traditional compressed sensing, so this direction promises to achieve similar theoretical guarantees with many fewer samples._x000D_
_x000D_
Furthermore, many techniques used in signal recovery -- including for sparse Fourier transforms -- deal poorly with arbitrarily corrupted samples. The PI will explore methods of signal recovery that are robust to outlier measurements, starting with the robust polynomial regression problem._x000D_
_x000D_
For property testing, the PI proposes a modification to the standard distribution testing framework that makes it more compatible with statistical hypothesis testing. This will allow scientists to get smaller, more accurate p-values from fewer data points._x000D_
_x000D_
The PI also plans to study properties of graphs that can be estimated with a sublinear sample of the edges, starting with an instance-optimal estimator for counting triangles in the graph. In the sublinear regime, it is conjectured that sampling may be as powerful as the general turnstile streaming model.Much of the proposed research is motivated by weaknesses in theoretical formulations that prevent recent progress in theory from making a bigger impact on practice. The topics and approaches described here span multiple disciplines, including algorithms, signal processing, and harmonic analysis, helping transfer knowledge between the fields. Additionally, the PI will work with the USA Computer Olympiad to teach algorithmic programming to a broader and more diverse set of high school students.</t>
  </si>
  <si>
    <t>1751047</t>
  </si>
  <si>
    <t>Gibson</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</si>
  <si>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</si>
  <si>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A Modern Look at Visibility Problems_x000D_
_x000D_
L: 1751047 Gibson, Matthew U of Texas San Antonio $  415,497_x000D_
_x000D_
_x000D_
P180207 LC AF CAREER/CRII Panel A (14 panelists),_x000B_  on 10/24/2017, recommended as Low Competitive (V,G,G/F,F)_x000D_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</si>
  <si>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</si>
  <si>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</si>
  <si>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</si>
  <si>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</si>
  <si>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</si>
  <si>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1751048</t>
  </si>
  <si>
    <t>Papakonstantinou</t>
  </si>
  <si>
    <t xml:space="preserve"> Panel Summary       
 Description:_x000D_
This proposal aims to establish a theory for comparing prediction accuracy of machine learning heuristics and improving the run time of SAT-solving heuristics. For machine learning heuristics, it considers both sampling-based heuristics and deep learning networks._x000D_
_x000D_
The research agenda may lead to interesting results that will advance our understanding of heuristics and providing a theoretical underpinning for them. _x000D_
 _x000D_
Intellectual Merit:_x000D_
Strengths_x000D_
_x000D_
+ The PI is investigating fundamental heuristics in the machine learning area (Random Forests and Deep Neural Networks) and SAT._x000D_
_x000D_
+ The research agenda may lead to interesting results that will advance our understanding of heuristics and provide a theoretical underpinning for them. _x000D_
_x000D_
Weaknesses_x000D_
  -  The PI explains how to use this approach to compare sampling-based heuristics, where the heuristics are of similar structure. It is not clear how to establish a comparative framework for comparing heuristics that have different structures._x000D_
_x000D_
- There is a limited evaluation component on real data._x000D_
_x000D_
- The PI claims limited results on analysis of ensemble methods. There are other results besides those claimed by the PI. For example, many results are in Mikhail Traskin, PhD Thesis UC Berkeley._x000D_
_x000D_
Broader Impact:_x000D_
Strengths_x000D_
  + The broader impacts of the proposed research could be significant, if the PI is able to provide a solid framework to compare heuristics._x000D_
  + The educational and outreach activities include student training through curriculum development._x000D_
  + Training students for the SAT-solving competition._x000D_
_x000D_
Data Management Plan:_x000D_
Adequate_x000D_
_x000D_
Solicitation-specific criteria:_x000D_
The integration of education and research is reasonable._x000D_
_x000D_
Suggestions to PI:_x000D_
The proposal has two distinct components --- one on machine learning heuristics and the other on SAT solvers._x000D_
There is very little common between these two components._x000D_
Even in machine learning the work on random bagging and forests seems disconnected with deep neural networks. Explaining connections between them will help._x000D_
_x000D_
The proposal needs to discuss new insights that will help the PI in solving the proposed problems._x000D_
_x000D_
Justification for Panel Rating:_x000D_
The current proposal poses good questions, but does not provide concrete ways to approach them._x000D_
_x000D_
Panel Rating:_x000D_
_ Highly Competitive_x000D_
_ Competitive_x000D_
X Low Competitive_x000D_
- Not Competitive_x000D_
_x000D_
The summary was read 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</si>
  <si>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New directions in the foundations of heuristics in machine learning and constraint satisfaction_x000D_
_x000D_
L: 1751048 Papakonstantinou, Periklis Rutgers U Newark $  667,571_x000D_
_x000D_
_x000D_
P180209 LC AF CAREER/CRII Panel B (12 panelists),_x000B_  on 11/21/2017, recommended as Low Competitive (V/G,G,G/F,F)_x000D_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</si>
  <si>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concerns several important topics in machine learning and AI: (1) sub-sampling and re-sampling (e.g., Bagging and Random Forests); (2) deep learning; (3) SAT solvers.  Many of these questions are timely, interesting, and well-known (e.g., why does deep learning work or under which conditions can more complex DNNs be learned more accurately than simpler ones?). However, the proposal does not present concrete approaches or ideas for attaching them. _x000D_
_x000D_
The writing is somewhat bombastic and inaccurate at times. There are more theoretical results on ensemble methods than the PI states. See e.g., "On the consistency of ensemble classification algorithms",  Mikhail Traskin, PhD Thesis UC Berkeley_x000D_
_x000D_
_x000D_
In the context of the five review elements, please _x000D_
evaluate the strengths and weaknesses of the proposal with respect to broader impacts._x000D_
_x000D_
The educational and outreach activities include  student training through curriculum development with an emphasis on "injecting computational thinking" into undergraduate and graduate_x000D_
courses, developing lecture notes, and training students for the SAT-solving competition._x000D_
_x000D_
Please evaluate the strengths and _x000D_
weaknesses of the proposal with respect to any additional solicitation-specific review criteria, if _x000D_
applicable_x000D_
_x000D_
_x000D_
_x000D_
Summary Statement_x000D_
_x000D_
This proposal concerns several important topics in machine learning and AI: (1) sub-sampling and re-sampling (e.g., Bagging and Random Forests); (2) deep learning; (3) SAT solvers.  All of these topics are highly important and providing guarantees for existing algorithms or explanations for phenomena observed in practice would be highly beneficial. The current proposal poses good questions (some of them well-known) in these directions, but does not provide concrete ways to approach them._x000D_
_x000D_
</t>
  </si>
  <si>
    <t xml:space="preserve">In the context of the five review elements, please _x000D_
evaluate the strengths and weaknesses of the proposal with respect to intellectual merit._x000D_
_x000D_
This proposal aims to establish a theory for comparing prediction accuracy of machine learning heuristics and improving the run time of SAT-solving heuristics. For machine learning heuristics, it considers both sampling-based heuristics and deep learning networks. I like the research agenda and believe that the effort will lead to interesting results that will advance our understanding of heuristics and providing a theoretical underpinning for them. _x000D_
_x000D_
The PI intends to use a comparative framework for comparing heuristics and develop better ones. The idea is intuitive: if we can find an 'ideal algorithm' for the problem, we can use it as a benchmark and compare heuristics with this ideal algorithm. The PI explains how to use this approach to compare sampling-based heuristics, where the heuristics are of similar structure. I hope the PI will spend more time discussing how to establish a comparative framework for comparing heuristics that have different structures. That seems to be important._x000D_
_x000D_
In the context of the five review elements, please _x000D_
evaluate the strengths and weaknesses of the proposal with respect to broader impacts._x000D_
_x000D_
+ Provide guidance to practical uses of heuristics_x000D_
+ Outreach to local community_x000D_
_x000D_
_x000D_
Please evaluate the strengths and _x000D_
weaknesses of the proposal with respect to any additional solicitation-specific review criteria, if _x000D_
applicable_x000D_
_x000D_
Good integration of research and education: curriculum development, student advising/mentoring, and pedagogical innovation._x000D_
_x000D_
Summary Statement_x000D_
_x000D_
Nice research agenda. I'd hope to see more information on how to deal with the more challenging scenarios. _x000D_
_x000D_
_x000D_
</t>
  </si>
  <si>
    <t xml:space="preserve">In the context of the five review elements, please _x000D_
evaluate the strengths and weaknesses of the proposal with respect to intellectual merit._x000D_
_x000D_
The objective of the proposal is to conceptualize the notion of comparing heuristics; to obtain provably better heuristics; and to study the limits of heuristics. This is a commendable and potentially very useful quest in the era of big data._x000D_
_x000D_
Unfortunately, the proposal is very poorly written. The research plan seems to have two disconnected components: the first component focuses on subsampling, resampling, and its connections to training Deep Neural Networks. The PI poses four research questions that focus on subsampling and three more research questions regarding deep learning. The interplay between those seven research tasks was not properly articulated in the proposal, leading to a non-cohesive research plan. The second component of the proposal focuses on SAT-solving heuristics: again, five more research questions are posed, but the connection and interplay with the first seven questions is not discussed. Beyond the fact that all research questions have something to do with analyzing heuristics, I could not figure out any other connections between the various components of the proposal._x000D_
_x000D_
The PI is quite experienced, and actually appears to be currently tenured (according to the department head's letter). So, one would expect a better written proposal by a relatively senior PI._x000D_
_x000D_
In the context of the five review elements, please _x000D_
evaluate the strengths and weaknesses of the proposal with respect to broader impacts._x000D_
_x000D_
The broader impacts of the proposed research could be significant, if the PI is able to provide a solid framework to compare heuristics. There is a limited evaluation component on real data and the broader impact in terms of educational activities is very limited._x000D_
_x000D_
Please evaluate the strengths and _x000D_
weaknesses of the proposal with respect to any additional solicitation-specific review criteria, if _x000D_
applicable_x000D_
_x000D_
See discussion above._x000D_
_x000D_
Summary Statement_x000D_
_x000D_
A poorly written proposal on an important and potentially influential topic. Both the intellectual merit and the broader impact part of the proposal could be significantly improved._x000D_
_x000D_
</t>
  </si>
  <si>
    <t xml:space="preserve">In the context of the five review elements, please _x000D_
evaluate the strengths and weaknesses of the proposal with respect to intellectual merit._x000D_
_x000D_
Strengths: _x000D_
_x000D_
The PI is investigating fundamental problems in the area of heuristics in machine learning. He has picked the heuristics that are immensely popular in the machine learning area (Random Forests and Deep Neural Networks)._x000D_
_x000D_
For SAT problems, the PI proposes to look at SLS algorithms as well as CDCL solvers._x000D_
In the SAT area, the PI has participated in the annual competition and his team was ranked 4th in 2016._x000D_
_x000D_
Any contribution to either of the areas will have a direct impact on the practice._x000D_
_x000D_
The PI has made significant contributions in the area with publications in prestigious conferences. There are adequate resources available to PI._x000D_
_x000D_
The proposal is well-written with clear formulation of the research problems._x000D_
_x000D_
Weaknesses: _x000D_
_x000D_
While the work on machine learning and SAT have the common thread of using heuristics, the areas and the style is quite different._x000D_
_x000D_
In the SAT area, it is likely that PI will discover interesting properties of heuristics for_x000D_
SLS algorithms and CDCL solvers. However, it is not clear if the project will result in fundamentally new methods for SAT problems._x000D_
_x000D_
_x000D_
_x000D_
In the context of the five review elements, please _x000D_
evaluate the strengths and weaknesses of the proposal with respect to broader impacts._x000D_
_x000D_
Strengths:_x000D_
Any new ''dominant'' heuristic in machine learning or SAT will have large impact._x000D_
_x000D_
Rutgers-Newark is a diverse campus and the project may benefit underrepresented groups. The project involves undergraduates and will contribute to various educational activities._x000D_
_x000D_
Please evaluate the strengths and _x000D_
weaknesses of the proposal with respect to any additional solicitation-specific review criteria, if _x000D_
applicable_x000D_
_x000D_
_x000D_
_x000D_
Summary Statement_x000D_
_x000D_
The proposal is at the interface of theory and practice. It has potential to make important practical contributions to the art and science of heuristics._x000D_
_x000D_
</t>
  </si>
  <si>
    <t>In recent years, data analysis and optimization algorithms have been deployed at an unprecedented rate due to their incredible usefulness. Such algorithms are instrumental in drug discovery and personalized treatments, chip design, self-driving vehicles, and stock trading, among a variety of other applications. These remarkable algorithms are heuristic, which means that they lack provable guarantees in accuracy or efficiency. The gap between theory and practice in heuristics is alarming. The proposed research aims to close this gap, develop a theory for heuristics that uses no (or very few) input assumptions, design better heuristics, and study their limitations. The research plan aims to cover the study of accuracy and efficiency by studying (1) the accuracy of machine learning heuristics and (2) efficiency of constraint satisfaction heuristics._x000D_
_x000D_
The theoretical problems the proposed research seeks to address stem from the following question: "What theory can we develop using the knowledge that current heuristics perform well in practice?''.Previous theoretical research in heuristics relied on modeling and input assumptions. Instead of absolute guarantees, the proposed research puts forth the \emph{comparative analysis of heuristics} that formalizes the following idea. "Whenever (old) heuristic B works then (new) heuristic A works better'', which leaves the possibility that occasionally both A and B perform poorly. The stepping stone towards this research direction is the preliminary work by the PI (AAAI'14, AAAI'16). In that work ``new heuristics A'' were designed by ``transferring technology'' from the areas of pseudorandomness and time-space trade-offs, including previous theoretical works by the PI; e.g.,~Nisan-Wigderson designs in machine learning._x000D_
_x000D_
The overarching goal of this research is to improve (1) the prediction accuracy of supervised machine learning heuristics and (2) the runtime of SAT-solving heuristics. The following questions form the thrusts of the proposed research. Is there a general principle for designing sub-sampling heuristics and how can we exploit additional underlying structure (such as metric structure) in sub-sampling? How do the different deep neural network (DNN) architectures compare to each other? More generally, why does deep learning work, e.g.,~under which conditions can more complex DNNs be learned more accurately than simpler ones? Which heuristic rules in stochastic local search solvers have the greatest impact on the running time? How should we choose the right conflict-driven clause learning policies in state-of-the-art SAT-solvers?The proposed research has the potential to bridge the gap between theory and practice and profoundly change the way heuristics are devised in machine learning and constraint satisfaction. Towards realizing this goal, and to ensure the broader impact of this work, this career development plan encompasses various educational and outreach activities. These include student training through curriculum development with an emphasis on "injecting computational thinking" into undergraduate and graduate courses, developing more sets of lecture notes, training students for the SAT-solving competition (PI's team ranked 4th in 2016), and constantly contributing to the very successful efforts in realizing the main mission of Rutgers-Newark for "diversity, inclusion, and opportunity".</t>
  </si>
  <si>
    <t>1751076</t>
  </si>
  <si>
    <t>Gkatzelis</t>
  </si>
  <si>
    <t xml:space="preserve"> Panel Summary       
 _x000D_
Description: _x000D_
_x000D_
This proposal seeks to develop a theme of research around mechanisms without money and to create a "coherent theory or systematic approach"   It focuses on computational complexity of fair division (of indivisible goods), fair division of fully allocating divisible goods, truthful matching markets, and mechanisms for allocating computational resources. One theme that runs through the proposal is looking at NSW (the product of the utilities) rather than SW the sum. This provides a natural "fairness" guarantee, which is quite nice in several of the settings._x000D_
_x000D_
Intellectual Merit: _x000D_
  + Many tangilble research directions proposed._x000D_
  + Most research directions come with viable approaches._x000D_
  +  PI has a strong track-record in this area. _x000D_
_x000D_
Weaknesses:_x000D_
   - Problems could be more tied together, lacks a cohesive focus.   _x000D_
  - a couple directions are very difficult and do not seem to have sufficient coherent plans to make advances._x000D_
  - It will be nice if the PI can better position the proposed research in the context of existing efforts and justify why the set of the proposed problems in the proposal is the best/right questions to ask for the domain of mechanism design without money. For example, Ariel Procaccia's group at CMU has done a plethora of work on fair division and has the Spliddit site that providing probably fair solutions for a variety of real-world problems. _x000D_
_x000D_
Broader Impact: _x000D_
_x000D_
Strengths_x000D_
  + coop-matching idea_x000D_
  +  reachout through SPLASH_x000D_
  +  research will be integrated into the PIs cirriculum development efforts_x000D_
  +  he proposes a new seminar series for Drexel PhDs_x000D_
Weaknesses_x000D_
  - Proposal does not make it clear how immediately these results will apply to practical settings._x000D_
_x000D_
Solicitation-specific criteria: _x000D_
_x000D_
The PI has a history of reaching out to K-12 student's through SPASH!   The research will be integrated into the PIs cirriculum development efforts, and he proposes a new seminar series for Drexel PhDs. _x000D_
_x000D_
Data Management Plan:  Your data management plan should talk about how you are going to interface with any data from the COOP program, or should should explicitly state that you will not use such data._x000D_
_x000D_
Suggestions to PI: The proposal would be stronger if it were tied together a little more.  Additionally, some of the directions that are less fleshed out could be removed or improved.    _x000D_
_x000D_
Justification for Panel Rating:  This was a well reasoned proposal by a PI with experience in the area.  The broader impacts and integration with edutation components were excellent.  The proposal could be improved by making it more cohesive and culling or improving relatively weaker areas.  The competition was fierce, and you were competing with other reserachers with even stronger track records.   The proposal should be improved along the suggested guidelines and resubmitted.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</si>
  <si>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Optimal Mechanism Design without Monetary Transfers_x000D_
_x000D_
L: 1751076 Gkatzelis, Vasilis Drexel University $  559,983_x000D_
_x000D_
_x000D_
P180209 LC AF CAREER/CRII Panel B (12 panelists),_x000B_  on 11/21/2017, recommended as Low Competitive (V,V,V,G)_x000D_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</si>
  <si>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looks at mechanism design without payments or money changing hands; such mechanisms are very important in settings where one is unable, or it is not allowed, to have monetary exchanges. While this is a very large area with a lot of history, this proposal focuses on two high-level types of questions:_x000D_
_x000D_
1. Designing truthful mechanisms by using "money-burning". In resource allocation, this would correspond to not allocating all the resources (and thus wasting them), or penalizing the agents (for example by causing them extra delay in scheduling mechanisms). While this is clearly wasteful, such techniques can be used to guarantee truthfulness from the agents, and thus improve the performance of the mechanism overall._x000D_
_x000D_
2. Designing approximation algorithms for allocation of items to buyers with various objectives. There is no "game theory" for this direction: it is simply a well-defined optimization problem; the PI plans to focus on difficult-to-approximate objectives like solving the Santa Clause problem._x000D_
_x000D_
Strengths:_x000D_
_x000D_
+ The PI has preliminary work for most of the questions asked, and some possible approaches. The PI is very well-qualified to answer these questions._x000D_
_x000D_
+ There is a nice mix of longer-term and short-term problems to be tackled._x000D_
_x000D_
+ The questions being asked are important, and have a variety of applications such as matching, resource sharing, scheduling of computing jobs, etc. They are definitely interesting and deserve study._x000D_
_x000D_
+ The PI plans to specifically tackle concrete applications in addition to theory, through looking at the Drexel co-op matching mechanism._x000D_
_x000D_
_x000D_
Weaknesses:_x000D_
_x000D_
- There is no "big research direction", instead there are many medium-term directions. I would expect something a bit more long-term and ambitious from a CAREER proposal. That said, I would consider developing techniques for the questions being asked here to be a big and important research direction._x000D_
_x000D_
- Sometimes the proposed approaches reduce to "we'll try the same thing that worked in our published work, but for a slightly different setting"._x000D_
_x000D_
- The questions being asked are not extremely novel. That said, some of the techniques that the PI plans to use are promising, so this should be considered the novel part._x000D_
_x000D_
_x000D_
In the context of the five review elements, please _x000D_
evaluate the strengths and weaknesses of the proposal with respect to broader impacts._x000D_
_x000D_
Strengths:_x000D_
_x000D_
+ The PI plans to work on the Drexel co-op matching mechanism, which could yield applied tools for cardinal matching in addition to improving the Drexel co-op program itself._x000D_
_x000D_
+ The PI plans to design tutorials, courses with projects in them_x000D_
_x000D_
+ The PI plans to outreach to K-12 students, as he has done previously while at NYU._x000D_
_x000D_
_x000D_
Please evaluate the strengths and _x000D_
weaknesses of the proposal with respect to any additional solicitation-specific review criteria, if _x000D_
applicable_x000D_
_x000D_
_x000D_
_x000D_
Summary Statement_x000D_
_x000D_
This is a solid proposal by a well-qualified PI, in an interesting and important area where the PI is likely to make an impact._x000D_
_x000D_
_x000D_
</t>
  </si>
  <si>
    <t xml:space="preserve">In the context of the five review elements, please _x000D_
evaluate the strengths and weaknesses of the proposal with respect to intellectual merit._x000D_
_x000D_
This is a fine proposal on mechanism design without money. It focuses on computational complexity of fair division (of indivisible goods), fair division of fully allocating divisible goods, truthful matching markets, and mechanisms for allocating computational resources. The first three topics all have extensive literatures. The proposed research pushes the frontier by considering computational questions of existing mechanisms and richer and more realistic models. While I believe that interesting results will come out from this research, the problems considered felt a little spread-out and it's not well supported that these are the set of most fundamental questions for these topics. The last topic doesn't have a lot of prior work and potentially has important practical impacts. I hope that the PI will focus more on the last topic.  _x000D_
_x000D_
The PI has a track record in the areas of the proposed research and is well qualified to carry out this research. _x000D_
_x000D_
_x000D_
In the context of the five review elements, please _x000D_
evaluate the strengths and weaknesses of the proposal with respect to broader impacts._x000D_
_x000D_
+Better and more practical mechanisms for many real-world applications_x000D_
+ Great outreach and applications of research results (see below)_x000D_
_x000D_
Please evaluate the strengths and _x000D_
weaknesses of the proposal with respect to any additional solicitation-specific review criteria, if _x000D_
applicable_x000D_
_x000D_
Great integration of research and education: curriculum development, student advising, outreach to K-12 students, and improvement on Drexel co-op matching. _x000D_
_x000D_
_x000D_
Summary Statement_x000D_
_x000D_
A fine proposal but with a slightly spread-out focus._x000D_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</si>
  <si>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is a strong and interesting proposal which will investigate a number of questions around mechanism design and resource allocation in large distributed systems.  There are a large number of topics covered and the PI has identified a good number of interesting questions that are non-overlapping and could inform each other. I would have liked to see a bit more focused list of topics, diving a bit deeper into each one.  As it stands the proposal spans a large number of questions (which isn't bad) but focusing down a bit more would be good._x000D_
_x000D_
2. To what extent do the proposed activities suggest and explore creative, original, or potentially transformative concepts?_x000D_
_x000D_
The ideas are creative, though in some cases they are incremental or amount to important yet obvious directions I like it overall.  There is a good mix of questions which are more ambitious and ones where progress extending the PIs previous work can almost for sure be made._x000D_
_x000D_
3. Is the plan for carrying out the proposed activities well-reasoned, well-organized, and based on a sound rationale? Does the plan incorporate a mechanism to assess success?_x000D_
_x000D_
The plan is well reasoned in so far as that there are a number of questions that are identified and these are not all overlapping.  Hence, the research questions are organized in such a way as to not block each other._x000D_
_x000D_
4. How well qualified is the individual, team, or institution to conduct the proposed activities?_x000D_
_x000D_
The PI is well qualified and has a long track record of specific contribution to the areas of resource allocation and mechanism design._x000D_
_x000D_
5. Are there adequate resources available to the PI (either at the home institution or through collaborations) to carry out the proposed activities?_x000D_
_x000D_
There are adequate resources at the institution.  The PI also has a good track record of working with outside groups that can help to support the main research threads._x000D_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overall research is interesting and has a strong opportunity to convert into broad impacts both at Drexel and the wider research and teaching communities.  The PI has identified good opportunities at home institution to translate research to impact and taken initiative to get these underway.  The proposed teaching is good but maybe there are also opportunities to teach cross disciplinary / cross listed classes?_x000D_
_x000D_
2. To what extent do the proposed activities suggest and explore creative, original, or potentially transformative concepts?_x000D_
_x000D_
The application areas identified by the PI are interesting and creative.  He has identified interesting opportunities at his home institution to apply his research and the ideas are potentially transformative for students at Drexel._x000D_
_x000D_
3. Is the plan for carrying out the proposed activities well-reasoned, well-organized, and based on a sound rationale? Does the plan incorporate a mechanism to assess success?_x000D_
_x000D_
The PI has laid an impressive amount of groundwork in terms of outreach at Drexel and other avenues.  There are specific outcomes that are identified along several measures of success for the PI to evaluate his plan._x000D_
_x000D_
4. How well qualified is the individual, team, or institution to conduct the proposed activities?_x000D_
_x000D_
The individual is well qualified to undertake the specified broader impacts work.  He has a track record of delivering research results, hosting outreach events at NYU, and teaching (including remote teaching) which will help him._x000D_
_x000D_
5. Are there adequate resources available to the PI (either at the home institution or through collaborations) to carry out the proposed activities?_x000D_
_x000D_
Working to improve the Co-Op program, and having a letter of cooperation already in place, shows that there is strong opportunity to convert the research to practice at the home institution. I am a bit worried about the amount of commitment for the proposed Splash! program.  One summer month in addition to the quite ambitious research proposal seems a bit light.  _x000D_
_x000D_
_x000D_
Please evaluate the strengths and _x000D_
weaknesses of the proposal with respect to any additional solicitation-specific review criteria, if _x000D_
applicable_x000D_
_x000D_
_x000D_
_x000D_
Summary Statement_x000D_
_x000D_
A strong proposal which looks at interesting aspects of mechanism design and resource allocation.  The PI has a strong track record of research success and has identified unique ways to translate this research to impact at his home institution and beyond._x000D_
_x000D_
_x000D_
</t>
  </si>
  <si>
    <t xml:space="preserve">In the context of the five review elements, please _x000D_
evaluate the strengths and weaknesses of the proposal with respect to intellectual merit._x000D_
_x000D_
This proposal seeks to develop a theme of research around mechanisms without money and to create a "coherent theory or systematic approach".  The key insight that this is built upon is a new ability (from the PI in 2012) to create money burning mechanisms that can replicate VCG payments in the case that the agents utility functions are homogenous (utility scales with provisions) but maximizes NSW instead of SW.  The author makes a compelling case, that this is likely worthy undertaking.  First, it seems like a pretty fundamental question in mechanism design; second, it may have broader applications.  _x000D_
_x000D_
This proposal seeks to take this in several new directions: 1) it studies some computational problems in the space; looks to extend the result to where the goods cannot be burned; looks at matching markets; and computational environments.  One theme that runs through the proposal is looking at NSW (the product of the utilities) rather than SW the sum.  This provides a natural "fairness" guarantee, which is quite nice in several of the settings._x000D_
_x000D_
The plan seems reasonable, but I think some of the directions are much more compelling than others._x000D_
_x000D_
Question 3.2ùsubmodular + NSW; 3.4: truthful matching NSW better than trivial; 3.7 applications to scheduling; PoA in distributed systems especially 3.9. all seem like very nice questions.  Some of the others, I found less compelling.  _x000D_
_x000D_
There is still enough meat in the propose content to carry forward a solid 5 years  of research.  _x000D_
_x000D_
The team is qualified with adequate resourses.  _x000D_
_x000D_
_x000D_
Extra notes:_x000D_
_x000D_
The proposal seems very related to Braess's Paradox.  In this case burning resources helps in equilibrium.  Perhaps this is a useful observation._x000D_
_x000D_
Some faults: _x000D_
_x000D_
_x000D_
It is not clear how well the approaches laid out with match with security concerns.  For example, what would requesting a bunch of services effectively produce a DoS attack by both taking up and burning resources?  With sharing caches, is security an issue?  _x000D_
_x000D_
Some of the directions proposed seem either incremental or well-trodden with no especially new or likely to work ideas : 3.1 the proof idea does not seem compelling; cake-cutting direction is pretty vagueùthe author correctly (in my opinion) identifies that the current approaches are not compelling, but then there remains little clear directly left, Question 3.3 seems unlikely to work out in light of GibbardûSatterthwaite impossibility, _x000D_
_x000D_
Question 3.5 seems like it may be more different than anticipated.  The stable matching algorithms give first pick to the "good' students (or at least desired ones).  In this sense they seem either more "fair" or "less fair" depending on the definition of fair.  It is not clear that the proposal understands this trade-off._x000D_
_x000D_
I would be interesting to use your data to look at the recent work of Yash Kanonoi which asks if the male optimal/pessimal stable matchings are really different in practice.  _x000D_
_x000D_
My impression is that in real-life systems fairness is an "on-line" problem.  Agents have different desires or resources at different times and these can be traded off.  For example, maybe you need a lot of memory now, but I need it in an hour.  This would be an additional directly to investigate.  _x000D_
_x000D_
_x000D_
In the context of the five review elements, please _x000D_
evaluate the strengths and weaknesses of the proposal with respect to broader impacts._x000D_
_x000D_
The research, if successful, will help to employ mechanism design in a wider range of fields were money is not present._x000D_
_x000D_
Please evaluate the strengths and _x000D_
weaknesses of the proposal with respect to any additional solicitation-specific review criteria, if _x000D_
applicable_x000D_
_x000D_
I like the coop-matching idea. (Just a warning that you should look into whether you need IRB approval to work with this data.)  _x000D_
The research will be integrated into the Pis cirriculum development efforts and his proposes a new seminar series for Drexel PhDs.  _x000D_
Additionally the PI has a history of reaching out to student's through SPASH! And proposes to do so at his new institution.  _x000D_
I do not think that the proposal made as compelling case for the application of some of these results as it could have.  For example, the memory sharing research direction: does this really have application?  Are programs using the same core ever sharing the same data, but not the same incentives?  It would be great to provide some evidence that this actually happens.  I do not have the expertise to know.  _x000D_
_x000D_
_x000D_
Summary Statement_x000D_
_x000D_
The overarching research direction is compelling.  It has some strong components, but others seems like novel or likely to succeed.   I wish the applications were either better argued (or it was conceded that they are still in the future).   The educational component is adequate but not overzealous.  The PI has a history reaching out, and the modest proposals will likely be carried out with some success and impact.   _x000D_
Notes: I found the proposal a little rambling at the beginning.  Could be more to the point.  But it later caught its stride.  _x000D_
_x000D_
_x000D_
</t>
  </si>
  <si>
    <t>As the world becomes increasingly interconnected, this enables resource sharing at unprecedented levels. Every day, human and software agents compete for an extremely diverse set of resources, ranging from the computational resources (CPU, memory, or bandwidth) of a computer network that its users share, to the airport runways and the airspace that airline companies share. Were it not for appropriate mechanisms that define the rules and protocols governing these resource allocation processes, massive amounts of social utility would be wasted; hence, it is imperative that these mechanisms are designed to the highest standard. Some of the optimization problems involved in designing such resource allocation mechanisms can be highly demanding from a computational standpoint. In reality, the design process can be even more challenging, as the agents competing for these resources are strategic and have their own interests at heart. _x000D_
_x000D_
This proposal approaches such resource allocation problems from the perspective of the designer who chooses the rules of a resource allocation mechanism, aiming to achieve fair and efficient outcomes, despite the strategic behavior of the participating agents. The long literature on game theory and mechanism design has produced several important tools that can be used to inform the design process, but most of these tools depend heavily on the use of monetary payments. The special focus of this proposal is on settings where monetary payments are either undesirable, impractical, or infeasible. Despite the prevalence of this constraint within computing environments, and beyond, there is no coherent theory for guiding the designer's choices._x000D_
_x000D_
The proposed research aims to bridge the gap between the classic literature on mechanism design and the problems that arise in the absence of monetary transfers by uncovering structural properties of the latter that can be used to apply techniques from the former. The problems will be approached through the lens of approximation: if maximizing the desired fairness or efficiency objective is impossible due to either incentive or computational constraints, the proposed solutions will be evaluated using worst-case approximation guarantees.This project will lay the foundations toward a unifying theory for the design and analysis of mechanisms that cannot use monetary payments. Also, by drawing structural connections to the classic literature on mechanism design, the research will enable the translation of celebrated results and techniques from this literature to the less understood context of money-free mechanisms. Apart from evaluating mechanisms in existing models using established benchmarks, the proposed research will contribute novel benchmarks, as well as new models for well-motivated money-free domains.This project will have a broader impact on the effectiveness of money-free markets in general, and the co-op market at Drexel University in particular. The theoretical foundations provided by the proposed research will enable the design of mechanisms that can afford to elicit more meaningful information from the participating agents without worrying about incentive issues that can lead to market failure.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 The PI also plans to prepare a tutorial on the unifying structure in mechanism design without money, which can be presented at a major conference in order to disseminate these research results and directions. Beyond the broader impacts of the research, the PI is dedicated to the integration of research and teaching, and to outreach initiatives or initiatives that foster collaboration and create a better connected research community at Drexel.</t>
  </si>
  <si>
    <t>1751102</t>
  </si>
  <si>
    <t>Vouga</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</si>
  <si>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</si>
  <si>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</si>
  <si>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</si>
  <si>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</si>
  <si>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</si>
  <si>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</si>
  <si>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</si>
  <si>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1751135</t>
  </si>
  <si>
    <t>Nayyeri</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</si>
  <si>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</si>
  <si>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</si>
  <si>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</si>
  <si>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</si>
  <si>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</si>
  <si>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</si>
  <si>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1751181</t>
  </si>
  <si>
    <t>Young</t>
  </si>
  <si>
    <t xml:space="preserve"> Panel Summary       
 Description: _x000D_
This proposal studies contention resolution algorithms for wireless networks. _x000D_
It aims to develop a unifying theory of contention resolution where multiple devices must coordinate in a decentralized way to get access to a shared communication channel.  It addresses in a fairly comprehensive manner various issues in the design and implementation of contention resolution algorithms with regards to throughput, traffic, cooperation, resource costs, prioritization (QoS issues), and jamming resistance. One key goal is to improve on mechanisms such as the classical binary exponential back-off (BEB). _x000D_
_x000D_
_x000D_
Intellectual Merit: _x000D_
Strengths_x000D_
  + This proposal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 The proposal is very well written and presented._x000D_
 + The panel appreciates the PI's effort on developing theory and algorithms for a very applied domain._x000D_
  +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design, analyze, and implement and study new and improved contention resolution algorithms in wireless networks. _x000D_
  + The PI has published significant papers to back up his credentials in the area (STOC 2016, SODA 2016, SPAA 2017, SPAA 2014, PODC 2011) and is extremely well-qualified to undertake this research._x000D_
 + There are adequate resources available to PI to carry out this research._x000D_
  _x000D_
Weaknesses_x000D_
  - More technical details regarding approaches, e.g., elaborating how the STOC 2016 paper relates to the proposed problems will improve the proposal._x000D_
  -  Some references listed are not complete with missing data._x000D_
- There is concern about how this work will impact networking in practice. _x000D_
- Designing contention-resolution algorithms under the adversarial-arrival model may not have good performance in the practical systems. _x000D_
- It will be good to explain why the proposed simple models capture important aspects of the real network problems. _x000D_
- It will be good to explicitly flesh out theory techniques that will come out of this proposal._x000D_
- The main application domain is networking, but the PI does not have prior publications in networking._x000D_
_x000D_
_x000D_
Broader Impact: _x000D_
Strengths_x000D_
  +  Excellently written broader impacts and contributions which are nicely integrated with research throughout the proposal. In particular, the educational aspects of the proposal are strong which are listed separately under various key research directions. _x000D_
+ The PI comes from a EPSCoR state and Mississippi State University (MSU) has a student population with diverse educational backgrounds. Funding from this project will likely support a female MSU PhD student who is currently advised by the PI. _x000D_
+ Improved contention resolution algorithms are very important and this proposal also explores the practical aspects of it. This can have a big impact in networking._x000D_
 + The PI will develop course works that will include results from his research. The PI will involve undergraduates in research. _x000D_
_x000D_
  _x000D_
Weaknesses_x000D_
  - None_x000D_
_x000D_
Solicitation-specific criteria: _x000D_
The integration of education and research is extremely well done._x000D_
_x000D_
Data Management Plan: _x000D_
Adequate._x000D_
_x000D_
Suggestions to PI: _x000D_
The most significant broader impact is in the networking area. The PI should _x000D_
disseminate his work in networking venues (such as INFOCOM) in addition to the theory (or distributed algorithms) community. Input  (and possible collaboration) from networking researchers will further strengthen the proposal. The proposal will also be strengthened by making it more technical. The panel appreciates the work by the PI in publishing in top venues such as STOC and SODA in an applied domain (which is challenging)._x000D_
_x000D_
_x000D_
Justification for Panel Rating:  This is a very well-written and presented proposal addressing a topic that is fundamental to networking, namely contention resolution, in a theoretically rigorous framework motivated by practical applications.  The PI has very good publications in the area and is well-qualified to undertake this research. However, one concern is the real impact to networking. The broader impact and education plan is very well written._x000D_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</si>
  <si>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considers the future of networks where there are many devices seeking access to a shared communication channel and proposes basic models and algorithms for solving this coordination problem. _x000D_
_x000D_
I appreciate the PI's effort on developing theory and algorithms for a very applied domain. This is inherently challenging. However, reading the proposal, I think the models may be too simple to capture the important aspects of the real network problems and hence theory and algorithms developed in such models may not be of practical impacts. I see that there are two ways to strengthen this proposal: one is to focus on the network problems and use multiple approaches (theory, simulation and experiments) to seek practical impacts; the other is to keep the proposal mostly theoretical, but demonstrate the importance of solving the theoretical problems from multiple domains. _x000D_
_x000D_
_x000D_
In the context of the five review elements, please _x000D_
evaluate the strengths and weaknesses of the proposal with respect to broader impacts._x000D_
_x000D_
+ Some potential practical implications on designing the future of networks_x000D_
_x000D_
_x000D_
Please evaluate the strengths and _x000D_
weaknesses of the proposal with respect to any additional solicitation-specific review criteria, if _x000D_
applicable_x000D_
_x000D_
Reasonable integration of research and education: curriculum improvement and graduate and undergraduate advising. _x000D_
_x000D_
_x000D_
Summary Statement_x000D_
_x000D_
A proposal on an interesting topic, but need improvement on several aspects._x000D_
_x000D_
</t>
  </si>
  <si>
    <t xml:space="preserve">In the context of the five review elements, please _x000D_
evaluate the strengths and weaknesses of the proposal with respect to intellectual merit._x000D_
_x000D_
Strengths:_x000D_
_x000D_
This proposal is in the area of networking. The PI proposes to develop better algorithms for contention resolution. In particular, the goal is to improve on mechanisms such as binary exponential back-off (BEB)._x000D_
_x000D_
Some proposed algorithms improve the metric of contention window slots, however the total transmission time is not reduced. The PI has also proposed a Best-of-k algorithm that sends small dummy packets to sense collision._x000D_
This idea of sending dummy packets to reduce the cost of collision is intriguing._x000D_
The Best-of-k algorithm seems to outperform Binary exponential backoff (BEB) in NS3_x000D_
simulations._x000D_
_x000D_
The PI has formulated research problems quite concretely._x000D_
_x000D_
The PI has made important contributions in the area with publications in_x000D_
good conferences.There are adequate resources available to PI._x000D_
_x000D_
_x000D_
Weaknesses:_x000D_
_x000D_
The problem studied is quite old -- access to a shared medium._x000D_
The simulation results on NS3 show that the binary exponential backoff_x000D_
outperforms LLB. There is no clear argument that strtegies other than BEB may be_x000D_
better in terms of total time._x000D_
_x000D_
Prioritization of traffic has been studied in the networking community for quite some time. It is not clear that practical benefits will ensue from the proposed project._x000D_
_x000D_
Designing contention-resolution algorithms under the adversarial-arrival model_x000D_
may not have good performance in the practical systems._x000D_
_x000D_
_x000D_
_x000D_
_x000D_
_x000D_
In the context of the five review elements, please _x000D_
evaluate the strengths and weaknesses of the proposal with respect to broader impacts._x000D_
_x000D_
Strengths:_x000D_
_x000D_
Mississippi is EPSCoR state. The project will fund a female student._x000D_
_x000D_
Recommendation:_x000D_
The most significant broader impact is in the networking area. The PI should_x000D_
disseminate his work in those avenues in addition to the theory (or distributed algorithms) community._x000D_
_x000D_
Please evaluate the strengths and _x000D_
weaknesses of the proposal with respect to any additional solicitation-specific review criteria, if _x000D_
applicable_x000D_
_x000D_
_x000D_
_x000D_
Summary Statement_x000D_
_x000D_
The proposal is good but can benefit by interaction with networking community._x000D_
_x000D_
</t>
  </si>
  <si>
    <t xml:space="preserve">In the context of the five review elements, please _x000D_
evaluate the strengths and weaknesses of the proposal with respect to intellectual merit._x000D_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resistance._x000D_
Strengths:_x000D_
_x000D_
1.	This is an excellent proposal, one of the best written ones I have seen._x000D_
It seamlessly weaves together background and motivation for contention resolution algorithms, identifies key issues and proposes solutions that are theoretically very well thought out but also have  practical motivations. The proposal is strong both in theory and networking  aspects._x000D_
_x000D_
2.	Contention resolution is at the heart of communication in a shared channel. While wired contention resolution has been studied in the past, the theoretical study (and to an extent practical aspects as well) have not been understood very well in wireless networks, the major application area of the future.  The proposal lays out a very detailed research agenda to desingn, analyze, and implement and study contention resolution algorithms in wireless networks._x000D_
_x000D_
3.	The PI has published significant papers to back up his credentials in the area (STOC 2016, SODA 2016, SPAA 2017, SPAA 2014, PODC 2011)._x000D_
_x000D_
_x000D_
Weaknesses:_x000D_
1.	I would like to see more details in the technical details regarding approaches, e.g., elaborating how the STOC 2016 paper relates to the proposed problems._x000D_
2.	Some references listed are not complete with missing data.  _x000D_
_x000D_
_x000D_
In the context of the five review elements, please _x000D_
evaluate the strengths and weaknesses of the proposal with respect to broader impacts._x000D_
_x000D_
Strengths:_x000D_
_x000D_
1.	Excellently written broader impacts and contributions which are nicely integrated with research throughout the proposal. In particular, the educational aspects of the proposal are strong which are listed separately under various key research directions._x000D_
2. The PI comes from a EPSCoR state and Mississippi State University (MSU) has a student_x000D_
population with diverse educational backgrounds. Funding from this project will likely support a  female MSU PhD student who is currently advised by the PI._x000D_
2.	Improved contention resolution algorithms are very important and this proposal also explores the practical aspects of it. This can have a big impact in networking._x000D_
_x000D_
Weaknesses:_x000D_
None._x000D_
_x000D_
_x000D_
_x000D_
_x000D_
Please evaluate the strengths and _x000D_
weaknesses of the proposal with respect to any additional solicitation-specific review criteria, if _x000D_
applicable_x000D_
_x000D_
The integration of education and research is extremely well done._x000D_
_x000D_
Summary Statement_x000D_
_x000D_
This proposal studies contention resolution algorithms for wireless networks. It addresses in a fairly comprehensive manner various issues in the design and implementation of contention resolution algorithms with regards to throughput, traffic, cooperation, resource costs, prioritization (QoS issues), and jamming resistance. The project is timely and the issues are fleshed out very well with a clear research agenda. All in all a very strong proposal._x000D_
_x000D_
_x000D_
_x000D_
</t>
  </si>
  <si>
    <t xml:space="preserve">In the context of the five review elements, please _x000D_
evaluate the strengths and weaknesses of the proposal with respect to intellectual merit._x000D_
_x000D_
The proposal aims to develop a unifying theory of contention resolution where multiple devices must coordinate in a decentralized way to get access to a shared communication channel. It will develop new algorithms for optimizing throughout, managing arbitrary traffic, under various models of cooperation, with bandwidth and energy constraints, allowing prioritization of certain traffics, guarantees under adversarial model etc. _x000D_
_x000D_
The proposal is well-written, however, it is not clear what new theoretical techniques will come out from this work._x000D_
_x000D_
In the context of the five review elements, please _x000D_
evaluate the strengths and weaknesses of the proposal with respect to broader impacts._x000D_
_x000D_
The PI will develop course works that will include results from his research. The PI will involve undergraduates in research. The outcome of this work may have impact in industry._x000D_
_x000D_
Please evaluate the strengths and _x000D_
weaknesses of the proposal with respect to any additional solicitation-specific review criteria, if _x000D_
applicable_x000D_
_x000D_
_x000D_
_x000D_
Summary Statement_x000D_
_x000D_
In summary, this is a well-written proposal. It is unclear what substantial new theoretical results will come out of this. The proposal may be interesting to the networking community._x000D_
_x000D_
</t>
  </si>
  <si>
    <t>Future networks promise ubiquitous connectivity provided by large-scale systems densely populated by resource-constrained wireless devices. While this is an exciting vision, it also motivates us to revisit a fundamental challenge: how do we coordinate access by multiple devices to a shared communication channel? _x000D_
	_x000D_
This is the problem of contention resolution and it is an enduring issue with various solutions implemented in communications standards spanning the past four decades. Surprisingly, despite this track record, our understanding of even basic metrics -- such as worst-case expected throughput -- is incomplete. Furthermore, the demands of future networks will require confronting a range of concerns for which current solutions provide few rigorous guarantees. In light of these issues, a better understanding of the theory underlying the design and analysis of contention-resolution algorithms is warranted.Let time be discretized into slots, each of which can accommodate a packet. Initially, there are a set of stations, each with a packet to send on a shared channel where in a slot: (i) if a single station sends, then its packet succeeds, (ii) else, if two or more stations send, their packets fail, and the stations learn they must retry later.  There is no central authority or scheduler. How many slots are required for all packets to succeed?_x000D_
	_x000D_
This is a natural question about simple traffic -- a single burst of packets -- and yet our understanding of this basic scenario is incomplete. Along similar lines, aspects of popular contention-resolution mechanisms already deployed in modern-day networks deserve study,  both the single-burst case and under an arbitrary (worst-case) packet-arrival distribution._x000D_
	_x000D_
Given that future networks will be densely populated by resource-constrained devices, our solutions must impose only a small cost in terms of energy and bandwidth. In this context, we investigate contention resolution when packets have differing levels of priority, or in scenarios with multiple channels and multi-hop routing. Finally, motivated by increasingly common attacks on wireless networks, we explore solutions with performance guarantees under adversarial scenarios._x000D_
	_x000D_
While our primary goal is the design and analysis of new contention-resolution algorithms, we integrate applied work in order to validate our abstract models and solutions.Developments in manufacturing, industry, and communications standards are driving the next generation of networks. This evolution is anticipated to result in tens of billions of consumer-market devices becoming connected over the next five years. Addressing the performance and security of these massive-scale systems has obvious economic and societal impact._x000D_
	_x000D_
Mississippi is an EPSCoR state. Funding from this project will likely support a promising  PhD student, Mercy Jaiyeola; she is currently advised by PI Young. This project will also provide opportunities for undergraduate students to work on challenging aspects of the project.</t>
  </si>
  <si>
    <t>1751234</t>
  </si>
  <si>
    <t>Bhaskara</t>
  </si>
  <si>
    <t xml:space="preserve"> Panel Summary       
 Description: _x000D_
_x000D_
The main goal of the proposal is to improve our understanding of the complexity landscape of learning, specifically the tradeoffs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  The first two of these are applied to mixture of Gaussian models and the third to dictionary learning, non-negative factorization, and subspace clustering.  _x000D_
_x000D_
_x000D_
 _x000D_
_x000D_
_x000D_
Intellectual Merit: _x000D_
_x000D_
Strengths_x000D_
  + The problems are pretty well-scoped within each of these areas.  _x000D_
  + The concrete paths forward are proposed._x000D_
  + The PI has a strong track-record in the area._x000D_
  + Connection to algebraic geometry is appealing.  _x000D_
_x000D_
Weaknesses_x000D_
  - The panel was concerned that the proposal lacks an exciting overarching vision._x000D_
_x000D_
Broader Impact: _x000D_
_x000D_
Strengths_x000D_
  + As data science is exploding, if successful, the impact of this research would likely be wide reaching_x000D_
 + Would help the PI continue to improve the graduate courses_x000D_
 + PI would develop mini-surveys to deciminate core new research_x000D_
 + PI would organize local workshop on learning._x000D_
_x000D_
 _x000D_
Solicitation-specific criteria: _x000D_
PI would improve the graduate courses he is teaching, he would develop "mini-surveys" about the techniques here, continue to mentor graduate and undergraduate students, and organize a local workshop on learning._x000D_
_x000D_
_x000D_
Data Management Plan: adequate._x000D_
_x000D_
_x000D_
Suggestions to PI: Spend less space on some of the individual approaches and instead show how these stepes will cohere into something greater.  It is also good to highlight a few broader connections between fundamental problems and the rest of the field.  _x000D_
A better argument for why progress like likely to occur now.   _x000D_
_x000D_
Justification for Panel Rating:  Proposal lays out nice individual problems to tackle from a very qualified PI, but lacks exciting cohesive vision of research.  Broader impacts was adequate._x000D_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</si>
  <si>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Theoretical Machine Learning: Algorithms and Complexity_x000D_
_x000D_
L: 1751234 Bhaskara, Aditya University of Utah $  536,841_x000D_
_x000D_
_x000D_
P180209 LC AF CAREER/CRII Panel B (12 panelists),_x000B_  on 11/21/2017, recommended as Low Competitive (V,V,V,G)_x000D_
Std competition rank 11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</si>
  <si>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concerns several algorithmic topics in machine learning. _x000D_
Three main directions proposed are:_x000D_
_x000D_
(1) Identifiability, given samples from a probabilistic model, find the model parameters in a computationally efficient manner and with small sample complexity. The proposed work is to develop  new techniques based on the method of moments and tensors._x000D_
_x000D_
(2) Learning in the presence of noise, in particular addressing the types of estimation questions above in the presence of various types of noise._x000D_
_x000D_
(3) Addressing matrix factorization questions (including dictionary learning and non-negative matrix factorization) under weaker (but not worst case) assumptions compared to prior work._x000D_
_x000D_
These are all important questions and the PI has prior work on these topics that make him uniquely qualified to tackle them._x000D_
_x000D_
In the context of the five review elements, please _x000D_
evaluate the strengths and weaknesses of the proposal with respect to broader impacts._x000D_
_x000D_
The education and broader impact component includes organizing a yearly workshop on theory and practical aspects of learning at the PI  institution, as well as new courses and mini-surveys for various topics._x000D_
_x000D_
_x000D_
Please evaluate the strengths and _x000D_
weaknesses of the proposal with respect to any additional solicitation-specific review criteria, if _x000D_
applicable_x000D_
_x000D_
_x000D_
_x000D_
Summary Statement_x000D_
_x000D_
This proposal concerns several algorithmic topics in machine learning: identifiability, learning in the presence of noise, and more broadly applicable matrix factorization algorithms. These are all important questions and the PI has prior work on these topics that make him uniquely qualified to tackle them. The education and broader impact component is strong._x000D_
_x000D_
</t>
  </si>
  <si>
    <t xml:space="preserve">In the context of the five review elements, please _x000D_
evaluate the strengths and weaknesses of the proposal with respect to intellectual merit._x000D_
_x000D_
The main goal of the proposal is to improve our understanding of the complexity landscape of learning, specifically the tread-offs between assumptions and guarantees. There are three main directions, (1) understanding if parameters of a generative model can be learnt efficiently given a polynomial amount of data, (2) developing algorithms that are robust to noise and (3) learning that goes beyond worst-case intractability but without making any strong structural assumptions._x000D_
_x000D_
For (1), the PI proposes to develop the existing moment based method  for parameter identification and gives a detailed approach with many new ideas how this will be done.  _x000D_
_x000D_
For (2), the PI proposes to handle various different types of noise like sample corruption, distribution corruption etc.  For example, if we have polynomially many samples from a data distribution that is epsilon close to mixture of well-separated Guassians, is it possible to recover the data distribution again with some epsilon' distance? The PI will study how the separation required in the noisy case differs from the noiseless case and extension of moment based method._x000D_
_x000D_
For (3), the PI proposes to not consider any structural assumptions but obtain weaker yet interesting guarantees. Here the PI will study important problems like Dictionary learning or sparse coding, non-negative matrix factorization etc. _x000D_
_x000D_
Summary of strength and weakness: The proposal is well-written by a qualified PI. The questions are interesting and detailed approach has been provided to tackle them._x000D_
_x000D_
In the context of the five review elements, please _x000D_
evaluate the strengths and weaknesses of the proposal with respect to broader impacts._x000D_
_x000D_
The PI plans to integrate the outcome of the research into the courses that he will be developing. The PI will also organize workshops on insights in learning, for which budget has been allocated for speaker travel. The workshop will be co-located with Utah Data Science Day._x000D_
_x000D_
Please evaluate the strengths and _x000D_
weaknesses of the proposal with respect to any additional solicitation-specific review criteria, if _x000D_
applicable_x000D_
_x000D_
_x000D_
_x000D_
Summary Statement_x000D_
_x000D_
The proposal lays out few important problems in theoretical machine learning with viable pathway for making progress. The PI is well-positioned for performing the proposed research._x000D_
_x000D_
</t>
  </si>
  <si>
    <t xml:space="preserve">In the context of the five review elements, please _x000D_
evaluate the strengths and weaknesses of the proposal with respect to intellectual merit._x000D_
_x000D_
The author proposes a program to study questions in theoretical machine learning under 3 general topics:_x000D_
1)	Identifiability of general models;_x000D_
2)	Learnability under noise_x000D_
3)	low-expectations applied to learning theory.  _x000D_
_x000D_
The problems are pretty well-scoped within each of these areas.  _x000D_
_x000D_
In the first area, the main goal is to understand when the moment generating functions (of low moments) can identify mixtures of Guassians.  For example, what is the relationship between dimension and number of mixtures that can be IDed with 3 moments?  The PI proposes both SoS and an algebriac geometry approach.  The latter would be especially nice if it worked out, as it would add a new tool to TCS.  He also has most robust (wrt error) versions of the problem. _x000D_
_x000D_
In the second area, the proposal sticks with mixtures of Gaussians, but proposes to study several popular error models.  This is the most well-developed part of the proposal, and posits several interesting directions for a very challenging space.  In particular, reasoning about the robustness of SDPs.  _x000D_
_x000D_
The third trust is not about mixtures of Gaussians, but rather dictionary learning, non-negative factorization, and subspace clustering.   That is we would like to (approximately) represent many different vectors in a sparse way over a small bases.  The goal is to find the basis.  The goal here is to relax the problem to approximation and bi-critera (larger vectors, less sparsity).  _x000D_
_x000D_
The activities are novel and well worth pursuing.  The PI lays out interesting approaches (especially for the first two).  The proposed work is well thought out.  While I do like how there are great details for the first problems to be worked on.  It would also be nice to get a better vision of where this research is headed.  _x000D_
_x000D_
The claim is that these problems are very fundamental, and that progress will have wide-reaching impacts.  It would be great if this were further-flushed out (e.g. how important is mixture of Gaussians, why?).  _x000D_
_x000D_
The PI is well qualified and have available resources to undertake this project.  _x000D_
_x000D_
_x000D_
_x000D_
In the context of the five review elements, please _x000D_
evaluate the strengths and weaknesses of the proposal with respect to broader impacts._x000D_
_x000D_
As data science is exploding, if successful, this impacts of this research would likely be wide reaching.  A particularly neat connection would be the invention of a more computational approach to algebraic geometry problems._x000D_
_x000D_
Additionally, this would help the PI continue to improve the graduate courses he is teaching, he would develop "mini-surveys" about the techniques here, continue to mentor graduate and undergraduate students, and organize a local workshop on learning.  _x000D_
_x000D_
_x000D_
Please evaluate the strengths and _x000D_
weaknesses of the proposal with respect to any additional solicitation-specific review criteria, if _x000D_
applicable_x000D_
_x000D_
_x000D_
The outreach and education plan seems to focus on develop "mini-surveys" about the techniques here, continue to mentor graduate and undergraduate students, and organize a local workshop on learning.  _x000D_
_x000D_
_x000D_
Summary Statement_x000D_
_x000D_
This proposal tackles fundamental problems at the forefront of data science.  However, it would be even better if it were better linked to an overarching view.  The educational/outreach plan is serviceable._x000D_
_x000D_
</t>
  </si>
  <si>
    <t xml:space="preserve">In the context of the five review elements, please _x000D_
evaluate the strengths and weaknesses of the proposal with respect to intellectual merit._x000D_
_x000D_
The PI proposes to pursue three general directions in theoretical machine learning: identifiability of generative models, learnability under model noise, and learning in more general settings.  These are important questions, and the PI has made some progress. However, his most relevant publications are from 2014 or before. (He lists two more recent publications too, but they were non-theory venues and he doesn't really reference them in the proposal; he also has recent unpublished work.) Therefore, it's unclear to me why to expect big advances now._x000D_
_x000D_
_x000D_
In the context of the five review elements, please _x000D_
evaluate the strengths and weaknesses of the proposal with respect to broader impacts._x000D_
_x000D_
Learning has many applications, and the PI has a history of collaborating with industrial researchers. The PI also has an education and mentoring plan, and plans to organize an annual workshop on theory and practical aspects of learning._x000D_
_x000D_
Please evaluate the strengths and _x000D_
weaknesses of the proposal with respect to any additional solicitation-specific review criteria, if _x000D_
applicable_x000D_
_x000D_
_x000D_
_x000D_
Summary Statement_x000D_
_x000D_
This is a good proposal with interesting questions.  However, the PI's track record may not be strong enough to compete with other applicants._x000D_
_x000D_
</t>
  </si>
  <si>
    <t>As machine learning becomes pervasive in various aspects of our lives, theoretical investigations into accuracy guarantees, noise tolerance, interpretability, privacy, etc. are becoming increasingly important. Ideas from theoretical computer science, statistics, and computational linear algebra are being used to attack these challenges. This has opened up new avenues of research in theory, raising questions of modeling and going beyond the lens of worst-case analysis. The proposal considers fundamental problems in unsupervised learning of modeling and understanding data, and aims to develop new insights on topics ranging from theoretical guarantees on learnability, to practical challenges such as robustness. _x000D_
_x000D_
The three broad directions are:_x000D_
- Identifiability: we will tackle a basic statistical problem, given samples from a probabilistic model, of finding the model parameters. Being able to do this efficiently with small sample complexity has numerous applications. We propose new insights into the method of moments, to understand this basic question._x000D_
- We consider the practical challenge of dealing with modeling noise and outliers. Recent algorithms in learning have good theoretic properties, but are sensitive to errors. We propose new directions in this burgeoning area of research, to design new algorithms and understand complexity aspects that arise due to noise._x000D_
- For basic problems like sparse coding and non-negative matrix factorization, provable guarantees are known only under strong structural assumptions (inevitably so, due to NP-hardness). We propose a different direction: relaxing the assumptions, while obtaining weaker, yet interesting guarantees._x000D_
_x000D_
The common goal in these directions is to improve our understanding of the complexity landscape of learning, specifically the trade-offs between assumptions and guarantees._x000D_
_x000D_
Keywords: learning theory, beyond worst case, robustness in algorithms, generative models, modeling noiseIdentifying the possibilities and limitations of learning is one of the most important research directions in computer science. The problems we propose get to the heart of modeling data and the associated complexity questions. Obtaining efficient algorithms here could have tremendous impact in applications (beyond learning), much like hashing and dimension reduction have in the past. These directions will also develop new theoretical methods for reasoning about noise, and improve our understanding of basic clustering and decomposition questions.The directions studied have a potential to impact any field of science with a modeling component. The technical contributions will bring new collaborations, both from theoretical fields like statistics and algebraic geometry, and from machine learning practitioners. A workshop to induce such interactions is proposed. The PI is also in collaboration with teams in the industry, working to disseminate theoretical insights and help design practical, efficient algorithms. The PI has developed new courses for a new wave of students trained in both theory and learning. Course content will be made accessible via self-contained mini-surveys, to benefit students everywhere.</t>
  </si>
  <si>
    <t>1751254</t>
  </si>
  <si>
    <t>Fasy</t>
  </si>
  <si>
    <t>9</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</si>
  <si>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</si>
  <si>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</si>
  <si>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</si>
  <si>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</si>
  <si>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</si>
  <si>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</si>
  <si>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1751416</t>
  </si>
  <si>
    <t>Sitchinava</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</si>
  <si>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</si>
  <si>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NATIONAL SCIENCE FOUNDATION _x000D_
Alexandria, Virginia 22314 _x000D_
Direct For Computer &amp; Info Scie &amp; Enginr (CSE)_x000D_
Division of Computing and Communication Foundations (05010000)_x000D_
ALGORITHMIC FOUNDATIONS (7796)_x000D_
NSF 17-537 Faculty Early Career Development Program_x000D_
Review Analysis: Standard Decline (LC) for proposal with low review scores_x000D_
_x000D_
CAREER: Locality-Conscious Parallel Algorithms_x000D_
_x000D_
L: 1751416 Sitchinava, Nodari U of Hawaii $  549,999_x000D_
_x000D_
_x000D_
P180207 LC AF CAREER/CRII Panel A (14 panelists; 1 decl confl),_x000B_  on 10/24/2017, recommended as Low Competitive (V,V/G,G,G/F)_x000D_
Std competition rank 13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</si>
  <si>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</si>
  <si>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</si>
  <si>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</si>
  <si>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</si>
  <si>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</si>
  <si>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1755038</t>
  </si>
  <si>
    <t>Majumdar</t>
  </si>
  <si>
    <t>RESIMMO</t>
  </si>
  <si>
    <t xml:space="preserve"> Panel Summary       
 Description:_x000D_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_x000D_
Intellectual Merit:_x000D_
Strengths_x000D_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 The proposal is cross-disciplinary. It will facilitate flow of ideas from computer science to control theory and vice-versa._x000D_
  + There are adequate resources available to the PI to carry out the proposed activities._x000D_
_x000D_
Weaknesses_x000D_
  - The PI does not compare with what is already known in streaming algorithms and related areas._x000D_
_x000D_
  -  The PI needs to spend more time explaining how the proposed research is novel in terms of problems being solved and techniques required._x000D_
_x000D_
   -It is not clear what contributions in theoretical computer science and algorithms will be possible from this project._x000D_
_x000D_
Broader Impact:_x000D_
Strengths_x000D_
  + The PI plans to make new algorithms for robotic tasks, which is very useful_x000D_
_x000D_
  + K-12 outreach, robotics is good for that_x000D_
_x000D_
  + Undergrad participation, already working with 2 undergrads_x000D_
_x000D_
Data Management Plan:_x000D_
Adequate_x000D_
_x000D_
Suggestions to PI:_x000D_
The proposed research sounds very interesting and important in principle. However, the PI does not have supporting prior work on this topic or on theoretical research in general. Some supporting prior work would make the proposal much more convincing._x000D_
_x000D_
Justification for Panel Rating: _x000D_
PI does not have supporting prior work on algorithmic foundations on this topic. He does have prior work in the robotics area._x000D_
_x000D_
_x000D_
Panel Rating:_x000D_
_ Highly Competitive_x000D_
_ Competitive_x000D_
_ Low Competitive_x000D_
X Not Competitive_x000D_
_x000D_
The summary was read to the panel and the panel concurred that the summary accurately reflects the panel discussion._x000D_
</t>
  </si>
  <si>
    <t>P180307</t>
  </si>
  <si>
    <t xml:space="preserve"> CRII Robotics: Reid</t>
  </si>
  <si>
    <t xml:space="preserve"> Panel Summary       
 The proposed work aims to develop a theory for characterizing the memory complexity of robot perception and control tasks, including finding lower bounds on memory requirements using communication complexity theory and reductions from existing streaming algorithms results. Extensions to streaming algorithms theory will be explored to capture controlled tasks, where the system can take actions that affect the data stream. The algorithms developed will be in the context of perceptual tasks (localization, search, SLAM) for a micro aerial vehicle in simulation and in hardware. _x000D_
_x000D_
_x000D_
INTELLECTUAL MERIT_x000D_
_x000D_
--Strengths_x000D_
- The proposal aims to break new theoretical ground in robotics by building on, and extending, established ideas in streaming algorithms and communication complexity. _x000D_
- The project is well organized and integrates theoretical development with experimental evaluation. _x000D_
- The proposal is very well aligned with the PI's background and long term research agenda. _x000D_
- If successful, this work could have direct implications for a large number of robot perception and control tasks. _x000D_
_x000D_
_x000D_
--Weaknesses_x000D_
- The proposal could be improved by further elaborating on the connection of the proposed theoretical approach to existing perception algorithms (e.g., SLAM) and by laying out the experimental agenda in more detail._x000D_
_x000D_
_x000D_
BROADER IMPACTS, INCLUDING ENHANCING DIVERSITY_x000D_
--Strengths_x000D_
- The question of minimal representations and complexity bounds for robotics tasks is not well understood. Any principled approach to derive such results would significantly impact the field. _x000D_
- The PI plans to involve middle school, high school and undergraduate students through several programs available in his school such as PEEK, PSURE etc. _x000D_
- Efforts will be made to include women and undergraduates in this research.  _x000D_
_x000D_
--Weaknesses_x000D_
- No significant weaknesses identified. _x000D_
_x000D_
_x000D_
_x000D_
ADDITIONAL REVIEW CRITERIA:_x000D_
_x000D_
-- Is the research appropriate for the proposed duration?_x000D_
_x000D_
The research agenda is ambitious for two years. The panel suggests the PI carefully scope the experimental agenda so as to hit all three of the stated research threads. _x000D_
_x000D_
-- Does the project have potential to produce sufficient preliminary results to serve as the basis for future competitive research proposals?_x000D_
_x000D_
Yes, this proposal aims to break new theoretical ground in robotics. The panel suggests that showing concrete results for a specific robotic task will make subsequent proposals competitive. _x000D_
_x000D_
--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insights to inform algorithm design. _x000D_
_x000D_
_x000D_
DEPARTMENT SUPPORT LETTER: _x000D_
_x000D_
The letter verifies the eligibility of the PI. _x000D_
_x000D_
_x000D_
DATA MANAGEMENT PLAN: _x000D_
_x000D_
The data management plan is adequate. _x000D_
_x000D_
_x000D_
POST-DOCTORAL MENTORING PLAN (if applicable): _x000D_
_x000D_
N/A._x000D_
_x000D_
COLLABORATIONS (if applicable): _x000D_
_x000D_
N/A._x000D_
_x000D_
ADDITIONAL SUGGESTIONS: _x000D_
_x000D_
_x000D_
PANEL RECOMMENDATION AND JUSTIFICATION, INCLUDING BRIEF STATEMENT OF KEY STRENGTHS AND/OR CRITICAL WEAKNESSES	_x000D_
_x000D_
The proposal is very well organized and aims to break new theoretical ground by building on insights from communication complexity and streaming algorithms to understand the memory complexity of robotics tasks. In addition to framing robot perception problems in a new light, which may lead to new ways to understand, compare, and design algorithms for robot perception and control tasks, the proposed work aims to extend ideas from streaming algorithms theory to active systems whose behavior can affect the data stream. In addition to theoretical investigations, the proposed work will be grounded in localization, search, and mapping experiments using micro aerial vehicles in simulation and hardware. _x000D_
_x000D_
_x000D_
Ranking (check one)_x000D_
_X_ Highly Competitive_x000D_
__ Competitive_x000D_
__ Low Competitive_x000D_
__ Not Competitive_x000D_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</si>
  <si>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apply streaming algorithms and communication complexity to robotic tasks, in order to form lower bounds on robot memory requirements for various tasks, design new memory-efficient algorithms for robot tasks, and make new computational models for robot tasks (for example instead of streaming algorithms in which you can never go back in a stream, one could choose to go to a previous point in the stream again if desired, essentially forming an array one can access which is too big to store)._x000D_
_x000D_
Strengths:_x000D_
_x000D_
+ Robotic sensing tasks are important and have many applications. Using streaming algorithms and similar memory-constrained algorithms for them makes sense, and is worthwhile._x000D_
_x000D_
+ The PI plans to implement their algorithms in real robotic tests._x000D_
_x000D_
+ Looking at Time-Memory tradeoffs is a good idea, and would be an interesting contribution_x000D_
_x000D_
_x000D_
Weaknesses:_x000D_
_x000D_
- The PI does not compare with what is already known in streaming algorithms and related areas. Is the proposed work to design truly new and innovative streaming algorithms? Or is to only to take existing streaming algorithms, and re-work them for slightly different problems? When proposing new computational models which allow the robot to "backtrack" in the data stream, how is this different from theoretical work on memory-constrained algorithms where the data does not come in a stream, but is given as a large static array or a database? In other words, the PI needs to spend more time explaining how their proposed research is novel in terms of problems being solved and techniques required, and compare with existing algorithmic work, not just work in robotics. It is not clear if the proposed work is a simple extension of existing algorithmic work, or if applying it to robotic tasks would require truly new techniques._x000D_
_x000D_
- For many of the tasks (e.g., looking at time-memory tradeoffs) the PI seems to be mostly proposing to create new models, and does not give much indication of how they plan to analyze these models, or what the issues are with analyzing them._x000D_
_x000D_
_x000D_
Suggestions for Improvement: Providing a more detailed explanation of some preliminary work, and explaining why it is non-trivial and the novel issues that arise in it, would greatly improve this proposal. If space is needed, Section 5 can probably be reduced._x000D_
_x000D_
In the context of the five review elements, please _x000D_
evaluate the strengths and weaknesses of the proposal with respect to broader impacts._x000D_
_x000D_
Strengths:_x000D_
_x000D_
+ The PI plans to make new algorithms for robotic tasks, which is very useful_x000D_
_x000D_
+ K-12 outreach, robotics is good for that_x000D_
_x000D_
+ Undergrad participation, already working with 2 undergrads_x000D_
_x000D_
Please evaluate the strengths and _x000D_
weaknesses of the proposal with respect to any additional solicitation-specific review criteria, if _x000D_
applicable_x000D_
_x000D_
_x000D_
_x000D_
Summary Statement_x000D_
_x000D_
While on an interesting and important topic, this does not feel like research yielding fundamental insights. Providing a more detailed explanation of some preliminary work, and explaining why it is non-trivial and the novel issues that arise in it, would greatly improve this proposal._x000D_
_x000D_
_x000D_
</t>
  </si>
  <si>
    <t xml:space="preserve">In the context of the five review elements, please _x000D_
evaluate the strengths and weaknesses of the proposal with respect to intellectual merit._x000D_
_x000D_
The goal of this project is to develop principled and general techniques for establishing the memory resources required by a robot in order to perform its task. Specifically, this project will investigate: (i) techniques for establishing lower bounds on memory requirements, and (ii) algorithms for creating memory-efficient and task-centric representations for robot tasks.  The PI states that this part of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applications._x000D_
_x000D_
The proposed research sounds very interesting and important in principle. However, the PI does not have supporting prior work on this topic or on theoretical research in general. Some supporting prior work would make the proposal much more convincing._x000D_
_x000D_
_x000D_
In the context of the five review elements, please _x000D_
evaluate the strengths and weaknesses of the proposal with respect to broader impacts._x000D_
_x000D_
In addition to the strong broader impact of the research itself, the PI plans to engage in several outreach activities, for example to partner with the Princeton Engineering Education for Kids program to organize outreach events for K-12 students where students design LEGO robots that perform basic versions of the tasks discussed in the proposal. Furthermore, the PI plans to actively engage undergraduate students in the simulation and hardware implementation needed for the proposed research._x000D_
_x000D_
Please evaluate the strengths and _x000D_
weaknesses of the proposal with respect to any additional solicitation-specific review criteria, if _x000D_
applicable_x000D_
_x000D_
_x000D_
_x000D_
Summary Statement_x000D_
_x000D_
The goal of this project is to develop principled and general techniques for establishing the memory resources required by a robot in order to perform its task.  _x000D_
_x000D_
The PI does not have supporting prior work on this topic or on theoretical research in general, making it hard to evaluate the nature of the results that are likely to be outcome of this project, if funded._x000D_
_x000D_
</t>
  </si>
  <si>
    <t>XR1007255</t>
  </si>
  <si>
    <t>Clark</t>
  </si>
  <si>
    <t>clark@hmc.edu</t>
  </si>
  <si>
    <t xml:space="preserve">In the context of the five review elements, please _x000D_
evaluate the strengths and weaknesses of the proposal with respect to intellectual merit._x000D_
_x000D_
The research proposed aims to provide new tools for evaluating memory and run-time complexity in robotic systems. The work is motivated by the need to evaluate the applicability of micro scale vehicles embedded with microprocessors to different application tasks. The PI uses a micro air vehicle (MAV) exploration task as a motivating example, and while much of the work will be theoretical in nature, the PI aims to evaluate the theory on an undergraduate student built MAV._x000D_
_x000D_
_x000D_
--Strengths:_x000D_
The PI does a good job motivating the work, both with respect to its relevance to small scale robotic systems, and with respect to it being an unsolved problem with much to gain if solutions are found. The PI proposes to leverage work from other research communities (e.g. work in streaming theory), and demonstrate its potential usefulness as a starting point for determining computational complexity with single and multi-robot systems (i.e. that are subject to communication constraints.)_x000D_
_x000D_
The PI has a strong background and academic preparation that combines engineering and computer science, an appropriate combination for the proposed work._x000D_
_x000D_
_x000D_
--Weaknesses:_x000D_
Some of the starting points neglect how noise affects the system. The problem of checking off if a landmark has been visited is not easy when the correspondence is hard, (due to noisy data). As well, the quality of data in general is not mentioned here, and will likely have a large effect on how much data truly needs to be sensed, stored, and communicated._x000D_
_x000D_
_x000D_
_x000D_
In the context of the five review elements, please _x000D_
evaluate the strengths and weaknesses of the proposal with respect to broader impacts._x000D_
_x000D_
--Strengths:_x000D_
This work could have a large impact on a the field of robotics and embedded systems in general which doesn't always consider such issues. The outreach work with PEEK seems beneficial, although it is unclear how strong the collaboration between the PI and PEAK will be._x000D_
_x000D_
The reader appreciates the PI's intentions to work with PWICS and increase participation from underrepresented student groups._x000D_
_x000D_
_x000D_
_x000D_
--Weaknesses:_x000D_
More work on increasing participation of traditionally underrepresented students is encouraged,_x000D_
_x000D_
_x000D_
Please evaluate the strengths and _x000D_
weaknesses of the proposal with respect to any additional solicitation-specific review criteria, if _x000D_
applicable_x000D_
_x000D_
Adequacy of Data Management Plan:_x000D_
A few more details on the size/format of sensor data would be appreciated. Also, the use of Github is positive for version control and backup. Using an open source approach to data dissemination is also appreciated by the reader._x000D_
_x000D_
Is the research appropriate for the proposed duration?_x000D_
While it is unclear as to whether the PI will be able to rely on a MAV being developed by undergraduates within the 2 year timeframe, the PI has selected a manageable problem that seems in scope. _x000D_
_x000D_
_x000D_
Does the project have potential to produce sufficient preliminary results to serve as the basis for future competitive research proposals?_x000D_
The reader believes that the PI will produce results within the two year time frame that can form the basis of a future proposal. The preliminary ideas seem solid, with many options for exploration and development of formal theorems._x000D_
_x000D_
Are the activities necessary and critical steps for the PI to achieve research independence?_x000D_
The PI spends a page describing how the proposed work fits within the goal to develop 'A Complexity Theory for Robotics'. This is highly appropriate, relevant, and indicates a strong vision._x000D_
_x000D_
Strength of Department Letter_x000D_
The letter of support is adequate but could do more to indicate the department's dedication to the PI's research in terms of providing resources, mentoring, and ability to teach a subject that resonates with the proposal._x000D_
_x000D_
_x000D_
Summary Statement_x000D_
_x000D_
The proposal does a good job demonstrating paths to develop new theory that can find its way to a real world application. The project seems to be a logical step in building towards the PI's vision of establishing 'Complexity Theory for Robotics'. Some more attention should be made to the quality and types of data that may affect the provable bounds the PI is attempting to develop._x000D_
_x000D_
</t>
  </si>
  <si>
    <t xml:space="preserve">In the context of the five review elements, please _x000D_
evaluate the strengths and weaknesses of the proposal with respect to intellectual merit._x000D_
_x000D_
Strengths:_x000D_
The PI proposes to leverage data streaming algorithms for robotics applications.  The project investigates both the lower bounds on space and communication complexity as well as scalable algorithms._x000D_
_x000D_
The proposal is really cross-disciplinary._x000D_
It will facilitate flow of ideas from computer science to control theory and vice-versa._x000D_
_x000D_
The PI proposes to apply the theory developed for algorithms on search and rescue tasks with MAVs._x000D_
_x000D_
The PI is well-qualified to conduct the proposed activity._x000D_
There are adequate resources available to the PI to carry out the proposed activities._x000D_
_x000D_
Weaknesses:_x000D_
_x000D_
1. The proposal does not identify which problems are fundamentally different in robotics and how are they different from the applications studied in theoretical computer science (except in the context of navigation where robots can backtrack)._x000D_
_x000D_
2. The proposal gives an overview of techniques in sketches and communication complexity, but does not identify new insights by the PI that will lead to transformative concepts. _x000D_
_x000D_
3. The proposal does not describe any preliminary work done in proving lower bounds for memory._x000D_
_x000D_
_x000D_
In the context of the five review elements, please _x000D_
evaluate the strengths and weaknesses of the proposal with respect to broader impacts._x000D_
_x000D_
Strengths:_x000D_
The PI has proposed to interact with K-12 outreach program at Princeton. He is co-advising undergraduates._x000D_
_x000D_
The project has potential to impact not just the theory of streaming algorithms but also the area of robotics._x000D_
_x000D_
Please evaluate the strengths and _x000D_
weaknesses of the proposal with respect to any additional solicitation-specific review criteria, if _x000D_
applicable_x000D_
_x000D_
_x000D_
_x000D_
Summary Statement_x000D_
_x000D_
This is a good cross-disciplinary proposal._x000D_
_x000D_
</t>
  </si>
  <si>
    <t>PW0906523</t>
  </si>
  <si>
    <t>Kress-Gazit</t>
  </si>
  <si>
    <t>hadaskg@cornell.edu</t>
  </si>
  <si>
    <t xml:space="preserve">In the context of the five review elements, please _x000D_
evaluate the strengths and weaknesses of the proposal with respect to intellectual merit._x000D_
_x000D_
A brief statement of what the proposal is about:_x000D_
This proposal aims to develop theory and algorithms that reason about memory resources needed by a robot to perform different perceptual tasks. The theory includes finding lower bounds on memory requirements for a task, through reductions from streaming algorithms with known memory lower bounds and communication complexity, and reasoning about memory bounds for robotics tasks that are "active", that is the stream of information is influenced by the actions of the robot. The algorithms developed will be in the context of perceptual tasks for a micro aerial vehicle and will be demonstrated in simulation and in hardware.  _x000D_
_x000D_
--Strengths:_x000D_
This is an ambitious proposal that looks at memory requirements for different robotics perceptual task and thus will pave the way for defining, in a principled way, the (minimal) representations needed by a robot for a task.  _x000D_
This project is well thought out. Focusing on a few tasks, the PI will develop a general theory and specific algorithms, and will demonstrate the results in simulation and hardware. _x000D_
The insight connecting robotic tasks and the required (minimal) representation with streaming algorithms and communication complexity is interesting and will result in a fresh look at an important problem._x000D_
_x000D_
--Weaknesses:_x000D_
The proposal focuses on tasks that are extremely well studied in estimation theory and robotics (localization, SLAMà) but there is no mention of how the project fits into that landscape. Would the lower bounds inform the dimension of the state needed in the filter? Define the state representation?  Would the algorithms developed in this project replace filtering or will they leverage well known filtering techniques?_x000D_
The proposal mentions tasks multiple times but does not discuss the space of tasks, nor defines what a task is in this context. From the detailed aim description, it reads as if the approach is for perceptual tasks. It would have been good to see a paragraph describing how these approaches might, in the future, be used for other types of tasks that require more decision making._x000D_
_x000D_
_x000D_
In the context of the five review elements, please _x000D_
evaluate the strengths and weaknesses of the proposal with respect to broader impacts._x000D_
_x000D_
--Strengths:_x000D_
The question of appropriate representations of robot and environment state suitable for a task is not well understood. Any principled approach to construct such representations would have significant impact on robotics and CPS in general._x000D_
The K-12 outreach looks good._x000D_
_x000D_
--Weaknesses:_x000D_
Similar to what I wrote in the IM section, the connection to estimation theory and filtering is unclear therefore the risk here is that these results will not impact the way people think about representations. _x000D_
_x000D_
_x000D_
Adequacy of Data Management Plan:_x000D_
Open source code and data will be archived on Princeton's  github site with public access. PI has track record in releasing open source code.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The research aims are very ambitious for one student for two years. If the PI focuses on one very specific task, for example the coverage problem, he and his student might be able to get to all three aims._x000D_
_x000D_
_x000D_
Does the project have potential to produce sufficient preliminary results to serve as the basis for future competitive research proposals?_x000D_
Yes. The goals and vision of the project are very ambitious and exciting but not substantiated yet. Showing concrete results for a specific robotic task, demonstrated on an actual hardware system, will make a follow on full proposal competitive. _x000D_
_x000D_
_x000D_
Are the activities necessary and critical steps for the PI to achieve research independence?_x000D_
The PI describes his overall vision and this project fits well with the initial steps toward realizing the vision.  _x000D_
_x000D_
_x000D_
Strength of Department Letter:_x000D_
Letter certifies the PI is eligible for the CRII program._x000D_
_x000D_
_x000D_
Summary Statement_x000D_
_x000D_
Justification of your rating, including a brief statement of the proposal's key strengths and/or critical weaknesses_x000D_
This proposal addresses the important and exciting problem of principled reasoning about appropriate representations for robot tasks. While some questions marks remain, especially the connection to the rich literature of estimation, this proposal may pave the way to a fresh look at this problem. _x000D_
_x000D_
_x000D_
</t>
  </si>
  <si>
    <t>PH1007107</t>
  </si>
  <si>
    <t>Kuindersma</t>
  </si>
  <si>
    <t>scottk@seas.harvard.edu</t>
  </si>
  <si>
    <t xml:space="preserve">In the context of the five review elements, please _x000D_
evaluate the strengths and weaknesses of the proposal with respect to intellectual merit._x000D_
_x000D_
The proposed work aims to harness and extend results from the streaming algorithms literature to derive new approaches for establishing memory requirements for robotics tasks. This work is motivated by robotics applications with constrained memory resources (e.g., small scale MAVs), where the system must maintain a parsimonious representation of the problem (i.e. a 'sketch') that is sufficient to achieve the task. In addition to developing new efficient algorithms for search and rescue tasks, the proposed work aims to use insights from communication complexity to develop a formal framework in which to rank the difficulty of robot tasks. _x000D_
_x000D_
--Strengths:_x000D_
_x000D_
- The proposed work is theoretically well-motivated, novel, and the PI has the right background to successfully carry it out. _x000D_
- The work would fit well into the PI's long-term research agenda. _x000D_
- If successful, this work would lead a new set of theoretical tools to compare and solve a broad set of robotics tasks. _x000D_
- The PI has ample resources available to carry out the proposed work. _x000D_
_x000D_
--Weaknesses:_x000D_
_x000D_
- The PI is proposing to cover a lot of ground in two years. For example, in the timeline year 0.5-1.5 will involve carrying out 3 research threads simultaneously. This may prove difficult given the limited size of the grant. _x000D_
- The experimental agenda is lacking in detail. What experiments will be done on the physical testbeds? Will the proposed algorithms allow more difficult/memory-intensive problems to be solved on these systems?_x000D_
_x000D_
_x000D_
In the context of the five review elements, please _x000D_
evaluate the strengths and weaknesses of the proposal with respect to broader impacts._x000D_
_x000D_
--Strengths:_x000D_
_x000D_
- This work would have implications for a wide variety of robotic and embedded systems. _x000D_
- The PI will make use of an existing K-12 outreach program at Princeton that introduces students to robotics concepts using LEGO Mindstorms kits. _x000D_
- Efforts will be made to include women and undergraduates in this research. _x000D_
_x000D_
--Weaknesses:_x000D_
_x000D_
- No significant weaknesses identified._x000D_
_x000D_
Please evaluate the strengths and _x000D_
weaknesses of the proposal with respect to any additional solicitation-specific review criteria, if _x000D_
applicable_x000D_
_x000D_
Is the research appropriate for the proposed duration?_x000D_
_x000D_
- The proposed research timeline is aggressive, but achievable._x000D_
_x000D_
_x000D_
Does the project have potential to produce sufficient preliminary results to serve as the basis for future competitive research proposals?_x000D_
_x000D_
Yes._x000D_
_x000D_
_x000D_
Are the activities necessary and critical steps for the PI to achieve research independence?_x000D_
_x000D_
Yes, this would constitute a new research thread for the PI that furthers his longer term agenda of establishing complexity statements for robotics problems and using these theoretical insights to inform algorithm design._x000D_
_x000D_
_x000D_
Strength of Department Letter_x000D_
_x000D_
The department letter is satisfactory._x000D_
_x000D_
Summary Statement_x000D_
_x000D_
The proposal is very well written and aims to break new theoretical ground by building on insights from communication complexity and streaming algorithms to understand the storage complexity of robotics tasks. If successful, this work could have impact on a wide variety of systems. The primary weaknesses of the proposal are the lack of detail in the experimental agenda (e.g., what specific tasks will be solved, hypotheses, evaluation methodology?) and a relatively ambitious research timeline. _x000D_
_x000D_
_x000D_
</t>
  </si>
  <si>
    <t>HH1007103</t>
  </si>
  <si>
    <t>Rathinam</t>
  </si>
  <si>
    <t>srathinam@tamu.edu</t>
  </si>
  <si>
    <t xml:space="preserve">In the context of the five review elements, please _x000D_
evaluate the strengths and weaknesses of the proposal with respect to intellectual merit._x000D_
_x000D_
The proposal is about developing fundamental tradeoffs between memory requirements and the amount of time required to accomplish robotics tasks. The work mainly wants to use the results from streaming algorithms theory to answer the fundamental questions._x000D_
_x000D_
--Strengths:_x000D_
The proposal is well written and the proposed approach is explained clearly._x000D_
_x000D_
--Weaknesses:_x000D_
The main drawback of this proposed work lies in the relation between the theoretical problem the PI wants to solve and the actual sensing problem a robot encounters in practice. In a practical application, a robot collects huge amount of data with errors\outliers and a lot of work has to be spent in extracting useful information from this data. Identifying landmarks and labelling them is not easy. The problem of representing this processed data may not directly reduce to the theoretical problem the PI wants to solve. The PI has to further choose a concrete example and a sensor and show how the data collection process reduces to the theoretical problem as proposed in the project._x000D_
_x000D_
Also, the order, O(.), of the computations of some of the algorithms is mentioned. It is important to note that this is a theoretical result and depends on the value of n. For example, even though there are polynomial time algorithms for solving linear programs, we still use implementations of simplex method (that are not polynomial time) in practice._x000D_
_x000D_
In the context of the five review elements, please _x000D_
evaluate the strengths and weaknesses of the proposal with respect to broader impacts._x000D_
_x000D_
--Strengths:_x000D_
The PI plans to involve middle school, high school and undergraduate students through several programs available in his school such as PEEK, PSURE etc. Women and under-represented students will also be involved in small robotic projects advised by the PI._x000D_
_x000D_
--Weaknesses:_x000D_
None._x000D_
_x000D_
Adequacy of Data Management Plan:_x000D_
The PI will publish all the code in github and will make it open source. The data management plan seems adequate._x000D_
_x000D_
Please evaluate the strengths and _x000D_
weaknesses of the proposal with respect to any additional solicitation-specific review criteria, if _x000D_
applicable_x000D_
_x000D_
Is the research appropriate for the proposed duration?_x000D_
Yes._x000D_
_x000D_
_x000D_
Does the project have potential to produce sufficient preliminary results to serve as the basis for future competitive research proposals?_x000D_
Yes._x000D_
_x000D_
Are the activities necessary and critical steps for the PI to achieve research independence?_x000D_
Yes._x000D_
_x000D_
_x000D_
Strength of Department Letter:_x000D_
The letter verifies the eligibility of the PI._x000D_
_x000D_
Summary Statement_x000D_
_x000D_
The proposal deals with tradeoffs between memory requirements and the completion time of the tasks. The theoretical aspects of the algorithms as such is interesting. It is not clear how the problems considered applies to robots in a practical setting._x000D_
_x000D_
</t>
  </si>
  <si>
    <t>What is the minimal representation a robot must create of its environment in order to achieve its task? Are there fundamental tradeoffs between how memory-efficient the representation is and how efficiently the robot can accomplish the task? Unfortunately, even a basic understanding of such fundamental questions concerning the memory requirements for robots is beyond our current grasp. The vast majority of strategies resort either to entirely reactive and memoryless approaches (e.g., reactive obstacle avoidance controllers) or memory-inefficient approaches that build and store accurate geometric representations (e.g., a map of the environment). Motivated by the need for micro aerial vehicles (MAVs) with highly rich perceptual inputs (e.g., vision or laser scans) to conduct long-duration search and rescue missions using limited computational resources, our goal is to develop principled and general techniques for establishing the memory resources required by a robot in order to perform its task. Specifically, this CRII project will investigate: (i) techniques for establishing lower bounds on memory requirements, and (ii) algorithms for creating memory-efficient and task-centric representations for robot tasks. Taken together, these results will form the necessary and critical steps for the PI to pursue a long-term research agenda towards developing a complexity theory for robotics that will allow us to define notions of hardness for robot tasks, establish and compare their intrinsic computational difficulty, and enable highly computationally efficient and robust strategies for a wide range of robotic applications.The key insight of this project is to leverage and extend ideas from the theory of streaming algorithms and communication complexity. Originally developed by the theoretical computer science community, these areas have seen a recent explosion in interest due to their ability to elegantly handle and reason about massive data sets in applications such as machine learning, networking, and database search. We establish a connection between streaming problems and robot perception by viewing a robot's sensory inputs as constituting the data stream. This analogy allows us to leverage the powerful techniques for proving lower bounds on memory requirements and also the vast suite of memory-efficient algorithms from the streaming algorithms literature. While the streaming model provides an important starting point, it does not capture a robot's ability to actively influence the appearance of elements in the stream with its actions. We will extend the standard streaming model and also propose models based on communication complexity theory that provide the right abstractions for capturing the memory resources required for robot tasks. We will apply the resulting tools to MAVs with limited computation performing various tasks such as search, exploration, and navigation in search-and-rescue contexts. The proposed project thus brings together a diverse range of ideas in order to propose new models, prove new theorems, develop new algorithms, and enable new applications.This project aims to contribute to the fundamental science of memory-efficient representations for robotics. As such, our goals are well aligned with the NSF RI program's broader goals of enabling and understanding intelligent behavior that addresses progressively richer environments (e.g., large-scale environments such as cities), larger-scale data (e.g., high spatial and temporal resolution sensory inputs), more diverse computing platforms (e.g., lightweight platforms on MAVs), and more sophisticated computation approaches (e.g., streaming algorithms). Beyond robotics, we expect that our advances will be broadly applicable towards the control of large-scale cyberphysical systems (e.g., Smart Cities), where extremely rich sensory data makes memory a precious resource. This project also provides a natural avenue for outreach; specifically, we will partner with the Princeton Engineering Education for Kids program to organize outreach events for K-12 students where students design LEGO robots that perform basic versions of the tasks considered here. Further, the simulation and hardware implementation for this project will be largely driven through undergraduate research participation.</t>
  </si>
  <si>
    <t>1755471</t>
  </si>
  <si>
    <t>Tong</t>
  </si>
  <si>
    <t xml:space="preserve"> Panel Summary       
 Description: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smoothed complexity to create efficient algorithms which have differential privacy guarantees, especially for linear programming and similar problems._x000D_
_x000D_
_x000D_
Intellectual Merit:_x000D_
_x000D_
Strengths:_x000D_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 _x000D_
_x000D_
+ The problems being proposed are about right for the time-frame. _x000D_
_x000D_
Weaknesses_x000D_
_x000D_
- The PI does not give much detail about the specific problems they intend to study, their ideas on how to approach them, any preliminary work, or why this PI specifically is qualified to work on such problems. 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 _x000D_
_x000D_
Broader Impact:_x000D_
_x000D_
The proposed research will be conducted with both undergraduate and graduate students, which will be exposed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Strengths:_x000D_
_x000D_
+ Graduate courses, privacy is a hot and useful field _x000D_
_x000D_
+ Graduate and undergraduate students _x000D_
_x000D_
+ More efficient differential privacy algorithms would certainly be useful _x000D_
_x000D_
+ Advising and training at a minority serving institution will enable outreach to under represented groups._x000D_
_x000D_
Weaknesses_x000D_
_x000D_
- It is difficult to tie results to specific broader impacts as there is insufficient detail about the type / form of research results that will be obtained._x000D_
_x000D_
Solicitation-specific criteria: CRII specific criteria are not addressed directly._x000D_
_x000D_
Data Management Plan: Adequate._x000D_
_x000D_
Suggestions to PI: There is insufficient detail on the methods of attack for the work.  While we found the proposal interesting there is not enough supporting publications or enough intuition on how the problems will be attacked._x000D_
_x000D_
Justification for Panel Rating:  An interesting high level idea but insufficient prior work on this topic and insufficient details about what type of results will be obtained._x000D_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</si>
  <si>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Practical Privacy-preserving Mechanisms under Differential Privacy and Smoothed Analysis_x000D_
_x000D_
L: 1755471 Tong, Weitian Ga. Southern Univ. R&amp;S Fdn $  162,689_x000D_
_x000D_
_x000D_
P180209 LC AF CAREER/CRII Panel B (12 panelists),_x000B_  on 11/21/2017, recommended as Low Competitive (G,G/F,F)_x000D_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</si>
  <si>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intends to study differential privacy together with smoothed complexity. Specifically, the main ideas are as follows: (1) Designing specific models of realistic noise for various applications, and then analyzing the smoothed complexity of various algorithms under these new noise models, (2) Noting that differential privacy adds artificial noise, but if there is already noise inherent in the system, then there is no need to add as much noise, which could result in better algorithms, (3) Using insights from smooth complexity to create efficient algorithms which have differential privacy guarantees, especially for linear programming and similar problems._x000D_
_x000D_
Strengths:_x000D_
_x000D_
+ The high-level directions in this proposal seem promising. Indeed it seems reasonable to use the already-existing noise to form differential privacy guarantees, and this would not be an easy result since the "already-present" noise can be of very different form than the noise usually added by differential-privacy algorithms. Using the insights from Linear Programming having good smoothed complexity in order to design differentially private LP-solvers is also worth a try._x000D_
_x000D_
+ The problems being proposed are about right for the timeframe._x000D_
_x000D_
Weaknesses:_x000D_
_x000D_
- One issue with using "existing noise" to form differential privacy guarantees is that then they will not be guarantees. What if the input turned out to be less noisy than expected? Then the differential privacy guarantees would no longer hold, which seems unacceptable._x000D_
_x000D_
- The PI does not give much detail about the specific problems they intend to study, their ideas on how to approach them, any preliminary work, or why this PI specifically is qualified to work on such problems._x000D_
_x000D_
_x000D_
_x000D_
In the context of the five review elements, please _x000D_
evaluate the strengths and weaknesses of the proposal with respect to broader impacts._x000D_
_x000D_
Strengths:_x000D_
_x000D_
+ Graduate courses, privacy is a hot and useful field_x000D_
_x000D_
+ Graduate and undergraduate students_x000D_
_x000D_
+ More efficient differential privacy algorithms would certainly be useful_x000D_
_x000D_
Please evaluate the strengths and _x000D_
weaknesses of the proposal with respect to any additional solicitation-specific review criteria, if _x000D_
applicable_x000D_
_x000D_
_x000D_
_x000D_
Summary Statement_x000D_
_x000D_
A proposal on an interesting topic with some nice ideas, but the PI does not give much detail about the specific problems they intend to study, their ideas on how to approach them, any preliminary work, or why this PI specifically is qualified to work on such problems._x000D_
_x000D_
_x000D_
</t>
  </si>
  <si>
    <t xml:space="preserve">In the context of the five review elements, please _x000D_
evaluate the strengths and weaknesses of the proposal with respect to intellectual merit._x000D_
_x000D_
This proposal aims to investigate the development of differential private algorithms under the  smoothed analysis model. This model assumes that the input instances are subject to certain random perturbations before the actual computation takes place --- this is reasonable as input instances usually subject to some random uncertainty of low magnitude, for example due to  measurement errors. This project will initiate the research of combining differential privacy and smoothed analysis, and try to design efficient privacy-preserving algorithms with acceptable service quality in a variety of applications._x000D_
_x000D_
The PI identifies four specific research directions:_x000D_
(i) depicting the natural noise of different data under the smoothed analysis model; _x000D_
(ii) utilizing the natural noise to avoid overprotecting query results, which in turn improves service utility; _x000D_
(iii) investigating big high-dimensional data and employing the smoothed analysis model to design computationally efficient algorithms while preserving consumers' privacy; _x000D_
(iv) applying the techniques to integer/linear programming and tensor decomposition, which are two powerful tools to model and solve_x000D_
plenty of problems in real application._x000D_
_x000D_
Both the specific directions identified by the PI and and the high level idea of the research  is very  interesting in principle. However, the PI does not have supporting prior work on this topic and does not provide sufficient details about what type of results (algorithms, theorems) he will aim to obtain. Some supporting prior work and/or  and a concrete plan of attack would make the proposal much more convincing._x000D_
_x000D_
In the context of the five review elements, please _x000D_
evaluate the strengths and weaknesses of the proposal with respect to broader impacts._x000D_
_x000D_
The proposed research will be conducted with both undergraduate and graduate students, which will be exposed to to the area of efficient algorithm design and solving privacy issues in our real world.  The outcomes of this project could be incorporated into both undergraduate and graduate courses.  The PI will host a workshop on the design of practical privacy-preserving mechanisms. _x000D_
_x000D_
_x000D_
Please evaluate the strengths and _x000D_
weaknesses of the proposal with respect to any additional solicitation-specific review criteria, if _x000D_
applicable_x000D_
_x000D_
_x000D_
_x000D_
Summary Statement_x000D_
_x000D_
This proposal aims to investigate the development of differential private algorithms under the  smoothed analysis model._x000D_
_x000D_
The proposed direction is very  interesting and timely. However, the PI does not have supporting prior work on this topic and does not provide sufficient details about what type of results (algorithms, theorems) he will aim to obtain._x000D_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</si>
  <si>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addresses interesting problems at the intersection of big data, algorithms and privacy.  The PI has identified three interesting questions that cross theory and practice and has outlined an ambitious research plan to address these issues._x000D_
_x000D_
2. To what extent do the proposed activities suggest and explore creative, original, or potentially transformative concepts?_x000D_
_x000D_
The three main thrusts of the proposal, describing input data noise, avoiding over protection, and designing computationally efficient algorithms under privacy guarantees are interesting and creative.  The second and third one, especially, have the potential to be transformative._x000D_
_x000D_
3. Is the plan for carrying out the proposed activities well-reasoned, well-organized, and based on a sound rationale? Does the plan incorporate a mechanism to assess success?_x000D_
_x000D_
The plan in Section 4 is well reasoned and the PI has established a reasonable plan.  The main issue that I see currently is that no datasets for Part 1 are clearly identified.  Additionally there is not a good explanation of the methods that will be potentially employed for each of the main areas suggested to study.  It would be good to understand the areas or data that would be used as it would help ground the work in the next sections.  the concern is that failure in part 1 will disconnect the work in parts 2 and 3 from real world application._x000D_
_x000D_
4. How well qualified is the individual, team, or institution to conduct the proposed activities?_x000D_
_x000D_
The PI is well qualified and has a track record of high quality publications in the fields for which the proposal is central to.  One concern is a lack of some kind of implementation or code sharing plan to ensure that the results are available to as many people as possible._x000D_
_x000D_
5. Are there adequate resources available to the PI (either at the home institution or through collaborations) to carry out the proposed activities?_x000D_
_x000D_
The PI has requested adequate resources to perform the tasks in the proposal.  The university has access to additional resources necessary to aid success._x000D_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questions in the proposal could have broad and transformative impact across a number of disciplines and real world applications.  Big data and privacy preserving algorithms may have wide application in bio-sciences and recommender systems to name a few areas.  Calling these areas out with particular datasets would strengthen the proposals._x000D_
_x000D_
2. To what extent do the proposed activities suggest and explore creative, original, or potentially transformative concepts?_x000D_
_x000D_
The ideas and research thrusts in the proposal are good and original.  the teaching plan include developing course materials for general use within the confines of the ideas outlined in the proposals -- this would be novel and help bring attention to the areas._x000D_
_x000D_
3. Is the plan for carrying out the proposed activities well-reasoned, well-organized, and based on a sound rationale? Does the plan incorporate a mechanism to assess success?_x000D_
_x000D_
The plan for broader impacts is well defined and has clear metrics for success._x000D_
_x000D_
4. How well qualified is the individual, team, or institution to conduct the proposed activities?_x000D_
_x000D_
In addition to the research the institution serves traditionally undeserved populations which puts the PI and the research program in a particularly strong position to have broad impact in education as well as the research application itself._x000D_
_x000D_
5. Are there adequate resources available to the PI (either at the home institution or through collaborations) to carry out the proposed activities?_x000D_
_x000D_
There are adequate resources available between the proposal and the university to address the broader impacts._x000D_
_x000D_
_x000D_
Please evaluate the strengths and _x000D_
weaknesses of the proposal with respect to any additional solicitation-specific review criteria, if _x000D_
applicable_x000D_
_x000D_
CRII specific issues are not directly addressed._x000D_
_x000D_
Summary Statement_x000D_
_x000D_
An interesting and well structured proposal that identifies good questions at the intersection of big data, privacy preserving analytics, and theoretical computer science / algorithms.  The proposal would be strengthened by calling out specific application areas and datasets but overall the questions are of high quality and well formulated with potential for broad impacts within CS and beyond._x000D_
_x000D_
_x000D_
</t>
  </si>
  <si>
    <t>The operation of emerging large-scale monitoring and control system, such as smart grid, intelligent transportation, and health care system, relies heavily on the growing volume of data continuously provided by and about the users. Usually, the original data contains sensitive information about the participants. How to mine these sensitive big data sets to deliver welfare enhancing goods to our society while avoiding the leakage of participants' privacy is becoming an urgent problem. Differential privacy is a framework for providing a strong privacy guarantee by injecting an appropriate amount of noise into data sets. However, it is reported to provide poor utility or service quality on numerical databases with possible missing values or error items. Besides, computationally efficient privacy-preserving algorithms haven't been proposed for many essential problems, such as linear programming, which is only known to be privately solvable. The PI will investigate the differential privacy under a realistic algorithm analysis and design model, the smoothed analysis model. The main idea of this model is to mimic the real-world instances by considering the natural noise of the input instance. This is reasonable as input instances usually subject to some random uncertainty of low magnitude, due to the measurement or computation imprecision. Smoothed analysis helps us to look deep into the problem and the insight gained from the results could inspire us with new ideas in algorithm design for real applications, which in turn could produce more practical algorithms. This project will initiate the research of combining differential privacy and smoothed analysis, and try to design efficient privacy-preserving algorithms with acceptable service quality in a variety of applications.This project aims at developing more computationally efficient and strong privacy-preserving algorithms or mechanisms by bringing differential privacy closer to reality. The project initiates the study of seamlessly integrating the smoothed analysis and differential privacy. The specific research thrusts include (i) depicting the natural noise of different data under the smoothed analysis model; (ii) utilizing the natural noise to avoid overprotecting query results, which in turn improves service utility; (iii) investigating big high-dimensional data and employing the smoothed analysis model to design computationally efficient algorithms while preserving consumers' privacy; (iv) applying the techniques to integer/linear programming and tensor decomposition, which are two powerful tools to model and solve plenty of problems in real application.The outcomes of this project can provide valuable materials and resources for the private data analysis society. In particular, the methods and ideas developed in this project have broad impacts on designing efficient privacy-preserving algorithms in private data analysis, and can even initiate a brand-new research field of privacy-preserving algorithms design. Besides, the solutions from this project will dramatically improve the usability of pervasive applications that adopt differential privacy as their protection criterion, which will stimulate the wide development and adoption of many other applications. The proposed research is also a starting point in the integration of research and education with the intent of attracting both undergraduate and graduate students to the area of efficient algorithm design and solving privacy issues in our real world. Both undergraduate and graduate students, especially the female and minority students, are encouraged to participate in the project to gain research experiences of algorithm design and privacy issues. Thus, the outcomes of this project can be incorporated into both undergraduate and graduate courses. Furthermore, practical benefits may be utilized by the general public since the practical algorithms are designed for the problems in our daily lives. The PI will host a workshop on the design of practical privacy-preserving mechanisms. The research results and education modules will be published in conferences, journals, and on the Internet.</t>
  </si>
  <si>
    <t>1755481</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</si>
  <si>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</si>
  <si>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fast maximum edge-weight clique solvers and their applications_x000D_
_x000D_
L: 1755481 Wang, Kai Ga. Southern Univ. R&amp;S Fdn $  168,126_x000D_
_x000D_
_x000D_
P180207 NC AF CAREER/CRII Panel A (14 panelists),_x000B_  on 10/24/2017, recommended as Not Competitive (G/F,F,F,F)_x000D_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</si>
  <si>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</si>
  <si>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</si>
  <si>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</si>
  <si>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</si>
  <si>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1755548</t>
  </si>
  <si>
    <t>Zhou</t>
  </si>
  <si>
    <t xml:space="preserve"> Panel Summary       
 Description: This proposal investigates two research directions in multi-armed bandit (MAB) problems: 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(2) Design efficient algorithms for the Bayesian MAB problems: Prior work have proposed dynamic programming algorithms that take exponential time. This research proposes to design polynomial time algorithms. Further, it proposes _x000D_
deep reinforcement learning algorithms that can do well in practice. _x000D_
_x000D_
_x000D_
Intellectual Merit: _x000D_
Strengths_x000D_
  + The proposal has clear directions (especially the first direction) and is technically well-written. Both directions propose problems that are important and whose solutions will improve state of the art. _x000D_
+ The PI has done good prior research in this area and is capable of making progress to address the problems proposed. _x000D_
+ Multi-arm bandits is a crowded and challenging area and the panel appreciates the research proposed._x000D_
_x000D_
Weaknesses_x000D_
- The proposal can be written better, especially with regard to English. _x000D_
- The technical difficulty of the approaches proposed is not well-fleshed out. _x000D_
- The PI, somewhat surprisingly, does not talk about his recent ICML paper on MAB that looks very related. The concern is if there is  relation to the problems proposed in the first research direction._x000D_
_x000D_
Broader Impact: _x000D_
Strengths_x000D_
  + MAB problems are important with wide applications and any theoretical or practical improvements to existing algorithms will be very useful. _x000D_
 + The educational component is nicely laid out: it includes curriculum development, outreach events to high school students, co-organizing workshops (e.g., mid-west Theory Day) _x000D_
  + Outreach for high school students._x000D_
Weaknesses_x000D_
  - None._x000D_
  _x000D_
_x000D_
Solicitation-specific criteria: _x000D_
The proposal does not explicitly mention how this project will help in future career goals of the PI. _x000D_
_x000D_
Data Management Plan: _x000D_
Adequate._x000D_
_x000D_
Suggestions to PI: _x000D_
Please mention how this project will help in your future goals and career as it is part of the solicitation criteria. It will be  good to improve the writing._x000D_
_x000D_
Justification for Panel Rating:  This proposal addresses multi-arm bandit (MAB) problems, an important class of problems with wide applications. It addresses two research directions which are well-motivated and important. Progress made in addressing these will improve the state of the art in MAB literature. _x000D_
The proposal could have been written better._x000D_
The educational component is good.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</si>
  <si>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goal of this proposal is to provide new data dependent guarantees and algorithms for multi-armed bandit (MAB) problems. The PI identifies two main research directions:_x000D_
_x000D_
(1) Novel data-dependent algorithms that enjoy better sample complexity on easy data. Past research on this topic was focused on  bandit algorithms that exploit quality gaps between arms. This proposal aims to design algorithms that are sensitive to and exploit the variances of the rewards of the respective arms. _x000D_
_x000D_
(2) Learning optimal Bayesian bandit policies from simulation data. Past research was focused on dynamic programming algorithms that take exponential time. This proposal aims design polynomial time algorithms. It also proposes using  deep reinforcement learning to provide more practical algorithms. _x000D_
_x000D_
The proposed work is very interesting and the PI outlines good possible approaches for attacking them. _x000D_
_x000D_
_x000D_
In the context of the five review elements, please _x000D_
evaluate the strengths and weaknesses of the proposal with respect to broader impacts._x000D_
_x000D_
_x000D_
The educational component is nicely laid out: it includes curriculum development, outreach events to high school students, co-organizing workshops (e.g., Mid-West Theory Day)_x000D_
_x000D_
_x000D_
Please evaluate the strengths and _x000D_
weaknesses of the proposal with respect to any additional solicitation-specific review criteria, if _x000D_
applicable_x000D_
_x000D_
_x000D_
_x000D_
Summary Statement_x000D_
_x000D_
_x000D_
This proposal aims to provide new data dependent results for multi-arm bandit problems, an important class of problems with wide range of applications. It is well written and interesting._x000D_
_x000D_
_x000D_
</t>
  </si>
  <si>
    <t xml:space="preserve">In the context of the five review elements, please _x000D_
evaluate the strengths and weaknesses of the proposal with respect to intellectual merit._x000D_
_x000D_
This proposal aims to develop MAB algorithms that are data dependent. It has two direction:_x000D_
1. Variance-sensitive MAB: The PI aims to develop algorithms with good sample complexity when the variances of the arms are small. The sample complexity now depends on the variance of arms. This can potentially allow an algorithm to  perform much better when the data are 'e-asy.'_x000D_
2. Develop polynomial-time approximate algorithms for Bayesian MAB and learn approximate policies from simulation data. The latter will adopt a Q-learning framework to design a practically efficient algorithm. _x000D_
_x000D_
+The two research directions are interesting. _x000D_
+The PI is qualified to carry out this research. (Publications in the area, preliminary results.)_x000D_
- The mid-term proposed research questions for the first direction could be quite technically challenging and the PI didn't provide enough information on how to tackle them. _x000D_
_x000D_
_x000D_
In the context of the five review elements, please _x000D_
evaluate the strengths and weaknesses of the proposal with respect to broader impacts._x000D_
_x000D_
+ Curriculum development, including a course on theoretical tools for optimization. _x000D_
+ Work with a high school student and will do more outreach to high school students.  _x000D_
+ Organize theory day_x000D_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 _x000D_
_x000D_
_x000D_
</t>
  </si>
  <si>
    <t xml:space="preserve">In the context of the five review elements, please _x000D_
evaluate the strengths and weaknesses of the proposal with respect to intellectual merit._x000D_
_x000D_
This proposal investigates two research directions in multi-armed bandit (MAB) problems:_x000D_
_x000D_
(1) Efficient MAB algorithms that are sensitive to data: Prior MAB algorithms have focused on proving near-optimal sample complexity for MAB problems (e.g., identifying the top arm) in terms of the quality gaps (difference between mean reward of the top arm and the other arms). This proposal wants to devise even more efficient algorithms that are sensitive to the variances of the rewards of the respective arms. _x000D_
_x000D_
(2)  Design efficient algorithms for the Bayesian MAB problems:  Prior work have proposed dynamic programming algorithms that take exponential time. This research proposes to design polynomial time algorithms. Further, it proposes_x000D_
deep reinforcement learning algorithms that can do well in practice._x000D_
_x000D_
Strengths:_x000D_
_x000D_
1.	The proposal has clear directions and technically well-written. Especially, the first research direction of finding variance-sensitive algorithms is well-explained with short-term and mid-term goals, each with concrete open problems and possible approaches to tackle them. They look credible and reasonable. Both directions propose problems that are important  and whose solutions will improve state of the art._x000D_
In particular, having algorithms that are variance sensitive can improve over prior MAB algorithms that only look at quality gaps (when the variances are small)._x000D_
_x000D_
2.	The PI has done prior research in this area and is capable of making good progress to address the problems proposed._x000D_
_x000D_
Weaknesses:_x000D_
1.  The technical difficulty of the approaches proposed is not clear, or at least not well-fleshed out.      For example, Section 2.1 describes a fairly-straightforward variance-sensitive algorithm for solving the 2-arm case. Proving this is stated as conjecture. What is the difficulty in this? What is the difficulty in extending this to the multi-arm case? What are the difficulties in proving lower bounds? Lower bounds proposed look essentially tight and seem hard to show. It might be good to elaborate a bit more on this. Also the novelty of turning a DP algorithm into a PTAS is not clear. Why is this difficult?_x000D_
_x000D_
2.	The PI, somewhat surprisingly, does not talk about his recent ICML paper on MAB that looks very related. _x000D_
_x000D_
3.	The proposal at some places is slightly hard to read, can do better with English grammar._x000D_
_x000D_
_x000D_
_x000D_
In the context of the five review elements, please _x000D_
evaluate the strengths and weaknesses of the proposal with respect to broader impacts._x000D_
_x000D_
Strengths:_x000D_
_x000D_
1.	MAB problems are important with wide applications and any theoretical or practical improvements to existing algorithms will be very useful._x000D_
2.	The educational plan is good._x000D_
_x000D_
Weaknesses: _x000D_
_x000D_
None._x000D_
_x000D_
_x000D_
Please evaluate the strengths and _x000D_
weaknesses of the proposal with respect to any additional solicitation-specific review criteria, if _x000D_
applicable_x000D_
_x000D_
The proposal does not mention how this project will help in future career goals of the PI._x000D_
_x000D_
Summary Statement_x000D_
_x000D_
This proposal addresses multi-arm bandit (MAB) problems, an important class of problems with wide applications. In particular, it addresses two research directions which are well-motivated and important. Progress made in addressing these will improve the state of the art in MAB literature._x000D_
_x000D_
</t>
  </si>
  <si>
    <t xml:space="preserve">In the context of the five review elements, please _x000D_
evaluate the strengths and weaknesses of the proposal with respect to intellectual merit._x000D_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has adequate broad impact._x000D_
_x000D_
Please evaluate the strengths and _x000D_
weaknesses of the proposal with respect to any additional solicitation-specific review criteria, if _x000D_
applicable_x000D_
_x000D_
_x000D_
_x000D_
Summary Statement_x000D_
_x000D_
I will wait to see other reviews before I make up my mind about this proposal._x000D_
_x000D_
</t>
  </si>
  <si>
    <t>Multi-armed bandit (MAB) problems are most basic instances of decision making with limited information and address the fundamental trade-off between exploration and exploitation in sequential experiments which abstracts many practical settings. Bandit problems find wide applications in clinical trials, online advertisement, recommendation systems, routing, optimization, reinforcement learning, and many more._x000D_
_x000D_
The goal of this proposed research is to initiate a principled study of data oriented multi-arm bandit algorithms to advance both bandit theory and practice. To this end, in the proposal we outline two novel directions with concrete research questions for the first two years supported by this grant._x000D_
_x000D_
1.Novel data-dependent algorithms. The paradigm of data-dependent algorithms for MAB originates from the idea ``to learn faster from easy data''. While the overwhelming majority of past research studied bandit algorithms those are dependent on quality gaps, we propose to design novel MAB algorithms to explore more characteristics of data and improve sample complexity using this information. More concretely, we propose the notion of variance-sensitive bandit algorithms, and to develop such algorithms those are practically efficient with theoretical guarantee._x000D_
_x000D_
2. Learning optimal Bayesian bandit policies from simulation data._x000D_
While only exponential-time dynamic programming algorithms are known for the optimal Bayesian bandit policies, we propose to design algorithms to arbitrarily well approximate the optimal policy in polynomial time. To make our theoretical algorithm practically effective, we also propose to leverage the recent advances in deep reinforcement learning and design a neural network-based algorithm to learn the almost optimal policy from simulation data.Our proposal to study variance-sensitive bandit algorithms will not only enrich the popular concept of data-dependent algorithms, but also develop technical tools to address new exploration versus exploitation challenges, extend the bandit theory, and benefit the practice of related fields such as simulation optimization._x000D_
_x000D_
Our proposed method for the Bayesian bandit problems will be the first in literature that leads to polynomial-time algorithms with arbitrarily good approximation guarantee. Our proposed learning-from-simulation-data algorithm will also novelly bridge theoretical algorithms and empirically powerful deep reinforcement learning techniques.The proposed research directions address the MAB problems with a wide range of objectives. Any improvement we would make towards these directions could have immediate impacts in application areas where bandit algorithms are already in use (e.g. clinical trials, simulation optimization, and many more mentioned at the very beginning of this proposal)._x000D_
_x000D_
Our planned research lies at the intersection of theoretical computer science, machine learning, and operations research.  This proposal includes a plan on disseminating our research results to the broader community, as well as promoting education and outreach activities on computational theory, stochastic optimization and decision science.</t>
  </si>
  <si>
    <t>1755619</t>
  </si>
  <si>
    <t xml:space="preserve"> Panel Summary       
 Description: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 In particular, the PI wants to develop strongly polynomial algorithms for linear exchange markets, and for Fisher markets with utility and earning caps._x000D_
_x000D_
_x000D_
Intellectual Merit:_x000D_
_x000D_
Strengths_x000D_
+ Forming strongly-polynomial time algorithms for market equilibrium computation is a worthwhile goal, and in fact is a long-standing open question. Such efficient algorithms would be useful in many settings. While the questions themselves are not extremely novel, the approaches proposed for solving them are novel._x000D_
_x000D_
+ The PI is very well-qualified. For example, the PI was one of the people who formed the currently most efficient algorithm for computing market equilibrium for Linear Exchange Markets. The PI has a large amount of preliminary work in the area, published in top venues. Moreover, the PI is collaborating with other experts in the area._x000D_
_x000D_
+ The PI proposes detailed and well-considered plans for how to tackle these important problems; it is likely that even if these plans do not work out, some very nice insights would be obtained. This also makes it likely that many of these questions will be resolved by the PI in a relatively short time-frame, as is appropriate for this type of proposal._x000D_
_x000D_
+ If the PI is able to form strongly-polynomial algorithms for computing market equilibrium, this could be potentially transformative for market equilibrium research, as it would solve a long-standing open problem._x000D_
_x000D_
_x000D_
Weaknesses_x000D_
-	none  _x000D_
_x000D_
Broader Impact:_x000D_
_x000D_
Strengths_x000D_
+ The problems studied have broad impact in multiple areas including economics, networking, algorithms etc. _x000D_
_x000D_
+ Several PhD students (one female) and undergrads will contribute to this project. The PI has a long record of mentoring undergrads. _x000D_
_x000D_
+ The PI has won awards for teaching, and will design courses related to this project. The support will positively influence development of curriculum at UIUC._x000D_
_x000D_
+ The PI plans to organize tutorials for a more general theory audience._x000D_
  _x000D_
Weaknesses_x000D_
- The educational and outreach plan is relatively standard._x000D_
_x000D_
Solicitation-specific criteria: The PI has already done some amazing work in market equilibrium computation. If the PI is able to obtain new results on efficient algorithms for general market equilibrium problems, this will form a great foundation for their future research career, and would make them extremely competitive in their field. Obtaining such results due to this proposal being funded would mark the PI as one of the absolute top in their subfield._x000D_
_x000D_
Data Management Plan: adequate_x000D_
_x000D_
What is bold, exciting, high risk/reward, or potentially transformative? Forming strongly poly-time algorithms for exchange markets is exciting and high-risk high-reward, as this is a long-standing open question and would yield great insights into market equilibrium. That said, the PI is definitely the correct person to tackle this question._x000D_
_x000D_
Suggestions to PI: Perhaps talk more about the potential impact this work would have on other areas of research._x000D_
_x000D_
Justification for Panel Rating:  The panel was positive and enthusiastic about this proposal. The PI is proposing to work on important and useful open problems. The PI is very qualified, and has a nice plan on how to approach these problems. This work is likely to lead to a nice research program, and the PI is working with a female graduate student who will be supported by this award._x000D_
_x000D_
Panel Rating:_x000D_
X Highly Competitive_x000D_
_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</si>
  <si>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Market equilibrium computation is one of the classic computational questions from Economics. It is useful for understanding market outcomes, but is also useful as a subroutine for non-market settings, such as for fair division of goods. Using convex programming and similar techniques, market equilibrium is known to be poly-time computable for many important settings. The main goal of this proposal is, however, to form *strongly* poly-time algorithms for market settings which would only depend on the number of participants and the number of goods; this is a very long-standing open question._x000D_
_x000D_
Strengths:_x000D_
_x000D_
+ Forming strongly-polynomial time algorithms for market equilibrium computation is a worthwhile goal, and in fact is a long-standing open question. Such efficient algorithms would be useful in many settings._x000D_
_x000D_
+ Forming such an efficient algorithm for linear-exchange markets would be impressive. The PI is well-qualified (they formed the currently best algorithm for this problem). The PI proposes a relatively concrete plan for how to tackle this important problem; it is likely that even if this plan does not work out, some very nice insights would be obtained._x000D_
_x000D_
+ Strongly poly-time algorithms are already known for Fisher markets, but the PI will consider important generalizations._x000D_
_x000D_
+ The PI has extremely detailed and well-considered plans on how to tackle each research direction. This makes it possible (although certainly not guaranteed) that many of these questions will be solved in a relatively short time-frame._x000D_
_x000D_
In the context of the five review elements, please _x000D_
evaluate the strengths and weaknesses of the proposal with respect to broader impacts._x000D_
_x000D_
Strengths:_x000D_
_x000D_
+ This work may have impact in more general Optimization and Economics._x000D_
_x000D_
+ PhD students (female) and undergrads will contribute to this project. The PI has a long record of mentoring undergrads._x000D_
_x000D_
+ The PI has won awards for teaching, and will design courses related to this project_x000D_
_x000D_
Please evaluate the strengths and _x000D_
weaknesses of the proposal with respect to any additional solicitation-specific review criteria, if _x000D_
applicable_x000D_
_x000D_
_x000D_
_x000D_
Summary Statement_x000D_
_x000D_
A qualified PI, working on important and useful open problems, with concrete plans for how to tackle them, and likely to lead to a nice research program._x000D_
_x000D_
_x000D_
</t>
  </si>
  <si>
    <t xml:space="preserve">In the context of the five review elements, please _x000D_
evaluate the strengths and weaknesses of the proposal with respect to intellectual merit._x000D_
_x000D_
This proposal aims to investigate the possibility of designing strongly polynomial time algorithms for several market equilibrium problems. This is an important topic in algorithmic game theory.   Market equilibrium is known to be poly-time computable for many important settings (via convex programming). The main goal of this proposal is to provide strongly poly-time algorithms for market settings which would only depend on the number of participants and the number of goods. Strongly poly-time algorithms are already known for certain types of markets (Fisher markets), but the PI will consider important generalizations of these markets as well as other types of markets, e.g., linear exchange markets. The PI provides a reasonably detailed plan to attack these specific questions. _x000D_
_x000D_
_x000D_
Pros_x000D_
The proposed research is interesting. _x000D_
The PI is highly qualified to perform the proposed research._x000D_
_x000D_
Cons_x000D_
The PI does say that this work will likely develop new algorithmic techniques to break the barrier of obtaining strongly polynomial algorithms for a number of classical network flow problems and that it will have significant positive impact on the applications of both markets and network flows such as scheduling, auctions, mechanism design, cloud computing, transportation, etc. It would have been good to see more details in these directions._x000D_
_x000D_
In the context of the five review elements, please _x000D_
evaluate the strengths and weaknesses of the proposal with respect to broader impacts._x000D_
_x000D_
The broader impact component is short and contains standard parts: (1) potential impact in multiple areas including economics, networking, algorithms etc; (2) PI has mentored students and has been teaching courses in algorithmic game theory_x000D_
_x000D_
Please evaluate the strengths and _x000D_
weaknesses of the proposal with respect to any additional solicitation-specific review criteria, if _x000D_
applicable_x000D_
_x000D_
_x000D_
_x000D_
Summary Statement_x000D_
_x000D_
This proposal aims to investigate the possibility of designing strongly polynomial time algorithms for several market equilibrium problems. _x000D_
A good proposal on an interesting topic._x000D_
_x000D_
</t>
  </si>
  <si>
    <t xml:space="preserve">In the context of the five review elements, please _x000D_
evaluate the strengths and weaknesses of the proposal with respect to intellectual merit._x000D_
_x000D_
The PI has identified important open problems in the area. These problems are fundamental for various resource allocation problems._x000D_
Specifically, PI wants to develop strongly polynomial algorithm for linear exchange markets. He also considers generalization of these markets when there are utility caps._x000D_
He has also identified various approaches based on network-flows that may solve these problems._x000D_
_x000D_
THe PI has made many important contributions to the_x000D_
area and is uniquely qualified to work on these important problems._x000D_
He is collaborating with other experts in the area (such as Laszlo Vegh) increasing the chances of success._x000D_
_x000D_
The proposal is very thorough and is very well-written._x000D_
_x000D_
_x000D_
_x000D_
In the context of the five review elements, please _x000D_
evaluate the strengths and weaknesses of the proposal with respect to broader impacts._x000D_
_x000D_
The problems have broad impact in multiple areas including economics, networking, algorithms etc._x000D_
_x000D_
The PI teaches courses in algorithmic game theory and the support will positively influence development of curriculum at UIUC._x000D_
_x000D_
The PI has identified a female Ph.D. student to work on this topic._x000D_
_x000D_
_x000D_
Please evaluate the strengths and _x000D_
weaknesses of the proposal with respect to any additional solicitation-specific review criteria, if _x000D_
applicable_x000D_
_x000D_
_x000D_
_x000D_
Summary Statement_x000D_
_x000D_
The proposal is outstanding with broad impact to the community of algorithms, economics and game theory._x000D_
_x000D_
</t>
  </si>
  <si>
    <t>Market equilibrium is a central solution concept in economics with applications in a variety of domains. Exchange and Fisher are the two most fundamental and extensively studied market models, for which many novel algorithmic techniques have been developed. Due to their connections with network flows, some of these algorithms also led to breakthrough results on the flow problems. Recent work on fair division of scarce resources crucially uses various extensions of the Fisher model for which connections with flow problems have been obtained. We propose to study these markets and the corresponding network flow problems for which designing strongly polynomial algorithms remain important open questions. In particular, the main thrusts of the proposed work are:_x000D_
_x000D_
- Obtain a strongly polynomial algorithm for the linear exchange markets which reduce to a class of convex non-separable minimum cost flow problems. This is a long-standing open question in equilibrium computation._x000D_
- Models relevant for recent applications are the linear Fisher markets with utility and/or earning caps. For these, equilibrium computation reduces to either concave generalized flow or convex separable minimum cost flow problems. The objective is to obtain strongly polynomial algorithms for these._x000D_
- Obtain a constant-factor approximation algorithm for allocating indivisible items to agents that maximize the Nash social welfare when agents are asymmetric and have additive valuations. A relaxation of this problem is closely related to linear Fisher markets.The proposed problems are of fundamental importance in algorithmic game theory, network flows, and fair division. The first objective, in fact, aims to settle a long-standing open problem. New algorithmic techniques/tools and structural insights need to be developed to solve them, which could further lead to significant insights into designing strongly polynomial time algorithms for concave generalized flows, minimum cost generalized flows, and certain special cases of linear programming, all of which have defied efforts for many decades.The impact of the proposed work is two fold: firstly it will give provably fast algorithms for important market models with applications to fair division, and secondly, it will develop new algorithmic techniques to break the barrier of obtaining strongly polynomial algorithms for a number of classical network flow problems. Additionally, it will have significant positive impact on the applications of both markets and network flows such as scheduling, auctions, mechanism design, cloud computing, transportation, etc._x000D_
_x000D_
The PI and co-authors plan to disseminate the results through conferences, workshops, and tutorials. The PI plans to engage two PhD students, one full-time and one half-time, and also an undergraduate student on this project to get the designed algorithms implemented and tested for their practical efficiency. The new algorithmic techniques developed in this project will be incorporated into a graduate course on Games and Markets that the PI teaches. All the educational and implementation material will be made freely available online.</t>
  </si>
  <si>
    <t>1755702</t>
  </si>
  <si>
    <t>Charkhgard</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</si>
  <si>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</si>
  <si>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Theory and Algorithms for Two Classes of Optimization Problems: Multi-objective Binary Linear Programs and Single-objective Maximum Multiplicative Programs_x000D_
_x000D_
L: 1755702 Charkhgard, Hadi U of South Florida $  172,682_x000D_
_x000D_
_x000D_
P180207 LC AF CAREER/CRII Panel A (14 panelists),_x000B_  on 10/24/2017, recommended as Low Competitive (G,G,G)_x000D_
Std competition rank 4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</si>
  <si>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</si>
  <si>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</si>
  <si>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</si>
  <si>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</si>
  <si>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1755791</t>
  </si>
  <si>
    <t>Goswami</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</si>
  <si>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</si>
  <si>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</si>
  <si>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</si>
  <si>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</si>
  <si>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</si>
  <si>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</si>
  <si>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</si>
  <si>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1755801</t>
  </si>
  <si>
    <t>Zhao</t>
  </si>
  <si>
    <t>WWONG</t>
  </si>
  <si>
    <t xml:space="preserve"> Panel Summary       
 Description: _x000D_
The project proposes to work on new nonconvex optimization for data mining and knowledge discovery on large-scale scientific data. The project is motivated by three scientific applications (genomic data analysis, brain image data analysis, and social media data analysis).  _x000D_
_x000D_
There are two main directions, (1) to develop a new area of model-based nonconvex optimization using knowledge of statistical data generation to avoid worst case convergence rate, and (2) to improve the efficiency of well-known nonconvex optimization problems. The proposal will study learning sparse representation, and learning low rank representation with the above two goals. _x000D_
_x000D_
From the perspective of optimization, the global solutions of nonconvex minimization problems are generally intractable to obtain. Hence the goal is to converge to a unique local solution with desirable statistical properties in polynomial time. Moreover, cost per iteration needs to be low. Both of these can be achieved if data satisfies certain model assumptions. The project proposes to develop new model-based coordinate optimization framework, Newton-type coordinate optimization with better iteration complexity and new non-convex loss functions that are efficient to handle etc. _x000D_
_x000D_
For low rank representation learning, instead of considering a convex relaxation and then solving the relaxed problem, the project proposes to reformulate the underlying problem as a factorization minimization problem which will help in efficiency. _x000D_
_x000D_
Intellectual Merit: _x000D_
Strengths _x000D_
+ Studying nonconvex optimization is a very important topic._x000D_
+ The PI is well-qualified to conduct the aforementioned research._x000D_
+ The empirical approaches are well laid out._x000D_
_x000D_
Weaknesses _x000D_
- The PI does not propose any specific research direction to pursue in the application areas, say, genomic data analysis._x000D_
_x000D_
-From a theoretical perspective, the proposal is somewhat lacking. For example, the project wants to focus on low-rank representation learning by designing algorithms that avoid to compute, say, the SVD of a large matrix at each step. However, no concrete approach is provided to achieve that. Some problems are also considered notoriously difficult problems in TCS, and again no plausible approach was given._x000D_
_x000D_
_x000D_
Broader Impact: _x000D_
Strengths _x000D_
_x000D_
+ The broader impacts of the proposed research could be significant. He has significant prior applied work (including a second author Nature paper)._x000D_
_x000D_
Weakness_x000D_
- The PI fails to discuss in more detail future applied research directions. _x000D_
_x000D_
Data Management Plan: Adequate _x000D_
_x000D_
Suggestions to PI: _x000D_
_x000D_
The proposal could be significantly strengthened by a more detailed description of the applications and the collaborations that the PI has in place in order to get access to real data. The theoretical part of the proposal also needs to be discussed in more details in order to understand the type of contributions that the PI hopes to make. It does not explicitly address how this fits into the PIs longer term research goals. _x000D_
_x000D_
_x000D_
_x000D_
Justification for Panel Rating: _x000D_
_x000D_
The theoretical questions in the proposal are not well developed and the proposal was considered to be not a strong fit for Algorithmic Foundations._x000D_
_x000D_
_x000D_
_x000D_
Panel Rating: _x000D_
_ Highly Competitive _x000D_
_ Competitive _x000D_
X Low Competitive _x000D_
_ Not Competitive _x000D_
_x000D_
The summary was read to the panel and the panel concurred that the summary accurately reflects the panel discussion. 
</t>
  </si>
  <si>
    <t>P180190</t>
  </si>
  <si>
    <t xml:space="preserve"> CRII- Weng-keen</t>
  </si>
  <si>
    <t xml:space="preserve"> Panel Summary       
  The proposal seeks to develop new algorithms for nonconvex optimization models arising from statistical estimation problems and to leverage geometric properties that hold with high probability. The nonconvexity arises from sparsity- and low-rank-inducing regularization. The proposal seeks to combine insights both from inferential and computational understanding of the problem and to leverage properties guaranteed by random designs so to guarantee a combination of statistical and computational guarantees, whereas some other work may focus on one and not the other. The tools employed include homotopy methods and active set approaches. The PI is motivated by three scientific applications (genomic data analysis, brain image data analysis, and social media data analysis). _x000D_
_x000D_
INTELLECTUAL MERIT_x000D_
_x000D_
--Strengths_x000D_
+ The research is notable for combining optimization algorithmic approaches with statistical inferential approaches to successfully attack some very hard problems._x000D_
+ The research work has many domain-specific scientific applications. _x000D_
+ The problems are very well motivated._x000D_
+ If successful, this project could result in the efficient and scalable nonconvex optimization algorithms for large scale data analysis. _x000D_
+ Aim B raises some very novel ideas on how to address symmetries when using stochastic optimization._x000D_
+ The PI has a record of successful work in nonconvex optimization, and is qualified to conduct the proposed activity. _x000D_
+ The research tasks outlined are appropriate. _x000D_
_x000D_
--Weaknesses_x000D_
- Some of the proposed work in Aim A appears consists mostly of perturbations around existing work of the PI rather than developing a groundbreaking "new area" in nonconvex optimization promised in the beginning._x000D_
- The proposal does not say what metrics will be used for assessing success, nor is there a plan for empirical validation of the technique. _x000D_
- It is not clear why the applications mentioned will specifically benefit from the innovations in the proposal. In particular, looking at the Nature paper mentioned, the connections to the developments in the proposal are not clear at all._x000D_
- The number of references cited is very large but at the same time uninformative, being not all completely relevant and making it very hard to follow the contextualization of the work in the existing literature. In addition, the reference numbering is wrong, e.g., Nature paper is cited as 416, but it is 414 in the reference._x000D_
_x000D_
BROADER IMPACTS, INCLUDING ENHANCING DIVERSITY_x000D_
--Strengths_x000D_
+ The ability to solve non-convex optimization problems efficiently is important in many applications, including the bio-medical ones highlighted in this proposal._x000D_
+ The research will produce software that can be used to solve large estimation problems in practice. _x000D_
+ The PI has a history of open source contributions._x000D_
+ PI will incorporate application domain data into courses. _x000D_
+ The PI has some prior history of working with practitioners on important problems._x000D_
_x000D_
--Weaknesses_x000D_
- It is not clear how the advances from the research, which are mostly theoretical, will actually have significant impact on the applications or how the PI will evaluate success in these cases._x000D_
- In particular, the role in the Nature paper is not clear as is the relevance of the research proposed._x000D_
- There is nothing to corroborate the collaborations planned as part of the research._x000D_
- There is nothing to corroborate access to the application data. Medical data, in particular, is painstaking to obtain access to and it may not be possible for the PI to get access to this data within the duration of the project._x000D_
- There is no specific educational plan on how to incorporate undergraduate students into the research or how to do any sort of outreach to minority students. _x000D_
_x000D_
ADDITIONAL REVIEW CRITERIA:_x000D_
_x000D_
-- Is the research appropriate for the proposed duration?_x000D_
Mostly appropriate, but it is definitely not clear that the research will start a "new area" within the proposed duration and with the research proposed._x000D_
_x000D_
-- Does the project have potential to produce sufficient preliminary results to serve as the basis for future competitive research proposals?_x000D_
Some of the research consists only of tweaks to existing methods which may not produce preliminary result for future, new research. The rest, however, does propose new ideas on how to address symmetries and on using momentum, and this could very well generate the results that could support a future proposal expanding on these ideas. Moreover, investigation into the application in different domains could generate strong results on the relevance of the research to applications, but unfortunately it is only mentioned in passing with no concrete details._x000D_
_x000D_
-- Are the activities necessary and critical steps for the PI to achieve research independence?_x000D_
Only in part. Again, some research activities involve heuristic tweaks to existing work of the PI done under the supervision of an advisor, and this work will not necessarily lead to research independence. The work on more novel ideas as presented in Aim B could certainly lead to research independence. On the negative side, the PI would need to demonstrate the usefulness of the proposed research to build up this research program but this is not sufficiently fleshed out in the proposal. While it is clear there is strong potential since the PI has participated in application-driven collaborations, there is nothing specific tied to the present proposal or any letters of collaboration._x000D_
_x000D_
DEPARTMENT SUPPORT LETTER: _x000D_
The letter only verified eligibility but it does not sufficiently describe the support that the department will provide to ensure that the project will be successful. In particular, there is no mention of the necessary mentoring._x000D_
_x000D_
DATA MANAGEMENT PLAN:_x000D_
Mostly adequate. However, the plan does not explain how the sensitive medical data (brain imaging and genomics) will be handled in an appropriate way._x000D_
_x000D_
POST-DOCTORAL MENTORING PLAN (if applicable): _x000D_
N/A_x000D_
_x000D_
COLLABORATIONS (if applicable): _x000D_
No letters provided to support the collaborations planned._x000D_
_x000D_
ADDITIONAL SUGGESTIONS: _x000D_
The PI would do well to better demonstrate the practical relevance of the research products to the applications used to motivate the research. Moreover, the PI should better demonstrate the they have access to the data necessary to conduct the planned research as well as corroborate the planned collaborations. The PI would do well to make the references cited more focused and relevant to the proposal. The PI should also be more clear and concrete on their education plan and also explain how they will increase the participation of groups underrepresented in CISE._x000D_
_x000D_
PANEL RECOMMENDATION AND JUSTIFICATION, INCLUDING BRIEF STATEMENT OF KEY STRENGTHS AND/OR CRITICAL WEAKNESSES	_x000D_
_x000D_
The project tackles some very important problems and is notable for combining statistical analysis with computational analysis, in particular using the randomness of the design to ensure both statistical and computational guarantees for the methods proposed. The project proposes some truly new ideas in the realm of low-rank learning but also some merely incremental ideas in the realm of sparse learning. The applications that motivate the research are very important as are the corresponding optimization problems addressed. But on the negative side it is not sufficiently clear what the impact of the research products will actually be on these applications. In addition, the proposal does not do a sufficiently good job of positioning itself clearly in the state of the art today. The project could have wide ranging impacts, especially since a software package will be a product on the project. The PI has a strong track record both in the research area and in application-driven collaborations. However, there is no documentation corroborating the collaborations or access to the sensitive data needed to conduct the research._x000D_
_x000D_
Ranking (check one)_x000D_
__ Highly Competitive_x000D_
_X_ Competitive_x000D_
__ Low Competitive_x000D_
__ Not Competitive_x000D_
_x000D_
The summary was read by the panel, and the panel concurred that the summary accurately reflects the panel discussion._x000D_
_x000D_
  _x000D_
</t>
  </si>
  <si>
    <t>D</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</si>
  <si>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A nice proposal with interesting research directions._x000D_
_x000D_
</t>
  </si>
  <si>
    <t xml:space="preserve">In the context of the five review elements, please _x000D_
evaluate the strengths and weaknesses of the proposal with respect to intellectual merit._x000D_
_x000D_
The PI proposes to work on model-based non-convex optimization for data mining and knowledge discovery on large-scale scientific data. The PI is motivated by three scientific applications (genomic data analysis, brain image data analysis, and social media data analysis). In the first domain, the PI actually has a Nature paper (as a second author), so it's obvious that he has significant relevant background and contributions in the domain. However, the proposal does not describe any specific research direction that the PI proposes to pursue in, say, genomic data analysis; the proposal could be significantly strengthened by a more detailed description of the applications and the collaborations that the PI has in place in order to get access to real data._x000D_
_x000D_
From a theoretical perspective, the proposal is somewhat lacking. For example, the PI wants to focus on low-rank representation learning, by designing algorithms that avoid to compute, say, the SVD of a large matrix at each step. He wants to take into account statistical model properties in order to prove that worst-case case instances for the underlying problems do not arise. The PI does not offer a concrete lamppost explaining how he will do that: e.g., the proposed research B in page 9 talks about leveraging the weak convergence of discrete_x000D_
Markov chains to their continuous time limits, hoping to use such tools to understand the convergence of optimization algorithms. These are notoriously difficult problems in TCS and without further details I don't see why there is any hope for progress in this domain._x000D_
_x000D_
In the context of the five review elements, please _x000D_
evaluate the strengths and weaknesses of the proposal with respect to broader impacts._x000D_
_x000D_
The broader impacts of the proposed research could be significant, but the PI fails to discuss in more detail future applied research directions. He has significant prior applied work (including a second author Nature paper), but future plans are lacking._x000D_
_x000D_
Please evaluate the strengths and _x000D_
weaknesses of the proposal with respect to any additional solicitation-specific review criteria, if _x000D_
applicable_x000D_
_x000D_
See discussion above._x000D_
_x000D_
Summary Statement_x000D_
_x000D_
A good proposal, which could be improved by better outlining connections to practical applications and real data. The theoretical part of the proposal also needs to be discussed in more details in order to understand the type of contributions that the PI hopes to make._x000D_
_x000D_
</t>
  </si>
  <si>
    <t>QY1007388</t>
  </si>
  <si>
    <t>Ji</t>
  </si>
  <si>
    <t>sji@cs.gsu.edu</t>
  </si>
  <si>
    <t xml:space="preserve">In the context of the five review elements, please _x000D_
evaluate the strengths and weaknesses of the proposal with respect to intellectual merit._x000D_
_x000D_
Summary:_x000D_
_x000D_
This proposal aims to develop new nonconvex optimization frameworks to address the convergence and scalability issues of large scale machine learning problems, such as nonconvex sparse learning and nonconvex low rank representation learning._x000D_
_x000D_
Strengths:_x000D_
+ Aim A: model-based coordinate optimization for nonconvex sparse learning is new, and could potentially covers a wide range of problems and algorithms._x000D_
+ Aim B: nonconvex stochastic optimization is a highly valuable and challenging research area, and could potentially advance many ML/DL applications._x000D_
+ The research tasks outlined are appropriate._x000D_
+ The PI has a record of successful work in nonconvex optimization, and is qualified to conduct the proposed activity. _x000D_
_x000D_
Weaknesses:_x000D_
- The proposal refers to over 400 papers. It's hard for the reviewer to follow all of them. It might be better to cite the most relevant and seminal ones._x000D_
- The proposal does not say what metrics will be used for assessing success, nor is there a plan for empirical validation of the technique._x000D_
_x000D_
_x000D_
In the context of the five review elements, please _x000D_
evaluate the strengths and weaknesses of the proposal with respect to broader impacts._x000D_
_x000D_
Strengths:_x000D_
+ If successful, this project could result in the efficient and scalable nonconvex optimization algorithms for large scale data analysis._x000D_
+ The innovations in nonconvex stochastic optimization have potential applications in many other fields, including deep learning._x000D_
+ Software will be released as open source._x000D_
_x000D_
Weaknesses:_x000D_
- No specific execution plan (resource and timelines) on how the proposed research will be conducted._x000D_
- No specific educational plan on how to incorporate undergraduate students and minority students into the research. _x000D_
_x000D_
_x000D_
Please evaluate the strengths and _x000D_
weaknesses of the proposal with respect to any additional solicitation-specific review criteria, if _x000D_
applicable_x000D_
_x000D_
_x000D_
_x000D_
Summary Statement_x000D_
_x000D_
I think this is a good project. Nonconvex optimization is emerging as one of the most important and challenging problems in ML and DL research nowadays, and the PI has a record of successful work in related areas. Although the PI's previous work is a good indication of potential success of the proposed work, limited preliminary work (without data support) is a concern._x000D_
_x000D_
</t>
  </si>
  <si>
    <t>PC1007389</t>
  </si>
  <si>
    <t>Kallus</t>
  </si>
  <si>
    <t>kallus@cornell.edu</t>
  </si>
  <si>
    <t xml:space="preserve">In the context of the five review elements, please _x000D_
evaluate the strengths and weaknesses of the proposal with respect to intellectual merit._x000D_
_x000D_
A brief statement of what the proposal is about:_x000D_
* The proposal seeks to develop new algorithms for nonconvex optimization models arising from statistical estimation problems and to leverage geometric properties that hold with high probability._x000D_
_x000D_
--Strengths:_x000D_
* The research is notable for combining optimization algorithmic approaches with statistical inferential approaches to successfully attack some very hard problems._x000D_
* The PI seems to have a good track record of working in this area._x000D_
* The research work has many domain-specific scientific applications._x000D_
* Developed algorithm can solve important statistical problems and be certified with both computational and statistical guarantees._x000D_
_x000D_
--Weaknesses:_x000D_
* Some of the research seems like small perturbations to the existing work by the PI, just adding dressing to work that was already completed. _x000D_
_x000D_
_x000D_
In the context of the five review elements, please _x000D_
evaluate the strengths and weaknesses of the proposal with respect to broader impacts._x000D_
_x000D_
--Strengths:_x000D_
* Research will produce software that can be used to solve large estimation problems in practice._x000D_
* Will incorporate application domain data into courses._x000D_
_x000D_
--Weaknesses:_x000D_
* No letters of collaboration to corroborate the collaboration with medical scientists._x000D_
* No letters of collaboration to corroborate access to the data needed to conduct the domain-specific applications._x000D_
* The project does nothing to improve outreach to groups underrepresented in CISE._x000D_
_x000D_
_x000D_
Please evaluate the strengths and _x000D_
weaknesses of the proposal with respect to any additional solicitation-specific review criteria, if _x000D_
applicable_x000D_
_x000D_
Is the research appropriate for the proposed duration?_x000D_
* Appropriate_x000D_
_x000D_
Does the project have potential to produce sufficient preliminary results to serve as the basis for future competitive research proposals?_x000D_
* Yes._x000D_
_x000D_
Are the activities necessary and critical steps for the PI to achieve research independence?_x000D_
* Yes._x000D_
_x000D_
Strength of Department Letter_x000D_
* Generic. Nothing specific about the PI's achievements or abilities._x000D_
_x000D_
_x000D_
_x000D_
Summary Statement_x000D_
_x000D_
The proposal combines statistical and computational thinking in a novel way to address difficult nonconvex estimation problems that are important in several application domains. The proposal is well developed, well documented, and well researched. There is sufficient preliminary results and a successful track record to suggest the proposal will be successful. The project, however, could do more to ensure that the research will improve education and outreach to underrepresented groups._x000D_
_x000D_
_x000D_
</t>
  </si>
  <si>
    <t xml:space="preserve">In the context of the five review elements, please _x000D_
evaluate the strengths and weaknesses of the proposal with respect to intellectual merit._x000D_
_x000D_
In this proposal the PI suggests studying Multi-Armed Bandits towards understanding how to tune performance based on the variance of the experts and the gap between the best experts on the rest. _x000D_
_x000D_
It was very hard for me to evaluate this proposal, because I do not know enough about multi-armed bandits. From what I read, the proposal did not seem very strong, but I also have not read any of the other CRII proposals._x000D_
_x000D_
In the context of the five review elements, please _x000D_
evaluate the strengths and weaknesses of the proposal with respect to broader impacts._x000D_
_x000D_
This proposal contains ideas for integrating education with the goals of the proposal._x000D_
_x000D_
Please evaluate the strengths and _x000D_
weaknesses of the proposal with respect to any additional solicitation-specific review criteria, if _x000D_
applicable_x000D_
_x000D_
_x000D_
_x000D_
Summary Statement_x000D_
_x000D_
This proposal meets the requirements for CRII funding._x000D_
_x000D_
</t>
  </si>
  <si>
    <t>XP0898285</t>
  </si>
  <si>
    <t>Roy-Chowdhury</t>
  </si>
  <si>
    <t>amitrc@ee.ucr.edu</t>
  </si>
  <si>
    <t xml:space="preserve">In the context of the five review elements, please _x000D_
evaluate the strengths and weaknesses of the proposal with respect to intellectual merit._x000D_
_x000D_
The proposal aims to develop novel non-convex optimization frameworks to address challenges in data mining and knowledge discovery. Applications in genomic data analysis and brain imaging are considered. _x000D_
_x000D_
Strengths: The need for efficient non-convex optimization methods is clear given the amount and complexity of data that is being collected. The proposal correctly identifies this to be a relevant problem. Certain specific approaches are also highlighted. The application domains of brain imaging and genomic data analysis are relevant. The PI has strong publications in top venues._x000D_
_x000D_
Weaknesses: The proposal suffers from a lack of clarity as to what it will achieve. A claim is made that a "new area" of model-based non-convex optimization will be developed. However, for both aims the specific approaches outlined are heuristics that would allow one to overcome some limitations that currently hinder performance. As one example, the screening rules mentioned in A.3 are a simple pre-processing step. This is true for each of the subaims. Overall, the proposal fails to provide a clear idea of what its contributions will be._x000D_
_x000D_
In the context of the five review elements, please _x000D_
evaluate the strengths and weaknesses of the proposal with respect to broader impacts._x000D_
_x000D_
Strengths: _x000D_
The ability to solve non-convex optimization problems efficiently is important in many applications, including the bio-medical ones highlighted in this proposal. The PI has collaborations with other researchers that will enable this. Some integration of the research into the courses is also mentioned. _x000D_
_x000D_
Weaknesses:_x000D_
No specific approaches for applying the methods, or convincing results on existing data, are mentioned. This raises concerns about how the proposed method will proposed methods will be applied, and indeed their applicability in the first place. The integration with education is also minimally described._x000D_
_x000D_
Adequacy of Data Management Plan: I found this lacking. Although brain imaging and genomic data is mentioned, the DMP does not state how these will be handled. Maybe they are already addressed by the collaborators, but it would be good to know how the PI will handle the data._x000D_
_x000D_
_x000D_
Adequacy of Postdoctoral Mentoring Plan (if applicable): N/A_x000D_
_x000D_
_x000D_
_x000D_
Please evaluate the strengths and _x000D_
weaknesses of the proposal with respect to any additional solicitation-specific review criteria, if _x000D_
applicable_x000D_
_x000D_
Is the research appropriate for the proposed duration?_x000D_
Given the weaknesses in the technical merit mentioned above, it is not clear to me. The claim to start a "new area" withing the limits of this grant seem exaggerated. _x000D_
_x000D_
_x000D_
Does the project have potential to produce sufficient preliminary results to serve as the basis for future competitive research proposals?_x000D_
Unsure. There may be some theoretical insights. Applicability in different domains is only mentioned with no details. _x000D_
_x000D_
Are the activities necessary and critical steps for the PI to achieve research independence?_x000D_
The PI needs to extend beyond the scope outlined here and demonstrate the usefulness of the approaches. Theoretically, it is not evident to me that the contributions are unique enough to stand out on their own, without being tied to an application. _x000D_
_x000D_
_x000D_
Strength of Department Letter: The letter does not mention what kind of support the department will provide, nor is there any mention of mentoring._x000D_
_x000D_
Summary Statement_x000D_
_x000D_
The proposal addresses an important problem of non-convex optimization. However, it is seriously lacking is multiple aspects. The methods claimed as novel theory are essentially heuristics to overcome some shortcomings of existing methods. Although applications are mentioned, there are no details, and no letters of support provided that would prove that the PI has access to the kind of data needed to succeed in the research._x000D_
_x000D_
</t>
  </si>
  <si>
    <t xml:space="preserve">In the context of the five review elements, please _x000D_
evaluate the strengths and weaknesses of the proposal with respect to intellectual merit._x000D_
_x000D_
The objective of the proposal is to develop new nonconvex optimization frameworks for various machine learning tasks. _x000D_
_x000D_
There are two main directions, (1) to develop a new area of model-based nonconvex optimization using knowledge of statistical data generation to avoid worst case convergence rate, and (2) to improve the efficiency of well-known nonconvex optimization problems. _x000D_
_x000D_
PI will study nonconvex optimization for learning sparse representation, and learning low rank representation with the goal of (1) and (2). PI proposes several new ideas based on PI's prior works. From the perspective of optimization, the global solutions of nonconvex minimization problems are generally intractable to obtain, and hence the goal is to converge to unique local solution with desirable statistical properties in polynomial time. Moreover, cost per iteration needs to be low. Both of these can be achieved if data satisfies certain model assumptions. The PI proposes to develop new model-based coordinate optimization framework , newton-type coordinate optimization with better iteration complexity, new loss functions that are efficient to handle etc. For low rank representation learning that are mostly formed as low rank matrix or tensor optimization problems. For these problems, standard approach is to consider a convex relaxation and then solve the relaxed problem. PI proposes new way to gain scalability and efficiency by reformulating the underlying problem as a factorization minimization problem. _x000D_
_x000D_
Summary of strength and weakness: The proposal is on an important topic of machine learning and the PI has solid background there. However, I am not quite sure how this proposal fits into AF._x000D_
_x000D_
In the context of the five review elements, please _x000D_
evaluate the strengths and weaknesses of the proposal with respect to broader impacts._x000D_
_x000D_
PI is involved in various interdisciplinary activities, specifically he has active collaboration with biomedical researchers and this research can be have direct impact there.  The algorithms from this research will be implemented and softwares will be released._x000D_
_x000D_
Please evaluate the strengths and _x000D_
weaknesses of the proposal with respect to any additional solicitation-specific review criteria, if _x000D_
applicable_x000D_
_x000D_
_x000D_
_x000D_
Summary Statement_x000D_
_x000D_
It is a good proposal on a very important topic but AF may not be the appropriate division for it._x000D_
_x000D_
</t>
  </si>
  <si>
    <t>HZ1007762</t>
  </si>
  <si>
    <t>Scheinberg</t>
  </si>
  <si>
    <t>katyas@lehigh.edu</t>
  </si>
  <si>
    <t xml:space="preserve">In the context of the five review elements, please _x000D_
evaluate the strengths and weaknesses of the proposal with respect to intellectual merit._x000D_
_x000D_
This proposal describes several settings of nonconvex optimization arising in machine learning that the PI intends to address. Specifically, there are two parts to the proposal. The first part addressed large scale problems for sparse learning with possibly nonconvex penalty functions to induce sparsity, and the second part _x000D_
addresses nonconvex specially structured problems such as low rank matrix factorization. _x000D_
_x000D_
The earlier part of the proposal describes the aims in very general terms and gives a somewhat misleading impression that very general and transformative methodologies will be proposed. The "current" optimization methods that are described are mainly optimization methods developed in the last decade or so for convex problems. However, nonconvex optimization has very long history with many methods. While these methods do not always apply directly to the new ML settings, in the last several years there has been a surge of work in that area as well by adapting these classical methods in appropriate ways. _x000D_
_x000D_
Once the PI gets to describing the proposed methods and ideas - they turn out to be fairly specific and based on his prior work. The first type of problems are addressed by coordinate optimization schemes with active set selection. I have some concerns about this part of the proposal. I assume that the only type of nonconvexity the PI considers here is a nonconvex (separable) penalty, because otherwise the coordinate approach is unlikely to work. However, such problems have been addressed before by many authors, and I am not sure how novel the proposed algorithms are in comparison. Similarly, proximal Newton methods based on coordinate optimization have been proposed and analyzed in depths, ans so have been active set methods of various kinds. The active set method described in Aim A.3 seems to be one of the classical methods, however, it needs careful consideration and implementation and is not guaranteed to work without full scan of coordinates. _x000D_
Finally, linear convergence rates under milder assumptions than strong convexity is also a well researched topics with multiple new results._x000D_
_x000D_
I find Aim B to be somewhat more novel compared to the existing work, if I understood it correctly. It appears that the PI has identified some  modification for the matrix factorization problem which leads to good properties for optimization. The plan to develop these ideas further and turn them into efficient algorithms. It is unclear to me if this work can go beyond low rank matrix representation. _x000D_
_x000D_
The number of citations is on the one hand extremely long and on the other hand is not as informative and as relevant to the proposal as would be desirable. _x000D_
_x000D_
_x000D_
_x000D_
In the context of the five review elements, please _x000D_
evaluate the strengths and weaknesses of the proposal with respect to broader impacts._x000D_
_x000D_
The broader impacts of this research seem to be overstated in the introduction. The PI lists several important applications of the ML models that he is planning to address, however, it is unclear why some of the advances, which are mainly theoretical, will have a significant impact on these applications. On the other hand, the PI has some prior history of working with practitioners on important problems (he cites a publication in Nature magazine, but it is unclear what his role was in this work). _x000D_
His prior history of open source software is an advantage, as long as the software is being used._x000D_
_x000D_
Please evaluate the strengths and _x000D_
weaknesses of the proposal with respect to any additional solicitation-specific review criteria, if _x000D_
applicable_x000D_
_x000D_
_x000D_
_x000D_
Summary Statement_x000D_
_x000D_
This proposal contains good ideas and specific methods, but does not do a very good job of positioning these ideas clearly in the current state-of-the-art._x000D_
_x000D_
</t>
  </si>
  <si>
    <t xml:space="preserve">In the context of the five review elements, please _x000D_
evaluate the strengths and weaknesses of the proposal with respect to intellectual merit._x000D_
_x000D_
This proposal will begin work on a more systematic approach to non-convex optimization in the sparse and law rank regimes.  _x000D_
_x000D_
In the first thrust, we consider a sparse regime.  Prior work from the PI shows that things can be greatly sped up by maintaining a list of important coordinates.  The proposed research will build on this by exploiting geometric properties such as restricted strong convexity, restricted strong smoothness, and restricted self-concordance.  (The proposal does not specifically state how rife these properties are in real-life instances).  The first approach will use newton-typo methods.  Then they will be generalized to non-smooth loss functions.  Finally, the algorithms will screen based on KKT-conditions.  The evaluation of this section is largely empirical.  _x000D_
_x000D_
The second thrust is to study low rank solutions.  The proposed solution is non-convex and found to have many saddle points, however, all the local minimum are global minimum.  The goal then is to quickly escape from the saddle points.  The proposed solutions are to better model the situation as a stochastic differential equation.  Using this to more rigorously analyze momentum models, and finally extend these results to cases with additional constraints.  It is not clear how this approach relates to prior work, e.g. citation 342.  _x000D_
_x000D_
The proposal studies interesting questions.  The empirical approaches are well laid out.  The theoretical approaches are a little vague, especially as it relates to previous research.  _x000D_
_x000D_
The PI is qualified and has access to adequate resources.  _x000D_
_x000D_
_x000D_
In the context of the five review elements, please _x000D_
evaluate the strengths and weaknesses of the proposal with respect to broader impacts._x000D_
_x000D_
This proposal, if successful with have applications to non-convex optimization, which is widely used in machine learning applications.  The research will produce software that is disseminated.  Additionally, the PI will incorporate the research into two of his courses._x000D_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It is not hard to guess an outline of what this might be, but details would be very helpful._x000D_
_x000D_
Summary Statement_x000D_
_x000D_
The proposal is well-scoped.  The proposal studies interesting questions.  The empirical approaches are well laid out.  The theoretical approaches are a little vague, especially as it relates to previous research.  It does not explicitly address how this fits into the PIs longer term research goals._x000D_
_x000D_
</t>
  </si>
  <si>
    <t>The objective of this proposal is to develop new nonconvex optimization frameworks to address the challenges of data mining and  knowledge discovery on large-scale scientific data. To break several crucial bottlenecks {in applying} optimization techniques {to} modern representation learning problems, this project will develop (i) {a new area named model-based nonconvex optimization}, which leverages sophisticated statistical thinking in modern optimization and naturally bridges research from different areas{, such as} machine learning, optimization, statistics and stochastic analysis; (ii) {novel nonconvex optimization frameworks and theories}, {leading to more} efficient and scalable algorithms with strong theoretical guarantees that {would} help scientists solve various representation learning problems in {many} sophisticated data analysis.This proposal is built upon earlier works of the PI, which leverage statistical thinking in modern optimization to attack nonconvex problems in machine learning. Due to the availability of massive data, nonconvex optimization has become more and more important in machine learning over the past decade. The proposed research aims to strengthen classic optimization to open up new possibilities for cutting-edge nonconvex optimization problems in representation learning. Moreover, the proposed research will not only focuses on deeper theoretical understanding of the_x000D_
challenging issues in nonconvex optimization, but also develop new algorithmic frameworks leading to more efficient and scalable representation learning. The proposed research is promising in leading to innovation not only in theory, but also in practical applications.We see three main aspects in which the proposed research will have broad impacts. (1) We see an urgent need for powerful optimization algorithms to handle massive datasets. However, the usage of large-scale optimization techniques is currently limited --- we still lack adequate methodology, theory, and computational techniques. By simultaneously addressing all these aspects, this project is expected to deliver useful nonconvex optimization algorithms that benefit all relevant scientific areas; (2) The deliverables of this project include easy-to-use software for representation learning.  Such software directly helps scientists to explore and analyze complex datasets. (3) The PI is collaborating with biomedical researchers and medical imaging scientists from Georgia Tech and University of Pennsylvania on analyzing scientific data. These collaborations will ensure the more direct impact of this project to the targeted scientific communities. Moreover, the PI will offer classes to teach modern nonconvex optimization techniques for analyzing massive data at Georgia Tech.</t>
  </si>
  <si>
    <t>1755847</t>
  </si>
  <si>
    <t>Sun</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</si>
  <si>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</si>
  <si>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</si>
  <si>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</si>
  <si>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</si>
  <si>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</si>
  <si>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1755881</t>
  </si>
  <si>
    <t>San</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</si>
  <si>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</si>
  <si>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 Generalized Deconvolution Algorithms for Coarse-Grained Simulations of Nonlinear Multiscale Systems_x000D_
_x000D_
L: 1755881 San, Omer Oklahoma State University $  170,144_x000D_
_x000D_
_x000D_
P180207 NC AF CAREER/CRII Panel A (14 panelists),_x000B_  on 10/24/2017, recommended as Not Competitive (E/V,G,F)_x000D_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</si>
  <si>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</si>
  <si>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</si>
  <si>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</si>
  <si>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</si>
  <si>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1755885</t>
  </si>
  <si>
    <t>Hosseini</t>
  </si>
  <si>
    <t xml:space="preserve"> Panel Summary       
 Description:_x000D_
This proposal looks at one-sided matching problems in which the agents being matched have preferences over who they are matched with, and act in their own self-interest. It focuses on a setting where agent preferences change over time (according to some random process), and the online setting where the items agents can be matched with change over time. The goal is to form efficient, fair, and truthful matching mechanisms._x000D_
_x000D_
_x000D_
Intellectual Merit:_x000D_
Strengths_x000D_
  + The matching problems have wide applicability. The PI has identified some important problems in this area._x000D_
_x000D_
  + The PI is well-qualified to study these topics, and has preliminary work in the area._x000D_
_x000D_
  + The proposed research on online settings and existence of EF1 (envyfree up to one item) in these settings seems promising. _x000D_
_x000D_
Weaknesses_x000D_
_x000D_
   - The PI does not give enough details about the proposed research, and neither the preliminary work nor other discussion give an indication about how the PI plans to proceed in order to solve the problems they are proposing._x000D_
_x000D_
  - There is no evaluation plan for the project._x000D_
_x000D_
_x000D_
Broader Impact:_x000D_
Strengths_x000D_
  + The PI has identified a domain (course registration at RIT) where he can apply his algorithms.   _x000D_
_x000D_
  + Mentoring graduate and undergraduate students; the PI has a history of working with undergrads and organizing seminars._x000D_
_x000D_
  + Interactive workshops and improving CS education and its accessibility._x000D_
_x000D_
_x000D_
_x000D_
_x000D_
Data Management Plan:_x000D_
Adequate_x000D_
_x000D_
Justification for Panel Rating:  _x000D_
The proposal needs more preliminary work and more details on the proposed research._x000D_
_x000D_
_x000D_
Panel Rating:_x000D_
_ Highly Competitive_x000D_
_ Competitive_x000D_
X Low Competitive_x000D_
- Not Competitive_x000D_
_x000D_
The summary was read 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</si>
  <si>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Fair and Truthful Mechanisms for Sequential Matching Under Uncertainty_x000D_
_x000D_
L: 1755885 Hosseini, Hadi Rochester Inst of Tech $  173,878_x000D_
_x000D_
_x000D_
P180209 LC AF CAREER/CRII Panel B (12 panelists),_x000B_  on 11/21/2017, recommended as Low Competitive (V,G,G)_x000D_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</si>
  <si>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looks at one-sided matching problems in which the agents being matched have preferences over who they are matched with, and act in their own self-interest. This is a gigantic field with lots of existing work; this proposal specifically focuses on a setting where agent preferences change over time (according to some random process), and the online setting where the items agents can be matched with change over time. The goal is to form efficient (usually Pareto-efficient, since this is an ordinal setting), fair (for example, envy-free), and truthful matching mechanisms._x000D_
_x000D_
Strengths:_x000D_
_x000D_
+ The PI is well-qualified to study these topics, and has preliminary work in the area._x000D_
_x000D_
+ The scope of the proposal is about right: these questions will likely lead to some very nice papers, and will lead to some nice insights in the long-term, but the questions are solvable in approximately two years. Matching with self-interested agents is an important topic with many real applications, and looking at dynamic and online matching is an important and useful direction._x000D_
_x000D_
+ Looking at EF1 fairness makes sense, and as far as I know has not been done for online settings._x000D_
_x000D_
Weaknesses:_x000D_
_x000D_
- The PI does not give enough details about the proposed research, and neither the preliminary work nor other discussion give an indication about how the PI plans to proceed in order to solve the problems they are proposing. For research challenge 1, the proposal does not explain what it means to be "truthful for dynamic settings" instead of for static ones, or what it means to be "near-optimal" when the only measure of efficiency that is being considered is Pareto-efficiency. After Research Challenge 1 the PI mentions "Our approach", but it is not clear what this approach refers to, and would need a lot more detail. For Research Challenge 3, the preliminary work only seems to indicate that maximizing NSW is not the right thing to do, but gives no indication for how one would go about proving the existence of or computing an EF1 allocation._x000D_
_x000D_
Suggestions for Improvement: Talk more about the research directions and possible approaches to solving them. If more space is needed, it is probably OK to reduce the amount of space devoted to precisely explaining the preliminary work (unless that explanation also tells the reader how you plan to approach the proposed research), or the broader impact section._x000D_
_x000D_
_x000D_
In the context of the five review elements, please _x000D_
evaluate the strengths and weaknesses of the proposal with respect to broader impacts._x000D_
_x000D_
Strengths:_x000D_
_x000D_
+ Matching algorithms are used in a variety of real-world settings, and many of them are dynamic or online. This work would likely yield nice insights and useful algorithms for such settings._x000D_
_x000D_
+ The PI is building a tool for matching students with classes at RIT; this tool may be adjusted for other applications in the future._x000D_
_x000D_
+ Mentoring graduate and undergraduate students; the PI has a history of working with undergrads and organizing seminars_x000D_
_x000D_
+ Interactive workshops and improving CS education and its accessibility_x000D_
_x000D_
Please evaluate the strengths and _x000D_
weaknesses of the proposal with respect to any additional solicitation-specific review criteria, if _x000D_
applicable_x000D_
_x000D_
_x000D_
_x000D_
Summary Statement_x000D_
_x000D_
A proposal on interesting topics from a qualified PI, but the proposal does not explain the proposed research in enough detail._x000D_
_x000D_
</t>
  </si>
  <si>
    <t xml:space="preserve">In the context of the five review elements, please _x000D_
evaluate the strengths and weaknesses of the proposal with respect to intellectual merit._x000D_
_x000D_
I think this is a great CRII proposal in terms of research questions, approaches and scope. It focuses on matching in sequential settings and brings two perspectives together to study the problems. The first is the economic perspective that concerns truthfulness and fairness of matching, but often in a static matching setting. The second approach is the AI/algorithmic approach that considers the dynamic setting. This proposed research studies fair and truthful mechanisms for sequential matching. It will advance the status quo on dynamic mechanism design without money. _x000D_
_x000D_
_x000D_
In the context of the five review elements, please _x000D_
evaluate the strengths and weaknesses of the proposal with respect to broader impacts._x000D_
_x000D_
Nice spillover effects to education and society:_x000D_
+curriculum development_x000D_
+student advising_x000D_
+implementation of a new matching market for course registration_x000D_
+novel pedagogical techniques_x000D_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</si>
  <si>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Strengths:_x000D_
_x000D_
The matching problems have wide applicability.  The PI has identified some important problems in this area:_x000D_
matching with dynamic settings, fairness guarantees, price of fairness etc._x000D_
_x000D_
The proposed research on online settings and existence of EF1 (envyfree upto one item) in these settings seems promising. The PI is already working with two undergraduate students on these problems._x000D_
_x000D_
The PI is well-qualified to conduct the proposed activity._x000D_
There are adequate resources available to the PI to carry out the proposed activities_x000D_
_x000D_
Weaknesses:_x000D_
_x000D_
There is no clear statement of the new insights that will help the PI solve the problems._x000D_
Consider research challenge 1: Devise approximate mechanisms that compute near-optimal allocations under truthfulness constraints while scaling well with the number of agents and alternatives.  The proposal mentions that efficient solutions can be obtained through linear programming. Presumably, the goal is to find a mechanism that is truthful. There is no mention of preliminary work in that direction. Moreover, the notion of "scaling well" is not defined in the proposal._x000D_
_x000D_
In the context of the five review elements, please _x000D_
evaluate the strengths and weaknesses of the proposal with respect to broader impacts._x000D_
_x000D_
Strengths:_x000D_
_x000D_
The PI has identifed a domain (course registration at RIT) where he can apply his algorithms._x000D_
_x000D_
Weaknesses:_x000D_
Even though there is mention of many fields such as robotics and planning, it is not clear if the proposed research will have significant impact in these areas._x000D_
_x000D_
_x000D_
Please evaluate the strengths and _x000D_
weaknesses of the proposal with respect to any additional solicitation-specific review criteria, if _x000D_
applicable_x000D_
_x000D_
_x000D_
_x000D_
Summary Statement_x000D_
_x000D_
The project advances the state of the art but does not propose potentially transformative concepts. This explains the overall rating of this proposal as "Good"._x000D_
_x000D_
</t>
  </si>
  <si>
    <t>One of the most fundamental problems at the intersection of computer science, artificial intelligence, and economics is allocating a set of indivisible resources to self-interested agents. Numerous practical applications prohibit the use of monetary transfers to incentivize truthfulness or compensate loss: allocating courses to students, shifts to nurses, equipment to researchers, and organ exchange are a few of the myriad examples, which are generally known as matching problems._x000D_
_x000D_
While Artificial Intelligence (AI) researchers and economists have studied this domain in the past few years, the interaction between the core AI paradigms and the desirable economic and societal properties has been surprisingly limited, particularly in dynamic and uncertain settings. The overarching theme of this proposal is that the advent of online platforms gives rise to novel algorithmic and computational challenges in designing efficient, truthful, and fair allocations, which require subtle practical, applicable, and scalable mechanisms. Findings of this research will lead to new and improved allocation models and further span theoretical, empirical, and algorithmic aspects of sequential matching under uncertainty._x000D_
_x000D_
Specifically, the proposed research aims to study two interconnected problems: (i) sequential matching under uncertainty, by synthesizing models studied in AI with matching theory to investigate, analyze, and create new mechanisms that discourage strategic manipulation in environments where preferences are dynamically changing, e.g. nurse scheduling; (ii) online matching mechanisms, by employing insights from algorithm design and AI to study fairness and efficiency of matching decisions, in order to design algorithms for sequential settings, when the availability of items is unknown, e.g. food bank organizations.This proposal tackles a set of fundamental problems from different subfields of AI while enriching the algorithmic and computational understanding of matching and resource allocation in practical settings. The goal is to answer questions such as the following:_x000D_
_x000D_
- What are the efficiency guarantees of truthful mechanisms in dynamic settings?_x000D_
- Are there alternative truthful mechanisms (from the set of possible mechanisms) that compute near-optimal allocations while scaling well with the size of the problem?_x000D_
- Are there deterministic or randomized mechanisms with desirable fairness guarantees, such as envyfreeness up to one item, when indivisible alternatives arrive over time?_x000D_
- What is the price of fairness (efficiency loss) of matching mechanisms in online settings? _x000D_
_x000D_
Taking a broader point of view, this proposal promotes the interwoven connection between AI and economics for socially desirable decisions by spanning a diverse collection of AI techniques and providing deeper insights of economic theory and its applications to other areas, such as robotics and planning.This proposal promises an elaborate education, dissemination, and outreach plan, which consists of interconnected components. First, a new matching framework, which enhances the assignment process for various domains such as course registration and online systems for task allocation, and provides new insights about dynamic environments to the research community. The proposal includes a plan for deployment and testing of new matching models for course registration at the institutional level at RIT. Second, educational impact by creative curriculum development and introducing novel pedagogical techniques, which improves STEM education, and in a broader sense, encourages underrepresented groups to pursue AI-related fields.</t>
  </si>
  <si>
    <t>1755921</t>
  </si>
  <si>
    <t>Forbes</t>
  </si>
  <si>
    <t xml:space="preserve"> Panel Summary       
 Description:  The PI proposes to push the theory of linear-algebraic pseudo randomness.  The PI will consider new constructions and new applications of combinatorial objects that are motivated by linear algebra.     The PI will also study deterministic algorithms for factoring polynomials._x000D_
_x000D_
Intellectual Merit: The PI has presented an interesting direction with a rich set of questions, and compelling plan for making progress.   The PI has a good track record in the area._x000D_
Strengths_x000D_
  +  compelling area and good set of questions_x000D_
  + Good track record_x000D_
Weaknesses_x000D_
_x000D_
Broader Impact: PI will develop a new course on algebraic pseudorandomness, organize workshops and train graduate students._x000D_
Strengths_x000D_
  +  Has already organized a workshop in the area with 70 participants and a boot camp._x000D_
  +  Course in an emerging topic that has never been previously taught._x000D_
Weaknesses_x000D_
_x000D_
Solicitation-specific criteria:  The PI outlines research in an emerging area that will put him at the center of action._x000D_
_x000D_
Data Management Plan: adequate_x000D_
_x000D_
_x000D_
_x000D_
Justification for Panel Rating:  The proposal outlines a compelling area and the PI has a strong track record._x000D_
_x000D_
Panel Rating: _x000D_
x Highly Competitive_x000D_
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</si>
  <si>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suggests a very detailed plan on pushing the field of linear algebraic pseudorandom objects.  This is an emerging direction that is promising. The plan is quite innovative, focusing on such objects as subspace evasive sets, rank extractors and dimension expanders.   The PI proposes to find new constructions for these objects as well as to develop applications that are inspired by the analogous combinatorial objects.  The PI also proposes to study deterministic algorithms for the least non-residue problem which would lead to deterministic algorithms for factoring univariate polynomials.  The PI has given experimental evidence for the ability to make progress._x000D_
The PI has made nice progress in these directions and has a good track record._x000D_
_x000D_
In the context of the five review elements, please _x000D_
evaluate the strengths and weaknesses of the proposal with respect to broader impacts._x000D_
_x000D_
The PI will design a new course on algebraic complexity theory that will be very important for student training.  The PI will continue to organize workshops, and has previously co-organized a very involved workshop._x000D_
_x000D_
_x000D_
Please evaluate the strengths and _x000D_
weaknesses of the proposal with respect to any additional solicitation-specific review criteria, if _x000D_
applicable_x000D_
_x000D_
_x000D_
_x000D_
Summary Statement_x000D_
_x000D_
Very well thought out research plan.   Good Broader impacts._x000D_
_x000D_
</t>
  </si>
  <si>
    <t xml:space="preserve">In the context of the five review elements, please _x000D_
evaluate the strengths and weaknesses of the proposal with respect to intellectual merit._x000D_
_x000D_
The proposal aims to significantly extend the emerging theory of linear-algebraic pseudo randomness, with the goal of explicitly constructing linear-algebraic pseudorandom objects achieving optimal parameters. _x000D_
_x000D_
The first major goal of the proposal is  to obtain optimal constructions for objects such as rank extractors, dimension expanders and subspace evasive sets. PI provides many exciting ideas connecting min-entrpy extractors to rank extractors, use of Ramsey graph construction to obtain better subspace evasive sets etc._x000D_
_x000D_
The second major goal of the proposal is to study factorization of polynomials and developing unconditionally deterministic efficient algorithms for it. As a step towards that, PI proposes to develop unconditional deterministic algorithm for finding non-residues in finite fields and give a concrete approach based on polynomial method._x000D_
_x000D_
Summary of strength and weaknesses: It is an extremely well-written proposal on a very important topic. Questions and approaches are very well laid out and the proposal could lead to significant progress in out understanding of linear algebraic pseudorandomness._x000D_
_x000D_
In the context of the five review elements, please _x000D_
evaluate the strengths and weaknesses of the proposal with respect to broader impacts._x000D_
_x000D_
Broader impact section is adequate. The PI will develop new course, organize workshop on relevant topic and train graduate students._x000D_
_x000D_
Please evaluate the strengths and _x000D_
weaknesses of the proposal with respect to any additional solicitation-specific review criteria, if _x000D_
applicable_x000D_
_x000D_
_x000D_
_x000D_
Summary Statement_x000D_
_x000D_
Excellent proposal--must be funded._x000D_
_x000D_
</t>
  </si>
  <si>
    <t xml:space="preserve">In the context of the five review elements, please _x000D_
evaluate the strengths and weaknesses of the proposal with respect to intellectual merit._x000D_
_x000D_
The PI proposes to develop the emerging field of linear-algebraic pseudorandomness.  The combinatorial theory of pseudorandomness is fairly well developed, and there are linear-algebraic analogues of key objects like extractors and expanders.  The PI proposes to improve constructions of various key objects, including rank extractors, subspace evasive sets, and dimension expanders.   The PI has done some nice related work, and has a good track record._x000D_
_x000D_
The PI also proposes to improve the bound on the size of the least quadratic nonresidue, which would have implications for derandomizing certain algorithms.  The PI suggests an interesting approach via the polynomial method, but given that number theorists haven't improved the bound in a long time, I'm not that optimistic._x000D_
_x000D_
In the context of the five review elements, please _x000D_
evaluate the strengths and weaknesses of the proposal with respect to broader impacts._x000D_
_x000D_
The PI already co-organized the 4th Workshop on Algebraic Complexity Theory (WACT), and plans to co-organize the next one.  He also will train students and design a new course._x000D_
_x000D_
Please evaluate the strengths and _x000D_
weaknesses of the proposal with respect to any additional solicitation-specific review criteria, if _x000D_
applicable_x000D_
_x000D_
_x000D_
_x000D_
Summary Statement_x000D_
_x000D_
A strong proposal about the emerging area of linear-algebraic pseudorandomness by a well-qualified PI._x000D_
_x000D_
</t>
  </si>
  <si>
    <t>The use of randomness is pervasive in computing, from its usage in cryptography to hide secrets to how it can be leveraged in the design of efficient algorithms, and it is a fundamental question to  understand how randomness relates to other computational resources such as time or memory. This question naturally arises for computation of a linear-algebraic nature. This type of computation is surprisingly pervasive, often arising where linear-algebra seems at first not relevant. Further, in this setting randomized algorithms are very natural but efficient deterministic algorithms are often scarce. Transforming such a randomized algorithm into a deterministic one can be done through explicit construction of pseudorandom objects. This project explores the theory of such linear-algebraic pseudorandom objects, and develops a connection with the least non-residue problem from number theory.Understanding the relationships between different computational resources, such as time, space, and randomness, is the fundamental goal in theoretical computer science, as exemplified by the P versus NP question. A long line of research has shown that the existence of computationally intractable problems can be used to efficiently derandomize any randomized algorithm. While such intractability is a plausible assumption, these techniques have led to only a few instances where randomized algorithms can be unconditionally derandomized._x000D_
_x000D_
This proposal identities a subclass of computation, linear-algebraic computation, that has received notable recent derandomizations. It proposes to bring these results to their logical fruition by constructing in complete optimality various notions of linear-algebraic pseudorandom objects. These objects have been directly be used to derandomize algorithms, construct more efficient schemes for error-resilient communication, and are related to recent breakthroughs in more combinatorially-oriented pseudorandom regimes. Finally, these objects have a surprising connection to the challenging least non-residue problem from number theory, which if resolved would derandomize the (non-linear) algebraic problem of factoring polynomials.One cannot overstate the importance of results dictating the limits of efficient computation. This proposed project studies these limits by studying the (non-trivially) equivalent question of how to efficiently derandomize algorithms. The primary setting of our investigation is that of linear-algebraic computation, which lies at the intersection of mathematics and computer science, increasingly attracting interdisciplinary attention due to the mathematical richness of the questions about computation. The proposal also identifies connections with boolean computation, highlighting the similarities between these two regimes. The PI is committed to developing the connections between linear-algebraic computation and mathematics. They will promote these connections through public presentations, training of students, and organization of workshops._x000D_
_x000D_
This project will support the PI in the training of his graduate students. The PI, an experts in linear-algebraic computation, has been part of the emerging theory of linear-algebraic pseudorandomness that has occurred in the past decade. The PI is eager to train students, including underrepresented minorities and women, in this area. The PI will also develop and teach a course at University of Illinois on algebraic pseudorandomness, whose course materials will be made publicly available. Finally, the PI recently successfully organized a workshop in algebraic complexity theory, and is planning to help organize the next iteration.</t>
  </si>
  <si>
    <t>1755950</t>
  </si>
  <si>
    <t>Escobedo</t>
  </si>
  <si>
    <t xml:space="preserve"> Panel Summary       
 Description: _x000D_
_x000D_
The proposal shows that current rank-aggregation functions do not properly handle incomplete rankings because the aggregation should be agnostic to which items are ranked.  This proposal has two thrusts.  The first is to identify a list of possible criteria to achieve desiderata for fair ranking aggregation.  The second is to study the computational complexity of (approximately) achieving the criteria._x000D_
_x000D_
 _x000D_
Intellectual Merit: _x000D_
_x000D_
Strengths_x000D_
  + The problems are well-scoped within each of these areas.  The concrete paths forward are proposed._x000D_
 + PI has some prior work in the area_x000D_
_x000D_
Weaknesses_x000D_
  - The problem is already computationally hard in the full ranking case, so this seems like a difficult problem.  Very unclear that the paths forward suggested will be sufficient to succeed. _x000D_
  - The proposal is unclear what the axioms for approximation scheme can or should be.   _x000D_
 -  Many ideas are related to game-theoretic concepts such as strategy-proofness, but this is not  mentioned in the proposal.  This is especially the case when discussing the axioms that approximations should satisfy.  There is a body of computer science literature on these topics which are not mentioned in the proposal._x000D_
  - Some members of the panel thought that the proposals description of PIs prior work did not look sufficient to show that tackling these hard problems would have impact. _x000D_
_x000D_
Broader Impact: _x000D_
_x000D_
Strengths_x000D_
  + Expanding the research in social choice theory to handle incomplete and incomparability in preference relations has the opportunity for impact in a number of data driven decision making applications. _x000D_
  +  The PI has also outlined a number of avenues to include minority student in the proposal._x000D_
  + The PI will mentor two PhD students._x000D_
_x000D_
_x000D_
_x000D_
Solicitation-specific criteria: _x000D_
+ The proposal mentions how this will be connected to the PIs future CAREER  proposal submission on "detection and elimination of algorithmic biases in automated decision-making and crowdsourcing" . However, the tightness of this connection is not illuminated._x000D_
_x000D_
_x000D_
Data Management Plan: adequate._x000D_
_x000D_
Suggestions to PI: Better relate to the algorithmic game theory literature on computational social choice.  This is especially needed in the approximation section.  What axioms should the approximation satisfy?_x000D_
_x000D_
Any partial work you could include, would be very helpful.  Better selling/integrating your current (published/submitted) work would also be nice._x000D_
_x000D_
If you could strengthen connection to future work, that would help as well.  _x000D_
_x000D_
_x000D_
_x000D_
Justification for Panel Rating:  Proposal was well scoped and well written.  However, did not sufficiently relate to current literature.  Unclear if the paths forward will be sufficient.  _x000D_
_x000D_
_x000D_
_x000D_
Panel Rating: 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</si>
  <si>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CRII CISE Research Initiation (026Y)_x000D_
NSF 17-552 Computer and Information Science and Engineering (CISE) Research Initiation Initiative_x000D_
Review Analysis: Standard Decline (LC) for proposal with low review scores_x000D_
_x000D_
CRII: AF: Robust Algorithmic Foundations for the Impartial Aggregation of Incomplete Ranking Data_x000D_
_x000D_
L: 1755950 Escobedo, Adolfo Arizona State University $  175,000_x000D_
_x000D_
_x000D_
P180209 LC AF CAREER/CRII Panel B (12 panelists),_x000B_  on 11/21/2017, recommended as Low Competitive (V/G,G,G/F)_x000D_
Std competition rank 5 of 29 rated projects: 5 HC, 9 C, 11 LC, 4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</si>
  <si>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Strengths:_x000D_
The PI has developed new notions of distance between ranking vectors and has some past work on defining a set of axioms for deriving consensus rankings._x000D_
_x000D_
The PI has strong background in ranking aggregation to work on research objective 1 and also in approximation algorithms to accomplish research objective 2._x000D_
_x000D_
_x000D_
Weaknesses: In research objective 1, it is not clear how different the proposed research will be from Kemeny's aggregation scheme.  The idea is to extend it for incomplete data. Extensions for incomplete data in schemes close to Kemeny's aggregation scheme may be computationally hard._x000D_
_x000D_
In research objective 2, the goal is to develop computationally expedient properties.  It is not clear what the completed work is and how it relates to the proposed work.  For the task of Research Objective 2, the PI does not list any completed work._x000D_
_x000D_
Many ideas are related to game-theoretic concepts such as strategy-proofness. These are not mentioned in the proposal._x000D_
_x000D_
In the context of the five review elements, please _x000D_
evaluate the strengths and weaknesses of the proposal with respect to broader impacts._x000D_
_x000D_
Strengths:_x000D_
Rank aggregation has applications in many areas.  The PI plans to work with a female student._x000D_
_x000D_
_x000D_
_x000D_
Please evaluate the strengths and _x000D_
weaknesses of the proposal with respect to any additional solicitation-specific review criteria, if _x000D_
applicable_x000D_
_x000D_
Not applicable._x000D_
_x000D_
Summary Statement_x000D_
_x000D_
The proposal requires more preliminary work for research objective 2._x000D_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</si>
  <si>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This proposal deals with the fundamental problem of extending existing social choice research into the domain of preferences that are incomplete or contain incompatibilities.  The PI has identified several key issues with the existing literature and a comprehensive set of research questions to address these.  The ideas are novel though I was curious to not see any references to the large literature in Computational Social Choice especially the work of people like Aziz, Prococcia, Regenwetter, Rossi, Walsh and anything related to PrefLib which contains large amounts of data of the type needed to undertake the research stated._x000D_
_x000D_
2. To what extent do the proposed activities suggest and explore creative, original, or potentially transformative concepts?_x000D_
_x000D_
The research questions identified build on a fundamental issue with existing social choice research in interesting and meaningful ways.  The questions are well aligned and interesting and answering them in positive ways would expand the state of the art in the area of preference reasoning and aggregation._x000D_
_x000D_
3. Is the plan for carrying out the proposed activities well-reasoned, well-organized, and based on a sound rationale? Does the plan incorporate a mechanism to assess success?_x000D_
_x000D_
The plan is extremely well organized and there is a clear methodology for evaluating success.  The PI has outlined ambitious goals and measurements to assess the progress of the proposal._x000D_
_x000D_
4. How well qualified is the individual, team, or institution to conduct the proposed activities?_x000D_
_x000D_
The proposed questions build on the PIs work in preference aggregation and he is well situated to attack the questions outlined in the proposal._x000D_
_x000D_
5. Are there adequate resources available to the PI (either at the home institution or through collaborations) to carry out the proposed activities?_x000D_
_x000D_
There are adequate resources and collaborators to attack the proposed questions._x000D_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Expanding the research in social choice theory to handle incomplete and incomparability in preference relations has the opportunity for impact in a number of data drive decision making applications.  The PI has also outlined a number of avenues to include minority student in the proposal._x000D_
_x000D_
2. To what extent do the proposed activities suggest and explore creative, original, or potentially transformative concepts?_x000D_
_x000D_
The broader impacts are well described and are original though fairly straightforward in where they could be applied.  This is not a problem for this proposal._x000D_
_x000D_
3. Is the plan for carrying out the proposed activities well-reasoned, well-organized, and based on a sound rationale? Does the plan incorporate a mechanism to assess success?_x000D_
_x000D_
There is a clear plan to disseminate the work and recruit diverse populations to the research._x000D_
_x000D_
4. How well qualified is the individual, team, or institution to conduct the proposed activities?_x000D_
_x000D_
The PI does not have extensive experience in outreach however he does have experience in translating theoretical research into practical algorithms.  Therefore he is well positioned and qualified to undertake the broader impacts portion of the proposal._x000D_
_x000D_
5. Are there adequate resources available to the PI (either at the home institution or through collaborations) to carry out the proposed activities?_x000D_
_x000D_
The PI has identified several resources at his home institution to help with the educational outreach activities.  There is not a clear connection for translating the research into broader impacts through any particular mechanism but the resources requested are adequate._x000D_
_x000D_
_x000D_
Please evaluate the strengths and _x000D_
weaknesses of the proposal with respect to any additional solicitation-specific review criteria, if _x000D_
applicable_x000D_
_x000D_
_x000D_
_x000D_
Summary Statement_x000D_
_x000D_
A good proposal with a clear and concise plan to address fundamental gaps in the social choice literature.  The PI is well positioned to attack these problems that have broad impact within the OR/CS communities and across a number of sub disciplines.  There are nicely identified opportunities for broader impacts and resource on campus have been contacted and identified._x000D_
_x000D_
_x000D_
</t>
  </si>
  <si>
    <t xml:space="preserve">In the context of the five review elements, please _x000D_
evaluate the strengths and weaknesses of the proposal with respect to intellectual merit._x000D_
_x000D_
The author argues that current rank-aggregation functions do not properly handle incorrect ratings.  The argument is that the aggregation should be agnostic to which items are ranked.  As such, it seems like current aggregation messes up pretty badly when aggregating partial ranks.   _x000D_
_x000D_
This proposal has two thrusts.  The first is to figure out a list of possible to achieve desiderata for fair ranking aggregation. Of course, Arrow's theorem makes this difficult, but in the complete raking since, one can still do a slightly weaker version of independence of irrelevant alternatives.  _x000D_
The second is to study the computational complexity of (approximately) achieving the criterial._x000D_
_x000D_
The author has RAF technique that he believes will satisfy the first goal if proven.  For the second ranking, he argues that current techniques in use are gravely inadequate (this appears very true), and proposes three alterative approaches: 1) a greedy algorithm; 2) to extend Borda rankings to a computable version of the scaled-footrule distance 3) a R-ECC decomposition algorithm.   Another part of thrust 2 is to improve exact calculations (at least for medium sized inputs).  _x000D_
_x000D_
_x000D_
The proposed methods are creative and original (as far as I know).  They are not transformative, but are useful. _x000D_
_x000D_
The PI has limited prior work on this area.  It seems like the part of the work that is done already is noticing that some terms should be normalized.  However, the proposal does layout a clear path forward.  _x000D_
_x000D_
_x000D_
Some notes: _x000D_
_x000D_
While I mostly agree with the author's main premise, I think the proposal would be even stronger if it were more clearly argued.  WHY should we be agnostic to unranked items?  There are certainly cases when this fails, so when is that?  Also, right now there is just one little counter intuitive example.   It would be great if there were more evidence of systematic bias.  _x000D_
_x000D_
Additionally, it would have been very helpful to spell out a specific case or two where incomplete rankings are aggregated.  Currently there is a laundry list, but it would be more compelling if a stronger connection were made.  _x000D_
_x000D_
It would have been really helpful to have a more clear definition of Kemeny aggregation in the proposal itself.  (I looked it up on Wikipedia.  I should not have to).  _x000D_
_x000D_
_x000D_
In the context of the five review elements, please _x000D_
evaluate the strengths and weaknesses of the proposal with respect to broader impacts._x000D_
_x000D_
This proposal fits in the "algorithmic fairness" literature.  We must have a good theoretical understanding of what are algorithms are doing to insure fairness.  _x000D_
The PI will also mentor two PhD students, and involve undergraduates from diverse backgrounds (this is a good project to on-board people)._x000D_
_x000D_
_x000D_
Please evaluate the strengths and _x000D_
weaknesses of the proposal with respect to any additional solicitation-specific review criteria, if _x000D_
applicable_x000D_
_x000D_
It is not very clear how completing this research would lead to a stronger Career proposal on "detection and elimination of algorithmic biases in automated decision-making and crowdsourcing" .  It is great that the author has a plan of the future, but it should be better connected to the current proposal._x000D_
_x000D_
Summary Statement_x000D_
_x000D_
The proposal presents a well-thought out and scoped project.  The author does not have a great deal of experience in this area (I guess that is, in part, the point of CRII).    A few items would make the broader impacts and impact on the PI career more clear._x000D_
_x000D_
</t>
  </si>
  <si>
    <t>The objective of this CRII proposal is to establish firm theoretical and algorithmic foundations that enable the impartial aggregation of incomplete rankings, which constitute a general data format that is prevalent across a wide array of modern applications. Most prominently, these data are routinely collected--both explicitly and implicitly--to combine, classify, or predict user preferences for the common purpose of automating decision-making tasks. Within these human-centered contexts, data incompleteness generally arises from users' limitations to evaluate only a few of the numerous alternatives involved; this means that no inferences should generally be made from an individual's preference data regarding the alternatives he/she does not evaluate. Hence, it is disquieting to learn that the ranking aggregation algorithms associated with the aforementioned tasks for processing preference data inadvertently introduce assumptions regarding users' unspecified preferences that are invalid for most situations. This inappropriate usage is highly problematic in that it creates algorithmic biases that may lead to arbitrary and/or unfair real-world outcomes. Thus, due to the growing emphasis on algorithmic neutrality and transparency, the development of more rigorous frameworks for dealing with incomplete ranking data impartially is both essential and timely. More generally, due to the inherent subjectivity of preference data, extra attention must be paid to curtailing the deleterious effects of human biases, especially when there is a finite set of benefits that is to be allocated commensurate with the resulting aggregate ranking. Hence, implementing efficient frameworks that are less prone to individual manipulation and outlier opinions and whose underlying assumptions can be directly tied to a set of formal properties is essential. Moreover, their associated ranking measures should properly account for the presence of ties and incomplete evaluations, which are the rule rather than the exception in most cases, and for contemporary situations where the evaluation of a large object set is performed through the allocation of smaller subsets of differing sizes. Failing to do so would implicitly force arbitrary and/or careless choices and thereby introduce noise and bias. Thus, robustness, flexibility, and computational viability are three vital ingredients for aggregating preference data impartially in modern contexts.The fundamental challenge addressed in this proposal is the design of a robust aggregation framework that supports an impartial treatment of incomplete rankings for practical applications. To this end, the research plan consists of a set of theoretical and algorithmic contributions that cumulatively describe a novel impartial treatment of preference data. Expressly, establishing the targeted design requires original theoretical advances:  defining a set of social-choice related axioms and properties that any impartial incomplete-ranking measure should satisfy; constructing robust measures to fulfill them from a precise mathematical standpoint; and exploring the validity and pragmatic implications of these measures via formal statistical methods. Moreover, owing to the inability/inadequacy of extant ranking aggregation algorithms to handle incomplete rankings efficiently/impartially, enabling the practical implementation of the resultant measures requires major algorithmic breakthroughs. These include the development of new exact implicit-enumeration techniques and approximation algorithms with provable guarantees.Due to the rising usage growth of automated decision-making technologies, preference ranking aggregation algorithms have quickly come to permeate numerous spheres of daily life. In fact, their byproducts play direct roles in determining business reputations, credit scores, hiring decisions, and other high-stake matters. Thus, the outputs of the proposed line of research and their subsequent progression into effective tools for detecting and eliminating algorithmic biases--which the academic community fervently demands--would have widespread impacts on aggregation. What is more, due to the pivotal roles of robust ranking aggregation frameworks in other fields including biostatistics and ethnography, the successful execution of this proposal could bring a series of multidisciplinary advances. Educational benefits include the training of two PhD students, the creation of cross-disciplinary course modules, and the dissemination of results via presentations at leading conferences and publications in high-quality journals.</t>
  </si>
  <si>
    <t>1755954</t>
  </si>
  <si>
    <t>Hajimirza</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</si>
  <si>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</si>
  <si>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</si>
  <si>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 AF:Bayesian Framework for Efficient Surrogate Modeling and Learning of Probabilistic Functions Based on Large Scale Monte Carlo Simulations_x000D_
_x000D_
L: 1755954 Hajimirza, Shima Texas Engineering Exp Sta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</si>
  <si>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</si>
  <si>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</si>
  <si>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</si>
  <si>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</si>
  <si>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1755955</t>
  </si>
  <si>
    <t xml:space="preserve"> Panel Summary       
 Description: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Intellectual Merit:_x000D_
_x000D_
Strengths_x000D_
+ Studying deferred-acceptance auctions is a good thing to do: they have nice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 The proposal brings techniques in mechanism design and approximation algorithms together to tackle the challenges. The proposal is full of ideas, for example, it will extend DA to combinatorial auction settings, to allow randomization, and to multi-parameter domains._x000D_
_x000D_
Weaknesses_x000D_
- The proposal could be clearer in terms of attack plan._x000D_
- The questions being asked are natural next steps, and therefore not incredibly novel._x000D_
_x000D_
Broader Impact:_x000D_
_x000D_
Strengths_x000D_
+ The design of practical auctions which are easier to get people to use is extremely important; DA auctions have been used in practice, for example the gigantic FCC incentive auction. The developed mechanisms may have practical implications on real-world large-scale auctions._x000D_
+ This will likely be of interest to Economists, and foster further collaboration between Economists and Computer Scientists._x000D_
  _x000D_
Weaknesses_x000D_
- No specific avenues are identified in translating this work to form  broader impact (e.g., forming software, implementing real-world auctions)._x000D_
- The PI did not describe enough broader impact, education, students advising, etc._x000D_
_x000D_
Solicitation-specific criteria: The panel agrees that funding this research will help the PI to gain competitiveness in developing his career, and to form an excellent research program._x000D_
_x000D_
Data Management Plan: adequate_x000D_
_x000D_
What is bold, exciting, high risk/reward, or potentially transformative? Deferred-acceptance auctions have great potential to be used in practice, and is one of the most important exports at the intersection of Economics and Computation. Thus forming theoretical foundations for these auctions and forming new auctions of this type is very exciting._x000D_
_x000D_
Suggestions to PI: Greatly expand the broader impacts section of this proposal. For example, describe specifics of the educational plan, like advising students or developing courses._x000D_
_x000D_
Justification for Panel Rating: The panel agreed this is an extremely good proposal, by a very qualified PI, asking concrete, useful, and important questions._x000D_
_x000D_
Panel Rating:_x000D_
_ Highly Competitive_x000D_
X Competitive_x000D_
_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</si>
  <si>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aims to design practical auctions using the deferred-acceptance (DA) framework, and to make this framework more general. Deferred acceptance auctions give rise to auctions which are "obviously strategy-proof" (OSP); this is a very desirable quality as whenever one designs a complex auction, it is important to be able to convince the users that it is a good auction for them to use, and this is easy to do with OSP and deferred-acceptance auctions. Such auctions also have other nice properties, such as being more privacy-preserving._x000D_
_x000D_
Strengths:_x000D_
_x000D_
+ Studying deferred-acceptance auctions is a good thing to do: they have nice important properties, and have not received enough attention yet, so there are likely to be nice results. This is a hot area, and the PI is extremely well-qualified. In general, the design of "practical" instead of "optimal" auctions is a major important trend in mechanism design, and this proposal fits well in this trend._x000D_
_x000D_
+ The PI has preliminary work for almost every research direction proposed. The questions being asked are concrete, and not very long-term, as appropriate for this type of proposal. It seems very likely that the PI would be able to resolve most of them. That said, all of these questions are aimed at designing and understanding the limitations of DA auctions, which is a great long-term goal._x000D_
_x000D_
Weaknesses:_x000D_
_x000D_
- Section 3.2 (Bayesian setting) is not as well thought-out as the other research directions. In a Bayesian setting, it is not even clear why DA should be used instead of posted pricing._x000D_
_x000D_
_x000D_
In the context of the five review elements, please _x000D_
evaluate the strengths and weaknesses of the proposal with respect to broader impacts._x000D_
_x000D_
Strengths:_x000D_
_x000D_
+ The design of practical auctions which are easier to get people to use is extremely important; DA auctions have been used in practice, for example the gigantic incentive auction._x000D_
_x000D_
+ This will likely be of interest to Economists._x000D_
_x000D_
Please evaluate the strengths and _x000D_
weaknesses of the proposal with respect to any additional solicitation-specific review criteria, if _x000D_
applicable_x000D_
_x000D_
_x000D_
_x000D_
Summary Statement_x000D_
_x000D_
Very nice concrete research directions from a well-qualified PI, likely to provide both fundamental insights and practical impact, and lead to a further research program._x000D_
_x000D_
_x000D_
</t>
  </si>
  <si>
    <t xml:space="preserve">In the context of the five review elements, please _x000D_
evaluate the strengths and weaknesses of the proposal with respect to intellectual merit._x000D_
_x000D_
This is a nice CRII proposal focusing on designing more practical auctions by extending the well known deferred acceptance (DA) framework for simple settings.  It brings techniques in mechanism design and approximation algorithms together to tackle the challenges. The proposal is full of ideas, for example, it will extend DA to combinatorial auction settings, to allow randomization and to multi-parameter domains. I think the PI has an interesting agenda to pursue._x000D_
_x000D_
In the context of the five review elements, please _x000D_
evaluate the strengths and weaknesses of the proposal with respect to broader impacts._x000D_
_x000D_
+The developed mechanisms may have practical implications on real-world large-scale auctions. _x000D_
+Further foster collaboration of computer scientists and economists. _x000D_
_x000D_
_x000D_
Please evaluate the strengths and _x000D_
weaknesses of the proposal with respect to any additional solicitation-specific review criteria, if _x000D_
applicable_x000D_
_x000D_
I think funding this research will help  the PI to gain competitiveness in developing his career. _x000D_
_x000D_
_x000D_
Summary Statement_x000D_
_x000D_
A great CRII proposal._x000D_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</si>
  <si>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outlines a number of interesting questions surrounding the task of generalizing the deferred acceptance auction mechanism to a number of settings including obviously strategyproof, settings without money, Bayesian and randomized settings.  The questions, if answered would advance the state of the art in the area of mechanism design and auction design._x000D_
_x000D_
2. To what extent do the proposed activities suggest and explore creative, original, or potentially transformative concepts?_x000D_
_x000D_
Advances in DA auctions, which is a recent advance, may have important impacts in the areas that the PI has identified.  The proposal itself does a good job of drawing out application areas for these mechanisms._x000D_
_x000D_
3. Is the plan for carrying out the proposed activities well-reasoned, well-organized, and based on a sound rationale? Does the plan incorporate a mechanism to assess success?_x000D_
_x000D_
The plan is not clear in terms of time-lines or attack plan but the questions themselves are somewhat orthogonal to each other.  The questions are coherent in terms of being related to a single topic but it is not clear how they interconnect or how results in one would or could be leveraged to attack others._x000D_
_x000D_
4. How well qualified is the individual, team, or institution to conduct the proposed activities?_x000D_
_x000D_
The PI is very well qualified for the proposal and has a track record of obtaining good results and publishing in top quality venues._x000D_
_x000D_
5. Are there adequate resources available to the PI (either at the home institution or through collaborations) to carry out the proposed activities?_x000D_
_x000D_
There are ample resources and the PI has a strong network of collaborators to attack the technical questions addressed in the proposal._x000D_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The general space of auction and mechanism design has clear and broad impact across computer science, economics, and various real world applications.  Advancements in these areas could advance a number of beneficial societal outcomes.  However, outside of publishing research results, there is no mechanism described in the current proposal to translate the theoretical results to broad impact._x000D_
_x000D_
2. To what extent do the proposed activities suggest and explore creative, original, or potentially transformative concepts?_x000D_
_x000D_
The broader impacts of the research could be realized through a number of avenues including application to specific problems like spectrum auctions or ad auctions on various platforms.  The specific questions in the proposal would help with these broad impacts if addressed._x000D_
_x000D_
3. Is the plan for carrying out the proposed activities well-reasoned, well-organized, and based on a sound rationale? Does the plan incorporate a mechanism to assess success?_x000D_
_x000D_
While the key questions have the potential for broad impact, no specific mechanisms or avenues are addressed in the current proposal w.r.t. broader impacts.  Additionally almost no mention of teaching or mentoring is made in this proposal._x000D_
_x000D_
4. How well qualified is the individual, team, or institution to conduct the proposed activities?_x000D_
_x000D_
No specific avenues were identified.  However, the PI has a strong track record of success in research and publishing papers on this topic._x000D_
_x000D_
5. Are there adequate resources available to the PI (either at the home institution or through collaborations) to carry out the proposed activities?_x000D_
_x000D_
Yes there are adequate resources for the proposal, however, no specific broader impacts are addressed / funding requested._x000D_
_x000D_
_x000D_
Please evaluate the strengths and _x000D_
weaknesses of the proposal with respect to any additional solicitation-specific review criteria, if _x000D_
applicable_x000D_
_x000D_
_x000D_
_x000D_
Summary Statement_x000D_
_x000D_
An interesting proposal with a good research question centered on extending the deferred acceptance auction framework to a number of important and interesting directions.  The proposal lacks clear time-lines for the particular research thrusts and also does not include clear mechanisms for translating the theoretical research into broader impacts through the proposal activities._x000D_
_x000D_
_x000D_
</t>
  </si>
  <si>
    <t>As the world becomes increasingly interconnected, an unprecedented number of auctions needs to take place to ensure the efficient utilization of its scarce resources. On a daily basis, human and software agents compete for an extremely diverse set of resources, ranging from the advertising space on a website and the goods sold on Ebay, to the electrical power supply that supports big cities and the landing slots of the world's busiest airports. Were it not for the auctions that regulate these resource allocation processes, massive amounts of social utility would be wasted; hence, it is imperative that these auctions are designed to the highest standard. Some of the optimization problems involved in designing such resource allocation mechanisms can be highly demanding from a computational standpoint. In reality, the design process is even more challenging, as the agents competing for these resources may be strategic and have their own interests at heart. _x000D_
_x000D_
This proposal approaches such resource allocation problems from the perspective of the designer who chooses the rules of the auction aiming to maximize her own objectives, such as efficiency, revenue, or fairness, despite the strategic behavior of the participants. The long literature on game theory and mechanism design has produced several celebrated auctions that maximize these objectives while, at the same time, providing attractive theoretical guarantees regarding the incentives of the participating agents, but many of these auctions are rarely used in practice. Two important drawbacks that render these auctions impractical are that: i) it may be non-trivial for the bidders to verify these auctions' incentive guarantees, and ii) they often require that the bidders reveal too much of their private data._x000D_
_x000D_
The long-term goal of this project is to develop a deeper understanding of the performance guarantees that an auction designer can achieve using practical auctions that avoid these drawbacks. Recent work by economists has proposed refined incentive properties that non-experts can verify, as well as a framework for designing auctions that satisfy these incentive properties. The proposed research problems aim to evaluate the performance of these auctions from the standpoint of approximation algorithms, and to extend the auction design framework to capture a much wider family of problem instances.The proposed research combines techniques from approximation algorithms and mechanism design to lay the foundations for the design of practical auctions that approximate well-studied economic objectives. The main thrust of this project aims to generalize the deferred-acceptance framework, proposed by economists, thus significantly expanding its applicability. These generalizations will then be used to design novel auctions for canonical resource allocation problems.This project will develop a deeper understanding of the power and limitations of auctions that guarantee highly desired incentive properties. Furthermore, it will provide a set of algorithmic tools that an auction designer can use in order to produce high-performance auctions that provide a simple interface and clear incentives to the participating bidders. This work combines ideas recently proposed within the economics literature with the computer science perspective of approximation algorithms, and it is thus likely to generate collaborations at the interface of computer science and economics. Like the previous work of the PI, this project's results will be published at both top computer science conferences and top journals of the economics and operations research communities. This will further promote the benefits of computer science evaluation measures, such as the worst-case approximation, to other disciplines.</t>
  </si>
  <si>
    <t>1755978</t>
  </si>
  <si>
    <t>Gangammanavar</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</si>
  <si>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</si>
  <si>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NATIONAL SCIENCE FOUNDATION _x000D_
Alexandria, Virginia 22314 _x000D_
Directorate for Computer and Information Science and Engineering (CISE)_x000D_
Division of Computing and Communication Foundations (05010000)_x000D_
CRII CISE Research Initiation (026Y)_x000D_
NSF 17-552 Computer and Information Science and Engineering (CISE) Research Initiation Initiative_x000D_
Review Analysis: Standard Decline (NC) for proposal with low review scores_x000D_
_x000D_
CRII:AF: Stochastic Programming Decomposition Model and Algorithm for Discrete-event Dynamic Systems_x000D_
_x000D_
L: 1755978 Gangammanavar, Harsha Southern Methodist Univ $  175,000_x000D_
_x000D_
_x000D_
P180207 NC AF CAREER/CRII Panel A (14 panelists; 0 decl confl),_x000B_  on 10/24/2017, recommended as Not Competitive (V/G,G,F)_x000D_
Std competition rank 5 of 31 rated projects: 3 HC, 12 C, 10 LC, 6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Jack Snoeyink_x000D_
Cognizant Program Director  _x000D_
Thursday, December 7, 2017_x000D_
_x000D_
_x000D_
_x000C__x000D_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</si>
  <si>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</si>
  <si>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</si>
  <si>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</si>
  <si>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</si>
  <si>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1756014</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</si>
  <si>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</si>
  <si>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</si>
  <si>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</si>
  <si>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</si>
  <si>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1763240</t>
  </si>
  <si>
    <t>Gupta</t>
  </si>
  <si>
    <t>P180637</t>
  </si>
  <si>
    <t xml:space="preserve"> AF Medium Panel /  Dec 11-12</t>
  </si>
  <si>
    <t xml:space="preserve"> Panel Summary       
 SUMMARY OF PROPOSED RESEARCH ACTIVITY_x000D_
Description:  This  proposal addresses a number of central, well-studied discrete optimization problems in settings in which there is uncertainty about the input - three broad classes of variants are studied, first, where the inputs are given by a specified a probability distribution, from which a realization is chosen only after the solution is computed; second, where the distribution is only learned as part of the algorithm, either by drawing samples in advance, or by gradually constructing the schedule; and third, somewhat less centrally to this proposal, when the input is a result of following a path according to a Markov chain. For each of a number of problems, the PIs place the current state of the art in context, and suggest a next problem domain to consider in the design of (improved) approximation algorithms._x000D_
_x000D_
INTELLECTUAL MERIT_x000D_
This is an important area in which there has been quite a lot of important work over the past 10-15 years, and the PIs have contributed substantially to these developments. _x000D_
_x000D_
Strengths_x000D_
These are significant problems whose study will likely engender the innovation of new algorithmic techniques to address these problems. For example, one particular problem for which there was notable enthusiasm was the scheduling setting in which there are jobs of known types to be scheduled on a single machine, where all of the jobs of a common type are drawn independently from an identical distributions, so that there is a natural setting to study the tradeoff between learning the distribution and the cost of the solution. Among the other problems discussed, models based on load-balancing in parallel machines, the traveling salesman problem, unsplittable flows all were addressed in stochastic settings. Furthermore, the role of stronger relaxations -configuration LP's, Sherali-Adams hierarchies, and exponential formulations such as the knapsack cover constraints, are to be studied for possible novel application in these stochastic models._x000D_
_x000D_
The PIs have a strong track record of obtaining important results in this domain, and there was general confidence that the directions outlined here would continue this trajectory in significant ways._x000D_
_x000D_
Weaknesses_x000D_
The weakest aspect of this proposal is that in its desire to give such an extensive list of potential problem domains, there was less attention devoted to each one so that the inherent difficulties and ideas for new approaches were not given as much development as would have been beneficial. Furthermore, there was also some concern that the big picture in providing motivation for the general thrust, and for the specific choice of problems could have been strengthened. _x000D_
_x000D_
BROADER IMPACTS _x000D_
_x000D_
Strengths_x000D_
The PIs have a good track record of engaging in programs like Andrew's Leap and the Rutgers (Camden) summer Program in Algorithmic and Combinatorial Thinking to attract high-school students to this area._x000D_
Their work has consistently involved students (at all levels) from underrepresented groups._x000D_
_x000D_
The PIs have done interesting curricular development in this domain, and are committed to expanding the materials available to spread this other institutions._x000D_
_x000D_
Finally, this is an area in which the kinds of algorithmic innovations have the potential to impact industrial applications work._x000D_
_x000D_
Weaknesses_x000D_
_x000D_
There is nothing particularly innovative in the nature of the broader impact contribution of this proposal._x000D_
_x000D_
ADDITIONAL REMARKS_x000D_
Research plan: This is a proposal in which the scope and plans are likely to deliver extremely high quality research in the timeframe of its funding._x000D_
_x000D_
Collaboration plan: The plan outlines regular telecomm meetings and periodic visits which, given the track record of the PIs who have collaborated in the past, seems completely sufficient for the proposal._x000D_
_x000D_
Data Management Plan: The PIs state that this is entirely a theoretical proposal and hence there is no data to manage._x000D_
_x000D_
Results of prior support: There is a succinct statement of previous work, both in terms of its intellectual merit and broader impact, for Gupta, whereas Nagarajan has no prior support._x000D_
_x000D_
Justification for Panel Rating: This is a proposal that has a large number of truly innovative settings for exploring the increasingly important interface between stochastic models of input data and the worst-case analysis of approximation algorithms for discrete optimization problems. While a somewhat more focused proposal would have been slightly better, this is definitely worthy of support. 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</si>
  <si>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addresses a moderate-sized family of problems in stochastic optimization: classic problems in combinatorial optimization (e.g., scheduling, TSP, unsplittable flow) are reconsidered in a setting where the input is drawn at random from some distribution. The two PIs will study three broad classes of problems:_x000D_
1. The input distribution is known. Try to achieve approximation ratios similar to the classic version of the problem. One important variant is that the input, which consists of many "items", is gradually revealed and the algorithm can adaptively make decisions based on this partial knowledge; for such problems study the advantage conferred by such adaptivity._x000D_
2. The input distribution is unknown and needs to be learned. Variants are (a) it can be learned by sampling in advance of solving the actual problem instance; and (b) it can only be learned as parts of the actual instance are revealed and decisions must be made about them. For the latter variant, questions of how well approximable they are have some parallels with questions about regret minimization._x000D_
3. The input randomly changes, according to a Markov chain, as we explore it. This section of the proposal is less well-developed, perhaps because this is relatively new territory with not enough past work to clarify the landscape._x000D_
_x000D_
Strengths:_x000D_
_x000D_
+ The two PIs have been leaders in stochastic optimization over the last five years or so. They are very well positioned to carry out this work._x000D_
+ The proposal is very thoughtfully organized. The problems to be studied appear fundamental and a good case is made for studying them._x000D_
+ The PIs have a strong history of coauthorship in the proposal's topic._x000D_
_x000D_
Weaknesses:_x000D_
_x000D_
- These problems are, for the most part, continuations of work that the two PIs are already doing. _x000D_
_x000D_
_x000D_
_x000D_
In the context of the five review elements, please _x000D_
evaluate the strengths and weaknesses of the proposal with respect to broader impacts._x000D_
_x000D_
The project will train some four or five Ph.D. students between the two universities and lead to appropriate curriculum development at both places. The project will involve undergraduate students as appropriate. The PIs have established some history of high-school outreach and will continue it._x000D_
_x000D_
_x000D_
Please evaluate the strengths and _x000D_
weaknesses of the proposal with respect to any additional solicitation-specific review criteria, if _x000D_
applicable_x000D_
_x000D_
_x000D_
_x000D_
Summary Statement_x000D_
_x000D_
The proposal teams two PIs with strong track records on stochastic optimization, promising further work along existing (and fruitful) directions. It is very well written and convincingly argued._x000D_
_x000D_
_x000D_
</t>
  </si>
  <si>
    <t>HY0793425</t>
  </si>
  <si>
    <t>SHEWCHUK</t>
  </si>
  <si>
    <t>jrs@cs.berkeley.edu</t>
  </si>
  <si>
    <t xml:space="preserve">In the context of the five review elements, please _x000D_
evaluate the strengths and weaknesses of the proposal with respect to intellectual merit._x000D_
_x000D_
The strengths of this proposal are that it is well written and the ideas for_x000D_
how to approach some of these problems seem solid._x000D_
_x000D_
The main weakness of this proposal--and it's a big one--is that there is_x000D_
virtually no discussion of what I call "The Big Picture".  If the PIs fully_x000D_
succeed in accomplishing everything they propose, what larger impact will it_x000D_
have on this field of theoretical computer science (or mathematics)?  What_x000D_
impact will it have on applications in the real world?  Why do the PIs want to_x000D_
solve these particular problems?  Of all the problems the PIs propose to solve,_x000D_
which are the most important, and why?  Of all the problems the PIs *could*_x000D_
propose to solve, why did they choose these ones?  How do the PIs prioritize,_x000D_
and how should we reviewers prioritize?  The PIs have devoted years of their_x000D_
lives to these sorts of problems, so they must have strong motivations for_x000D_
doing so, but what are those motivations?  Why do these questions excite the_x000D_
PIs?  I argue that answering these questions is the most important part of a_x000D_
proposal.  But this proposal devotes approximately zero attention to them._x000D_
There are very few hints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Moreover, there are many problems the PIs want to solve that sound pretty_x000D_
incremental.  The proposal would be better if the PIs used most of the space to_x000D_
explain where genuinely new capabilities might open up.  Does stoshastic_x000D_
optimization address a class of real-world problems for which existing_x000D_
techniques aren't even close to being useful?  The PIs don't make this clear._x000D_
From this point of view, High-level Goal 4 and the paragraph preceding it are a_x000D_
highlight of the proposal._x000D_
_x000D_
There is one problem I agree is important in practice, namely load balancing_x000D_
(scheduling).  On the other hand, is there much demand from real-world_x000D_
applications for solutions to traveling salesman problems or its variants?_x000D_
I doubt it.  What about knapsack cover?  I imagine it's probably used by_x000D_
somebody, but the PIs don't tell us.  What about matchings?  Unsplittable flow?_x000D_
Even for the plainly important problem of load balancing, I would like the PIs_x000D_
to tell us about the current state of load balancing--are the algorithms used_x000D_
in practice sufficient for most applications, or are there clear deficiencies?_x000D_
Is there real demand for solutions to the adaptive or non-adaptive stochastic_x000D_
versions of the problem?  Why is it important to make further progress on these_x000D_
problems?  The context is missing.  Perhaps I'm underestimating the importance_x000D_
of these problems, but the proposal doesn't even *try* to make a case for them._x000D_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Some of their_x000D_
undergrads have published in top conferences, which adds credibility to their_x000D_
stated intention to continue mentoring undergrads in research.  The PIs discuss_x000D_
four of their female students (two current PhD, one undergrad, one now a_x000D_
faculty member at Southwestern) and their intention to "take a proactive_x000D_
stance" to attract more._x000D_
_x000D_
More unusually, both PIs have participated in outreach to high school students._x000D_
In particular, Gupta is a regular participant in CMU's ongoing "Andrew's Leap"_x000D_
summer program._x000D_
_x000D_
The PIs propose to hold a reunion workshop, following up on a Simons Institute_x000D_
program on "Algorithms and Uncertainty" that Gupta co-organized and Nagarajan_x000D_
attended, which led to the present proposal._x000D_
_x000D_
The proposal fails to explain whether the intellectual output of the proposed_x000D_
work itself has the potential to "benefit society", as I explained above in my_x000D_
remarks on the lack of a Big Picture._x000D_
_x000D_
The PIs say in the "Broader Impacts" section that they will "leverage their_x000D_
industry contacts" to "test some of the resulting algorithms on real data," but_x000D_
give no further details or substantiation.  This exposes a gap in the proposal:_x000D_
exactly what sort of "real data" would serve as input to the algorithms the PIs_x000D_
propose?  Does IBM have a bunch of adaptive min-makespan TSP problems just_x000D_
ready to go?  In my opinion, this declaration just deepens the mystery of how_x000D_
the PIs think their proposal relates to real-world applications, and it_x000D_
increases my frustration that the authors have neglected the Big Picture parts_x000D_
of the proposal._x000D_
_x000D_
The PIs promise "to establish new connections between CS theory and ..._x000D_
operations research, machine learning and queuing theory," but unfortunately,_x000D_
they don't elaborate.  Next time, I hope the PIs will write a paragraph or_x000D_
three backing up this assertion._x000D_
_x000D_
_x000D_
Please evaluate the strengths and _x000D_
weaknesses of the proposal with respect to any additional solicitation-specific review criteria, if _x000D_
applicable_x000D_
_x000D_
_x000D_
_x000D_
Summary Statement_x000D_
_x000D_
A well-written proposal with some good ideas about how to address uncertainty_x000D_
(e.g., stochastic inputs) in classic combinatorial optimization problems._x000D_
However, I have difficulty evaluating this proposal because of its failure to_x000D_
explain the context, importance, or potential impact of the proposed research_x000D_
on either our understanding of theoretical computer science or on any practical_x000D_
applications.  The most important part of the proposal, what I call "The Big_x000D_
Picture", is entirely absent; therefore, I cannot recommend funding.  The_x000D_
"Broader Impacts" are average among proposals of this type._x000D_
_x000D_
_x000D_
</t>
  </si>
  <si>
    <t>SH0521864</t>
  </si>
  <si>
    <t>Shmoys</t>
  </si>
  <si>
    <t>shmoys@cs.cornell.edu</t>
  </si>
  <si>
    <t xml:space="preserve">In the context of the five review elements, please _x000D_
evaluate the strengths and weaknesses of the proposal with respect to intellectual merit._x000D_
_x000D_
This proposal continues a line of research for which the first PI has played a leading role over the past decade or so in the study of discrete optimization problems with stochastic elements from the perspective of the worst-case analysis of approximation algorithms. For example, they aim to extend classic results of Kleinberg, Rabani, and Tardos of load balancing of stochastic jobs (where the probability distribution of processing requirements is known before scheduling, but the actual time is known only after scheduling) on identical parallel machines to unrelated parallel machines. Both the min-max load (L_inf) and other norms are proposed. The proposal claims that progress on machines that run at different speeds has been made, but details of this are not given. There is a substantial list of interesting questions proposed - the strength of configuration LPs in such stochastic settings, the role of Sherali-Adams-type stronger relaxations,  and the role of adaptive settings for the power of the algorithms. Finally, the proposal also discusses setting in which the underlying distribution is not known, but the algorithm learns over time - the prototypical example for this proposal is a scheduling algorithm where the jobs are of known different types, each with a different known distribution, and the algorithm learns the distribution by scheduling jobs of that type. There were small sample results innovated by the PI, and it would be extremely interesting to find other settings where comparably strong results could be obtained. For each setting, the PI's give a rough outline of the types of techniques to be employed with few insights given explicitly, and in several cases, preliminary results are stated. Given the strength of the PI's it seems likely that they will make substantial, interesting progress in these directions, and will have the resources (both infrastructure and personnel - i.e., PhD students) to carry out the proposed activities. Overall, the intellectual merit of the proposal is very good._x000D_
_x000D_
It would have been helpful if in a few more of the example initial programs to be investigated more substance of the proposed algorithmic new ideas were given, or the conjectured mathematical structure whose proof could drive the analysis._x000D_
_x000D_
_x000D_
_x000D_
In the context of the five review elements, please _x000D_
evaluate the strengths and weaknesses of the proposal with respect to broader impacts._x000D_
_x000D_
The proposal also is very good in terms of its broader impact efforts. The first PI has an excellent track record of mentoring students at all levels, and this is an important contribution since the need for well-educated students in this domain is critical.  These problems arise in a number  of significant domains that have the industrial implications. They have also proposed interesting curricular design in incorporating many of the themes of this proposal in new classes._x000D_
_x000D_
Please evaluate the strengths and _x000D_
weaknesses of the proposal with respect to any additional solicitation-specific review criteria, if _x000D_
applicable_x000D_
_x000D_
_x000D_
_x000D_
Summary Statement_x000D_
_x000D_
This is a very good proposal with respect to both intellectual merit and broader impact that outlines work, which if successful, would be of high impact and significant for the algorithms community. The level of detail of initial ideas for attaining these results, while not absent, is perhaps not as detailed as would make this proposal truly excellent._x000D_
_x000D_
</t>
  </si>
  <si>
    <t>HZ1008453</t>
  </si>
  <si>
    <t>Subramani</t>
  </si>
  <si>
    <t>k.subramani@mail.wvu.edu</t>
  </si>
  <si>
    <t xml:space="preserve">In the context of the five review elements, please _x000D_
evaluate the strengths and weaknesses of the proposal with respect to intellectual merit._x000D_
_x000D_
_x000D_
This proposal is concerned with combinatorial optimization for _x000D_
uncertain inputs._x000D_
This line of research is extremely important, since traditional_x000D_
analysis of algorithms assumes fixed, immutable data, whereas in_x000D_
real-world situations, measurement of problem parameters is at_x000D_
best an art and almost never a science._x000D_
Consequently, decisions about optimality need to be made in _x000D_
uncertain environments._x000D_
The literaure documents several approaches to dealing with uncertainty, including, but not limited to:_x000D_
(a) Sensitivity analysis, (b) Robust Optimization, (c) Quantified Linear and Integer Programming, (d) Tolerance-based approaches and_x000D_
(e) Stochastic optimization._x000D_
_x000D_
The PIs have chosen (e) as their approach. They have identified nine high-level goals and several marquee problems such as "Load balancing in unrelated machines", "Minimum Makespan TSP" and so on, wherein they will study approximation algorithms in non-traditional settings._x000D_
_x000D_
They have a clear plan on how to approach the problems and they are clearly well-qualified with a tremendous track record. They have adequate resources in their respective Universities to carry out their plans._x000D_
_x000D_
The ideas and concepts are creative and original._x000D_
_x000D_
In the context of the five review elements, please _x000D_
evaluate the strengths and weaknesses of the proposal with respect to broader impacts._x000D_
_x000D_
_x000D_
The PIs have identified six avenues by which the impact of their work will impact society broadly and positively. Some of these avenues are pretty standard, while others such as reaching out to high school _x000D_
students are novel._x000D_
_x000D_
Their plans to achieve this impact are clear and well thought out._x000D_
They have a large number of established collaborators and through this proposal should be able to enhance the visibility of this work._x000D_
_x000D_
Please evaluate the strengths and _x000D_
weaknesses of the proposal with respect to any additional solicitation-specific review criteria, if _x000D_
applicable_x000D_
_x000D_
There are many strengths and no weaknesses._x000D_
_x000D_
Summary Statement_x000D_
_x000D_
Very good proposal._x000D_
_x000D_
</t>
  </si>
  <si>
    <t>This proposal seeks to design provably-good algorithms for the setting with uncertainty in the inputs. In particular suppose the data are stochastic and drawn from a probability distribution. Hence decisions must be made with stochastic knowledge about the future, but without precise knowledge of the input. This line of work, called stochastic optimization, has seen much activity in the past decade. Indeed, the lens of theoretical computer science has given rise to models and techniques, and a focus on algorithms with provable worst-case bounds._x000D_
_x000D_
Building on this momentum and interest, this proposal seeks to attack basic problems in scheduling, path-planning and routing, packing and covering, submodular maximization, and other domains in the stochastic setting. Moreover, the proposal intends to broaden the scope of investigation, and study questions where we have to learn the underlying probability distributions in addition to solving the optimization problems. Another direction of study is to consider settings with temporal correlations, where we problems modeled by multi-armed bandits._x000D_
_x000D_
Key Words: Approximation Algorithms; Stochastic Optimization; Optimization under Uncertainty; Multi-armed Bandits; Adaptivity Gap; Machine Learning.The proposed research includes both fundamental optimization problems in the stochastic setting, and also new directions for research. We group the questions under the following three loose categories:_x000D_
_x000D_
- To better understand the power of adaptive and non-adaptive algorithms in the stochastic setting. To solve basic problems in scheduling, path-planning and routing, submodular maximization, etc. in this setting. To develop new techniques to solve such problems, extending the body of knowledge for non-stochastic settings._x000D_
_x000D_
- To develop algorithms that learn the underlying probability distribution well enough to solve the optimization problem of interest. To understand the right trade-offs between the goal of learning the distribution very closely, and the marginal increase in the performance of the underlying optimization problem? To develop robust algorithms that can deal with the errors in learning?_x000D_
_x000D_
- To give algorithms that go beyond the usual assumptions of independence, and can cope with temporal correlations. To develop further techniques for combinatorial problems modeled using multi-armed bandits, and other Markov models._x000D_
_x000D_
The focus of the proposal is on substantially expanding the current algorithmic toolkit for stochastic combinatorial optimization problems, on developing and exploring the right models and the right algorithms, and to give tight robust analyses for these settings.The study of stochastic optimization in the theoretical computer science community can help bring together communities in computer science with those in operations research, stochastic control, and machine learning, with contributions and results crossing traditional area boundaries. The proposed research aims to extend and deepen such connections, and perhaps even forge connections with communities such as applied probability or queueing theory.  An important part of the research plan is the educational component, in particular the engagement of undergraduate students and women in research. Development of a new course highlighting the classical and modern developments in stochastic optimization will train graduate students and postdoctoral associates.</t>
  </si>
  <si>
    <t>1763258</t>
  </si>
  <si>
    <t>Goodrich</t>
  </si>
  <si>
    <t xml:space="preserve"> Panel Summary       
 SUMMARY OF PROPOSED RESEARCH ACTIVITY_x000D_
_x000D_
Description : _x000D_
_x000D_
A proposal describing a variety of research areas related to geographic regions and transportation networks.  These include finding k-best solutions, transportation optimization using dynamic programming, stable-matching Voronoi diagrams with applications to redistricting, dynamic graph algorithms including estimating statistics describing the graph and nearest neighbors, and visualization, including optimizing arc diagrams, non-realistic graph layout, and convergence diagrams as well as circle diagrams. _x000D_
_x000D_
INTELLECTUAL MERIT_x000D_
_x000D_
Strengths_x000D_
_x000D_
+ Strong group of PIs, including great experience in algorithmic foundations and a collaboration with a practitioner in transportation networks._x000D_
+ The definition of stable-matching Voronoi diagrams is new and interesting._x000D_
_x000D_
Weaknesses_x000D_
_x000D_
- The references don't match the citations, and many references seem missing. This made it impossible for panelists to look at prior and preliminary work._x000D_
- The panel did not see a strong idea integrating the research program, for instance not all of the problems seemed to be related to real-world networks._x000D_
- Goldwasser's hub labeling algorithms seem relevant to this class of graphs, and it would be good to compare that line of research to the proposed work.  _x000D_
- The collaboration between the theoretical and the transportation researchers could be better developed in the proposal._x000D_
_x000D_
BROADER IMPACTS_x000D_
_x000D_
_x000D_
Strengths_x000D_
_x000D_
+ The PIs have a good track record of mentoring students who go on to research careers._x000D_
+ PI Regan's iSTART grant would have good synergy with this program._x000D_
+ The focus is on applicable problems. _x000D_
_x000D_
_x000D_
Weaknesses_x000D_
_x000D_
- No distinctive broader impacts as one would like in a Medium._x000D_
_x000D_
 _x000D_
_x000D_
ADDITIONAL REMARKS_x000D_
_x000D_
_x000D_
Collaboration plan: OK._x000D_
_x000D_
Data Management Plan: Releasing software is excellent. It is not clear why it might only be available for three years. _x000D_
_x000D_
Results of prior support:  OK._x000D_
_x000D_
 _x000D_
_x000D_
Suggestions to PI(s): _x000D_
_x000D_
- Obviously, be careful about making sure the references are correct. _x000D_
- It would be good to lay out some specific conjectures, eg. what one intends to prove about stable-matching Voronoi diagrams._x000D_
_x000D_
 _x000D_
_x000D_
Justification for Panel Rating:  The main reasons for the LC rating are the lack of a strong integrating idea, although many of the individual ideas are appealing. _x000D_
_x000D_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</si>
  <si>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Algorithms for Real-World Networks_x000D_
_x000D_
L: 1763258 Goodrich, Michael U of Cal Irvine $ 1,199,544_x000D_
_x000D_
_x000D_
P180637 LC AF Medium Panel /  Dec 11-12 (9 panelists),_x000B_  on 12/12/2017, recommended as Low Competitive (V,V/G,G,G)_x000D_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</si>
  <si>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ZP0793383</t>
  </si>
  <si>
    <t>Amenta</t>
  </si>
  <si>
    <t>amenta@cs.ucdavis.edu</t>
  </si>
  <si>
    <t xml:space="preserve">In the context of the five review elements, please _x000D_
evaluate the strengths and weaknesses of the proposal with respect to intellectual merit._x000D_
_x000D_
The work here concerns graph algorithms in realistic models.  Two of the PIs are extremely prolific researchers in graph algorithms, and the third has a joint appointment in transportation engineering.  It lists a large collection of possible research directions, which, given the PIs track record, may well largely get done._x000D_
_x000D_
There is a brief discussion of finding the k-best solutions to a problem such as shortest path. There is a section on transportation optimization from the applications viewpoint. There is a section on "stable-matching Voronoi diagrams" which is a way of formalizing the idea of matching geographic/transportation distance points to centers, eg. for redistricting. There is a section on dynamic graph algorithms including estimating statistics describing the graph and nearest neighbors. Finally there is a section on visualization, including optimizing arc diagrams, non-realistic graph layout, and convergence diagrams.  A section on representing graphs by circle diagrams is not super-convincing as a visualization technique but possibly as a tool for algorithmic design. _x000D_
_x000D_
Strengths:_x000D_
_x000D_
- The connection to transportation optimization problems in Section 2.2.  Scaling up these computations using some sophisticated algorithmic techniques seems like a great idea. Many of these rely on dynamic programming, and PI Eppstein has some background in speeding up DP in special cases. _x000D_
_x000D_
- An approach to automated redistricting.  This seems novel, and the fact that it can use the road graph network as a distance measure is helpful; population centers connected along a highway is sometimes a reasonable way to draw a district, not handled by simple measures like compactness.  _x000D_
_x000D_
- The work on enumeration statistics for dynamic graphs uses some interesting algorithmic techniques. _x000D_
_x000D_
- The three proposed visualization algorithms all sound useful._x000D_
_x000D_
- Modeling geographic graphs using circle graphs provides some deep structure to sparse graphs that are not quite planar; this is a stronger idea than 'planar graph with a few minor exceptions' and it won a best-paper award at Sigspatial 2008.  _x000D_
_x000D_
Weaknesses:_x000D_
_x000D_
- The proposed collaboration does not seem to have any preliminary work, although there is great potential. _x000D_
_x000D_
- There could be more connection to real-world situations in the redistricting work; this probably goes without saying, but the PIs should attend the California Gerrymandr conference and possibly contact the organizers now to get involved more deeply. _x000D_
_x000D_
- The proposal is a bit hurried and the references are mis-numbered, so that I cannot look anything up. The introduction is not as connected to the actual work proposed as one might want. _x000D_
_x000D_
- The work on electric vehicles might be a lot more meaningful in the context of EV fleets, and even self-driving EV fleets, where centralized planning of rides and charging is possible._x000D_
_x000D_
- The dynamic graph enumeration algorithms could use more context and motivation. _x000D_
_x000D_
- The visualization section needs a lot more pictures, even small ones that the reader could zoom into.  Which reminds me, some of these ideas might be very interesting in the context of interactive visualization, where a rough picture (e.g. confluence diagram) of the whole network could resolve to more detailed full-graph versions as you soon in). Some more sophisticated implementations, with a designer, might be great undergrad projects. _x000D_
_x000D_
- Visualizing via circle ply covers is unconvincing, at least in Figure 3._x000D_
_x000D_
In the context of the five review elements, please _x000D_
evaluate the strengths and weaknesses of the proposal with respect to broader impacts._x000D_
_x000D_
- Engagement with freshman education is a plus.  _x000D_
- The PIs have a great track record of undergrads going on to research careers. _x000D_
- PI Regan's iSTART project will have good synergy with this one. _x000D_
_x000D_
_x000D_
Please evaluate the strengths and _x000D_
weaknesses of the proposal with respect to any additional solicitation-specific review criteria, if _x000D_
applicable_x000D_
_x000D_
_x000D_
_x000D_
Summary Statement_x000D_
_x000D_
This is a strong proposal from established researchers.  Good work, relevant to actual computational problems, will most likely get done._x000D_
_x000D_
</t>
  </si>
  <si>
    <t>TK1008452</t>
  </si>
  <si>
    <t>gkatz@drexel.edu</t>
  </si>
  <si>
    <t xml:space="preserve">In the context of the five review elements, please _x000D_
evaluate the strengths and weaknesses of the proposal with respect to intellectual merit._x000D_
_x000D_
This proposal focuses on algorithms for problems related to networks. These proposed problems take many different forms, from combinatorial optimization to vizualization. The suggested unifying theme that sets this proposal apart from previous work is the concentration on "real-world networks" which, unlike worst-case networks, may satisfy structural properties which enable the design of improved algorithms. _x000D_
_x000D_
On the positive side, the PIs clearly state the set of problems that they plan to focus on, and they do appear to be well-equipped to make progress on these problems. Also, most of the problems do sound interesting._x000D_
_x000D_
On the negative side, the proposal is somewhat weak when it comes to motivating the problems that it focuses on and the collection of problems is not as coherent or closely related as one would hope. Given the wide variety of problems proposed, a large portion of the proposal is dedicated to defining specific problem variations rather than providing the necessary motivation regarding why these problems are worth studying or how the PIs will attack them. Furthermore, some of the problems appear to not fit under the "real-world networks" theme, since the proposal suggests extension of previous results rather than a focus on parameterization._x000D_
_x000D_
On a more technical level, evaluating this proposal is harder because many (if not all) of its citations are broken (e.g., Page 3, [142] and Page 5 [10, 47-50]). The numbers in the citations do not appear to be pointing to the right references, so I could not understand what prior work they were referring to with these citations._x000D_
_x000D_
_x000D_
In the context of the five review elements, please _x000D_
evaluate the strengths and weaknesses of the proposal with respect to broader impacts._x000D_
_x000D_
The broader impacts of this proposal are quite reasonable. The proposed work could have an impact on our theoretical understanding of some interesting problems and, for some of these problems, this could also lead to some impact in industry in the long turn. It is unlikely, however, that any of these problems would lead to tranformative concepts or results._x000D_
_x000D_
_x000D_
Please evaluate the strengths and _x000D_
weaknesses of the proposal with respect to any additional solicitation-specific review criteria, if _x000D_
applicable_x000D_
_x000D_
_x000D_
_x000D_
Summary Statement_x000D_
_x000D_
This is an interesting set of problems loosely connected to each other. The proposal provides partial motivation for studying these problems and some high level ideas regarding how to approach them. The proposal, overall, was pleasant to read but not really compelling._x000D_
_x000D_
_x000D_
</t>
  </si>
  <si>
    <t>SB1008450</t>
  </si>
  <si>
    <t>Halldorsson</t>
  </si>
  <si>
    <t>mmh@ru.is</t>
  </si>
  <si>
    <t xml:space="preserve">In the context of the five review elements, please _x000D_
evaluate the strengths and weaknesses of the proposal with respect to intellectual merit._x000D_
_x000D_
The PIs will investigate graphs that occur "in the wild", especially in road and transportation networks and social networks._x000D_
They will develop combinatorial algorithms, dynamic data structures, and visualizations of these graphs, and analyzing them in terms of relevant graph parameters. They propose numerous topics, many based on their previous successful properties/algorithms/characterizations. These include: k-best shortest paths, transportation network design, management of electric vehicles, stable matchings in facility location, dynamic nearest neighbors, clique and subgraph enumeration and various visualization algorithms (3darc digraphs, confluent drawings) and modeling algorithms. _x000D_
_x000D_
The proposed topics are all well defined and scientifically valuable. _x000D_
_x000D_
The first two PIs have collaborated extensively for decades (producing over 50 joint works), and their recent related NSF grants have seen prodigious output. They are also among the most established authorities on the topics in question. Thus, it can be taken for granted that the results of the project would be essentially guaranteed to be substantial._x000D_
_x000D_
There is one major technical mistake in the proposal: the bibliography supplied does not match the citations, indeed has 100 references less than are cited._x000D_
_x000D_
There are no major scientific weaknesses in the proposal. It could be said to involve somewhat disparate collection of topics; that although they share the common theme of algorithms in real-life networks, there is no overarching grand problem. _x000D_
_x000D_
_x000D_
In the context of the five review elements, please _x000D_
evaluate the strengths and weaknesses of the proposal with respect to broader impacts._x000D_
_x000D_
Many of the project topics have immediate relevance to problems of society, whether involving coordinated charging of electric vehicles, political districting, or finding multiple near-shortest paths as input to decision support systems. _x000D_
_x000D_
Significant part of the project is intended to involve real-world networks, especially road and transportation networks. The third PI brings a strong background in transportation science, in additional to algorithmic foundations, which makes these planned efforts convincing._x000D_
_x000D_
_x000D_
Please evaluate the strengths and _x000D_
weaknesses of the proposal with respect to any additional solicitation-specific review criteria, if _x000D_
applicable_x000D_
_x000D_
The applicants offer a convincing plans for broadening participation of under-represented groups, and the application of the work in curriculum development._x000D_
_x000D_
_x000D_
Summary Statement_x000D_
_x000D_
Close-knit team with established record of strong collaboration. Problems of both scientific interest and relevance to societal issues._x000D_
_x000D_
_x000D_
</t>
  </si>
  <si>
    <t xml:space="preserve">In the context of the five review elements, please _x000D_
evaluate the strengths and weaknesses of the proposal with respect to intellectual merit._x000D_
_x000D_
This proposal outlines a number of interesting special cases of network optimization problems, particularly focused on those relevant for transportation problems, where the "special case" arises by adding special structure that is applicable to road networks and similarly practical applications. The specific optimization problems outlined are interesting, but not particularly innovative - e.g., the framework of network design problems dates back to the work of Magnanti and Wang from the late 70's. The proposal is mostly a list of potential problems to work on, without giving much insight into initial ideas for attacking them, nor preliminary results that were recently obtained by the PI's that are relevant. (And in the cases that some mention of such recent results is made, they are quite negatively impacted by the fact that the proposal seems to have included an entirely differently set of references. Even when papers are cited with specific lead authors, there is no paper in the references at all with that author, let alone having the reference match the numeric reference. This makes evaluating the intellectual merit of this proposal extremely difficult. The management of electric vehicles problems do seem like a particularly relevant problem to attack at this point in time. Furthermore, the stable Voronoi diagram is also a novel new area of study, but beyond direct separator based methods, there is not much to understand the new algorithmic directions that the PIs intend to pursue. There is a short section on dynamic data structures - where a very brief description is given to several recent lines of work of the PIs (though again due to the references it is impossible to know the papers containing this work); the main thrust of the proposed work is to understand how these algorithms can be specialized to the classes of graphs highlighted for the proposal with specific structure (but with no specifics about new ideas that will be needed to carry this out). Work of similar characteristics is then outlined with respect to their recent work on the visualization algorithms._x000D_
_x000D_
The PIs have a strong track record of research that has been of high impact, and it seems likely that there are sufficient resources provided for supporting this work._x000D_
_x000D_
In the context of the five review elements, please _x000D_
evaluate the strengths and weaknesses of the proposal with respect to broader impacts._x000D_
_x000D_
The problems being proposed of are great relevance to the emergence of new technologies that will have significant impact on the US economy.  The PIs have a good track record of training students, and in particular, students from under-represented groups. The curricular developments outlined are of definite interest._x000D_
_x000D_
Please evaluate the strengths and _x000D_
weaknesses of the proposal with respect to any additional solicitation-specific review criteria, if _x000D_
applicable_x000D_
_x000D_
_x000D_
_x000D_
Summary Statement_x000D_
_x000D_
This is a good proposal that would have benefited from a more detailed discussion of the interface between previous contributions of the PIs and the novel ideas needed to take initial steps for the new work, and is in an area of great potential._x000D_
_x000D_
</t>
  </si>
  <si>
    <t>1763307</t>
  </si>
  <si>
    <t>ROTH</t>
  </si>
  <si>
    <t xml:space="preserve"> Panel Summary       
 SUMMARY OF PROPOSED RESEARCH ACTIVITY_x000D_
_x000D_
This proposal introduces fairness considerations into the process of data analysis. Its goal is to understand i) the extent to which automated learning algorithms can lead to the unfair treatment of individuals or groups, ii) the reasons that give rise to these types of unfairness, and iii) the ways in which unfairness can be mitigated or traded-off with other objectives such as accuracy. The PIs provide a compelling motivation for this research direction, explaining how, in many settings, simple learning algorithms could indeed naturally end up mistreating specific groups of individuals: examples of such settings include the algorithms that may decide which individuals a bank should trust with a loan, or predicting which prisoners, if released, would not go on to commit another crime. _x000D_
_x000D_
Although the algorithm may not be using race or gender as a feature, its decision may end up depending on proxies for these attributes, essentially leading to a "racist" or "sexist" classifier. The proposal defines notions of group-fairness and individual-fairness, and it identifies classes of issues that may arise in the process of both gathering and then using the learning data. Given these fairness notions and the different sources of unfairness the proposal asks a sequence of interesting questions regarding the impact of each source to fairness and the ways to limit it. To attack this problem the PIs plan to use their background in learning algorithms as well as game theory._x000D_
_x000D_
_x000D_
INTELLECTUAL MERIT_x000D_
_x000D_
The proposal is well-structured and pleasing to read. Most of the panel thought that the questions raised and the directions toward solving them that are listed in the proposal are very timely and interesting. On the other hand, some panelists thought that the proposal was lacking in terms of technical innovation. Also, there were some concerns that the learning algorithm abstractions used in this proposal may not represent the algorithms used in practice very closely. The proposed model is, however, a very reasonable first step toward understanding the trade-offs that arise in this domain. An important strength of the proposal is the fact that the group of PIs comprises diverse backgrounds (both computer science and economics) that fits very well with the proposed problems. Three of the PIs are faculty at Penn and one of the PIs is faculty at Rice and this group has successfully collaborated in the past, leading to multiple publications._x000D_
_x000D_
Strengths_x000D_
+ Most of the panel thought that the problems proposed are very well motivated and timely_x000D_
+ The proposal is well-structured and the problems are clearly motivated and stated_x000D_
+ The PIs have strong and diverse expertise in learning, algorithms, and economics, all of which are closely related to the proposed problems and, as a group, they are very well positioned to attack the proposed problems_x000D_
_x000D_
Weaknesses_x000D_
- Some panelists thought that the proposed problems would not introduce new techniques or lead to major transformative ideas, and hence that the proposal is not very innovative_x000D_
- The model proposed may not necessarily capture the details of learning algorithms used in practice_x000D_
_x000D_
_x000D_
BROADER IMPACTS_x000D_
_x000D_
Among the broader impact contributions of this work, the one that stood out was the strong record of the PIs in disseminating their results through both books and workshops. Apart from the workshops related to the topic of this proposal that the PIs have organized in the past, they also plan to regularly organize analogous workshops in the future. It is worth noting that these workshops have brought and will bring together scientists from a really wide range of disciplines, from computer science and economics to law and criminology._x000D_
_x000D_
Strengths_x000D_
+ Outreach through workshops and books that disseminate the results related to this research_x000D_
+ Bringing together scientists from a very wide range of backgrounds_x000D_
 _x000D_
 _x000D_
ADDITIONAL REMARKS_x000D_
_x000D_
This proposal has its roots in a number of developments in algorithmic foundations that the PI has been at the forefront, mainly in the area of differential privacy, but by moving to address questions of fairness is opening up a substantial new direction. _x000D_
_x000D_
Collaboration plan: Most of the PIs are located on the same campus (Penn), which makes collaboration among them and co-supervising of their PhD students straightforward. PI Pai, who is located at Rice will have weekly meetings with the rest via Skype, and the students on each campus will have the opportunity to spend time on the other campus as well, thus giving all the students the opportunity to interact with all the PIs. The PIs have an existing record of successfully collaborating with each other._x000D_
_x000D_
_x000D_
Data Management Plan: This section adequately explains how the experimental data, the software, and the theoretical results will be made available._x000D_
Results of prior support:  The results of prior work are clearly stated._x000D_
 _x000D_
Suggestions to PI(s): The proposal would definitely be even stronger if the PIs could at least briefly discuss what, if any, novel mathematical techniques or tools their work may lead to. More importantly, a stronger justification of the model and why we should believe that this model provides a reasonable abstraction would be great._x000D_
Also, one minor issue is that some parts of the proposal may need to be brought up to date. For instance, some of the PIs' recent papers in the bibliography are listed as unpublished and the proposal even refers to one of them by saying "appearing at NIPS 2016"._x000D_
_x000D_
Justification for Panel Rating: This proposal puts forth a very important problem that is definitely worth studying in more detail, and the set of PIs is very well positioned for providing solutions toward that direction._x000D_
_x000D_
Panel Rating: 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</si>
  <si>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main set of questions that this proposal aims to tackle revolve around the extent to which fairness is, or could be, guaranteed in settings where automated decisions are reached using automated learning algorithms. The PIs provide a compelling sequence of arguments regarding why lack of fairness can arise in such settings and how it can then be reinforced by commonly used machine learning frameworks. They break the types of issues that may give rise to such unfairness down into four categories, and they propose how to attack or analyze each such type of issue._x000D_
_x000D_
The causes of unfairness in learning begin with the data gathering process, which the PIs model using a bandit setting and propose to study the trade-off between fairness and speed of the learning process. The second focus is on the myopic nature of the decision maker and the regret bounds that can be achieved by such myopic agents via perturbation or via payments. The PIs conclude by concentrating on the impact of economic incentives as well as the computational complexity in the absence of incentives or other frictions._x000D_
_x000D_
The problem is  very well motivated and timely, and the proposal is well-structured in terms of explaining the types of problems that may arise and motivating why more research should be dedicated to understanding the fairness implications and limitations of learning processes. The specific problems that they propose to study are interesting, but not as compelling, so I would not really expect this project to provide any transformative concepts but, rather, extended solutions to questions that may have already been approached in prior work. One concern is that the results may be a bit too stylized and have only a loose connection with the real world learning processes, but this is to some extent understandable given that the proposal is seeking purely theoretical results._x000D_
_x000D_
The PIs are well equipped to conduct research on these questions as they have relevant and interdisciplinary backgrounds, multiple successful collaborations among them in the past, and some preliminary results along the lines of the proposal as well._x000D_
_x000D_
_x000D_
In the context of the five review elements, please _x000D_
evaluate the strengths and weaknesses of the proposal with respect to broader impacts._x000D_
_x000D_
The main product of the proposed research would be a better understanding of the impact that learning algorithms may have on fairness, and the extent to which this can be mitigated via appropriate interventions or modifications. Ideally, this understanding could lead to algorithmic and policy recommendations that reduce the unfair treatment of protected groups, which is a real problem. The fact that some of the models and problems proposed are somewhat stylized could limit the chance that such an impact does materialize though. _x000D_
_x000D_
The PIs do have a good track record of disseminating their work either through books or through workshops. This can definitely be helpful for raising awareness about these problems, and for  building interdisciplinary bridges in an attempt to better understand them and ultimately solve them._x000D_
_x000D_
_x000D_
Please evaluate the strengths and _x000D_
weaknesses of the proposal with respect to any additional solicitation-specific review criteria, if _x000D_
applicable_x000D_
_x000D_
_x000D_
_x000D_
Summary Statement_x000D_
_x000D_
This proposal focuses on a well-motivated problem and it does a good job motivating it. The models and the problems that the proposal focuses on may be a bit too detached from the real world but, given the importance of the problem, developing a deeper understanding of these questions may still be a worthy investment._x000D_
_x000D_
</t>
  </si>
  <si>
    <t xml:space="preserve">In the context of the five review elements, please _x000D_
evaluate the strengths and weaknesses of the proposal with respect to intellectual merit._x000D_
_x000D_
The proposal deals with fairness to individual and to subgroups, when performing data analysis. It is observed that lack of fairness can occur for several reasons: feedback loops in the operation of the algorithm (involving the balance of exploration and exploitation); optimization of short-term interests; economic frictions, involving lack of exploration in subgroups; and the computational complexity of checking fairness. _x000D_
_x000D_
The proposal details plans to address all the listed reasons for lack of fairness, with explicit subgoals or tasks. _x000D_
_x000D_
The applicants form an interdisciplinary team with strong expertise in learning, algorithms, and mechanism design &amp; economics. They have published many of the previous results and are highly likely to be successful in this project._x000D_
_x000D_
_x000D_
In the context of the five review elements, please _x000D_
evaluate the strengths and weaknesses of the proposal with respect to broader impacts._x000D_
_x000D_
Fairness is clearly a topic of importance to society as a whole. Integration into curriculum and interdisciplinary workshops are also planned. _x000D_
_x000D_
_x000D_
_x000D_
Please evaluate the strengths and _x000D_
weaknesses of the proposal with respect to any additional solicitation-specific review criteria, if _x000D_
applicable_x000D_
_x000D_
_x000D_
_x000D_
Summary Statement_x000D_
_x000D_
Fairness in data analysis is a topic of general importance. Thoroughly outlined plan for tackling the different forms of unfairness, involving an interdisciplinary team that has developed many of the state of the art results._x000D_
_x000D_
_x000D_
</t>
  </si>
  <si>
    <t>KE0804557</t>
  </si>
  <si>
    <t>periklis.research@gmail.com</t>
  </si>
  <si>
    <t xml:space="preserve">In the context of the five review elements, please _x000D_
evaluate the strengths and weaknesses of the proposal with respect to intellectual merit._x000D_
_x000D_
This is a very good proposal. It addresses an important practical issue: classification is aiming to classify individuals but fairness is an attribute of the population. This has applications to e.g. intelligent policing. The proposal and the preliminary work are all great. I failed to see if there are any new techniques or major transformative ideas that this research will put forth._x000D_
_x000D_
In the context of the five review elements, please _x000D_
evaluate the strengths and weaknesses of the proposal with respect to broader impacts._x000D_
_x000D_
+ PIs have excellent research track record and are very well suited for carrying out this research_x000D_
_x000D_
+ very well articulated proposal (also excellent presentation)_x000D_
_x000D_
+ very good broader impact and outreach plan_x000D_
_x000D_
- possibly, not very innovative_x000D_
_x000D_
Please evaluate the strengths and _x000D_
weaknesses of the proposal with respect to any additional solicitation-specific review criteria, if _x000D_
applicable_x000D_
_x000D_
_x000D_
_x000D_
Summary Statement_x000D_
_x000D_
I like the idea very much. I believe this proposal should be funded but should be prioritized as appropriate._x000D_
_x000D_
</t>
  </si>
  <si>
    <t xml:space="preserve">In the context of the five review elements, please _x000D_
evaluate the strengths and weaknesses of the proposal with respect to intellectual merit._x000D_
_x000D_
This proposal delves into a number of fundamental questions regarding the design of algorithms in classification and to a lesser extent allocation questions with the goal of achieving notions of both statistical and individual fairness (as well as tradeoffs between efficiency and fairness that can be achieved). These are increasingly important areas for both theoretical research and practical impact. _x000D_
The main thesis of this proposal is that although an equilibrium-style argument would imply that the market will still ultimately mitigate the need for such tools, there are frictions in the market the consequence of which makes such algorithmic guarantees necessary. Perhaps the most interesting element in the proposal is the section on contextual bandits, and the understanding that previous work relies on a "realizability" assumption which would very important to relax (while still being able to obtain diminishing regret while guaranteeing statistical fairness). There is also a section devoted to myopic friction for which there is a very nice preliminary result that introduces smoothed analysis to this context, and poses questions of extending this, as well as a number of questions in using incentives and comparing the relative costs to overcome the short-sightedness from both statistical and individual notions (again from a bandit-style perspective)._x000D_
_x000D_
In the context of the five review elements, please _x000D_
evaluate the strengths and weaknesses of the proposal with respect to broader impacts._x000D_
_x000D_
This proposal in an area of critical national need. Algorithmic tools are being used for critical decision-making and issues of fairness are of foremost importance. These are important both at an operations and a policy level of impact in a range of societal settings. Furthermore, the Pis proposed to integrate this area into undergraduate teaching, where the next generation of policy implementers are currently being educated._x000D_
_x000D_
Please evaluate the strengths and _x000D_
weaknesses of the proposal with respect to any additional solicitation-specific review criteria, if _x000D_
applicable_x000D_
_x000D_
_x000D_
_x000D_
Summary Statement_x000D_
_x000D_
This a very interesting proposal, both from a technical perspective and from its broader impact beyond computer science research._x000D_
_x000D_
</t>
  </si>
  <si>
    <t>A tremendous amount of research and development  in computer science is devoted to automating decision making, and ideally improving  economic and social efficiency. Automated decisions now inform whether we are approved for credit cards, receive mortgages, are shortlisted for job interviews, whether prisoners are released on bail, what advertisements we are shown, what search results we see, and where police  are deployed. But as increasingly  consequential  decisions are made by (often opaque) automated procedures, the fairness of these procedures becomes a vital concern and one that often has legal consequences. Fairness arises as an issue in any automated decision procedure that has as a goal classifying people (as worthy of receiving  a loan, or bail, for example) or allocating costs and benefits to people. These goals are interrelated distinguished  only by whether the decision maker takes into account an overall budget or resource constraint. An NSF panel, for example, is both classifying proposals and allocating  scarce resources. It has been argued that automation,  by removing  the human element, guarantees fairness or at least gives us the ability to transparently evaluate fairness by examining the algorithm's code. Recent empirical research, however, demonstrates that automation is no panacea, and does not prevent "unfair" discrimination. Moreover,  the reasons for this unfairness can be complex and non-obvious.  In this project, we propose  a rigorous, quantitative study of the frictions that cause unfairness to arise and persist in algorithmic decision making. We will derive technical solutions to mitigate these frictions, and provide  provable guarantees of fairness.  We also propose to study the costs of fairness that is, quantitative trade-offs between various definitions of fairness and other desiderata, like accuracy, computational efficiency, and economic efficiency._x000D_
_x000D_
Keywords: fairness, machine learning; economics, incentives.Our proposal will develop the theoretical and practical foundations for understanding the frictions that cause unfairness to arise in algorithmic decision making, and the tools to incorporate fairness considerations into algorithm design. By quantifying the trade-offs between fairness and accuracy, economic and computational efficiency, and other desiderata, we will deepen our understanding of the quantitative and qualitative costs of fairness. We will also develop the economic tools to design markets in ways that eliminate equilibrium frictions to fairness. As part of developing these foundations, we will need to develop new definitions that formalize existing informal notions of fairness which match the needs of the scenarios we consider.Our work will have two kinds of broader impacts. First, understanding fundamental trade-offs between fairness and other societal desiderata like economic efficiency, accuracy, and computation will inform sound policy making and technological design. In particular, we hope to provide regulators with specific guidelines to measure and assess fairness in economic interactions that involve data-based classification such as access to credit or health insurance. We will develop computationally efficient algorithms that optimize the learner's goals subject to fairness constraints, thus providing actionable tools. Second, we will disseminate our findings broadly, as we have done in the past with textbooks and with new courses integrated into Penn's Networked and Social Systems Engineering major, and the Rice Data Science Initiative. The actual research proposed herein will be undertaken jointly with students, thus providing training for the next generation of technologists. Interdisciplinary workshops (the first of which we have already conducted at Penn) will allow us to interface with policy makers and legal scholars, and impact policy.</t>
  </si>
  <si>
    <t>1763311</t>
  </si>
  <si>
    <t>Reingold</t>
  </si>
  <si>
    <t xml:space="preserve"> Panel Summary       
 SUMMARY OF PROPOSED RESEARCH ACTIVITY_x000D_
_x000D_
Description : _x000D_
_x000D_
This is a proposal on pseudorandomness and derandomization, two central areas of modern computational complexity. At the heart of this project is a new approach for the complete derandomization of RL, i.e. to show that every randomized logspace algorithm can be replaced by a deterministic (always correct) logspace algorithm. This is a central but conceptually challenging question. The PIs acknowledge that and break it down to a number of sub-problems, each of which is interesting in its own right._x000D_
_x000D_
The problems this proposal aims to study are very well-known questions in the field of theoretical computer science and the PIs are two of the most suitable experts that can potentially successfully solve them. _x000D_
_x000D_
In addition, to the above crucial computational complexity questions, the proposal puts forth research directions in designing practical (very efficient and truly-random-like) hash functions with applications to data structures. Also, the PIs propose new constructions in cryptography concerning the efficient use of one-way functions (an issue that eludes researchers since the mid 80s). _x000D_
_x000D_
The proposal provides an excellent plan for executing this research, including detailed technical outlines of possible ways to answer these questions. It should also be noted that both PIs have an excellent track record and their research in this area has resulted in various milestones._x000D_
 _x000D_
_x000D_
INTELLECTUAL MERIT_x000D_
_x000D_
_x000D_
Strengths_x000D_
_x000D_
+ The proposal resolves open problems and takes very substantial steps in advancing our knowledge in the field._x000D_
_x000D_
+ The PIs propose to study fundamental questions coupled together with new approaches and a detailed plan for conducting this research._x000D_
_x000D_
+ The PIs have an astonishing track record and have established a great deal of the general field of pseudorandomness and related cryptographic applications._x000D_
_x000D_
+ The proposed research finds important applications to data-structures and cryptography._x000D_
_x000D_
_x000D_
Weaknesses_x000D_
_x000D_
No identifiable weaknesses._x000D_
_x000D_
_x000D_
_x000D_
BROADER IMPACTS_x000D_
_x000D_
Strengths_x000D_
_x000D_
+ The proposal has a very good broader impact section. The PIs attempt to connect to industry and popularize theoretical research through blog-posts._x000D_
_x000D_
+ The proposed research is potentially transformational for subfields of cryptography._x000D_
_x000D_
+ The PIs indicate various educational and outreach activities._x000D_
_x000D_
_x000D_
Weaknesses_x000D_
_x000D_
No identifiable weaknesses. _x000D_
_x000D_
 _x000D_
_x000D_
ADDITIONAL REMARKS_x000D_
_x000D_
Collaboration plan: Comprehensive collaboration plan._x000D_
_x000D_
Data Management Plan: Adequate_x000D_
_x000D_
Postdoc Mentoring plan: No current budget for postdoc (but the proposal mentions one postdoc)._x000D_
_x000D_
Results of prior support:  The prior support section is detailed and clear._x000D_
_x000D_
Suggestions to PI(s): This is an excellently written proposal, no suggestions._x000D_
_x000D_
 _x000D_
_x000D_
Justification for Panel Rating: The panel felt that these are very important and fundamental questions. The PIs are very well established and have a strong record in this field. The proposal outlines a solid and promising direction. The panel felt that even if the main (and apparently very difficult) questions are not resolved in full, the indicated subproblems themselves have very substantial merit. _x000D_
_x000D_
 _x000D_
_x000D_
Panel Rating:_x000D_
_x000D_
X Highly Competitive_x000D_
_x000D_
_ Competitive_x000D_
_x000D_
_ Low Competitive_x000D_
_x000D_
_ Not Competitive_x000D_
_x000D_
_x000D_
_x000D_
The summary was read by/to the panel and the panel concurred that the summary accurately reflects the panel discussion. 
</t>
  </si>
  <si>
    <t>YP1008449</t>
  </si>
  <si>
    <t>bhaskaraaditya@gmail.com</t>
  </si>
  <si>
    <t xml:space="preserve">In the context of the five review elements, please _x000D_
evaluate the strengths and weaknesses of the proposal with respect to intellectual merit._x000D_
_x000D_
The project proposed has three broad goals._x000D_
_x000D_
First, the PIs aim to design log-space algorithms for problems that "approach" directed connectivity (which would imply that RL=L, a fundamental question in complexity). To this end, they discuss their recent joint work on undirected Laplacian systems, and aim to explore extensions of it (first, to directed Eulerian graphs). They also propose to explore other problems related to random walks in undirected graphs (such as computing the probability distribution in k-step walks). _x000D_
_x000D_
Next, also in the topic of derandomization, the PIs propose the construction of PRGs for space-bounded computation. This is a well-studied direction, with open questions even the simple case of distinguishers with 2 bits of space. The PIs propose to investigate the method of "iterative restrictions" for such constructions, with the goal of going beyond Nisan's generator. They discuss their recent partial results towards this aim, and give a plausible high-level approach._x000D_
_x000D_
The second goal of the proposal is to provide explicit constructions of combinatorial objects, including hash function families, "batch codes" for local decoding, and a family of graphs known as "depth robust graphs". In all of these, obtaining optimal parameters is open, and this is what the PIs propose._x000D_
_x000D_
The third goal is to further enrich connections between pseudorandomness and cryptography. Concretely, the PIs propose (a) the study of quantum analogues of computational entropy (w.r.t. quantum adversaries), and (b)  building a formal connection between two complementary notions, inaccessible entropy and next-bit pseudoentropy.  They also give a candidate approach and show that the approach itself may have other interesting consequences._x000D_
_x000D_
Overall, the proposal asks some concrete questions towards making fundamental progress on pseudorandomness. The PIs are both experts who have made remarkable contributions to the topic. They also have a long record of collaboration._x000D_
_x000D_
Waknesses:_x000D_
_x000D_
While questions in the first part are natural in the context of "beyond SL", it's not clear to what extent they represent progress towards RL=L. _x000D_
_x000D_
The questions posed on explicit constructions seem somewhat incremental. However in some of the cases, the constructions proposed are quite new, so they would still be valuable._x000D_
_x000D_
_x000D_
In the context of the five review elements, please _x000D_
evaluate the strengths and weaknesses of the proposal with respect to broader impacts._x000D_
_x000D_
The PIs have an extensive service and outreach record, in the form of organizing workshops, chairing conferences, and promoting theoretical computer science. _x000D_
_x000D_
Regarding pseudorandomness and complexity, the PIs have also developed courses, whose notes are well regarded and followed at many institutions. They also propose new courses at a UG level. _x000D_
_x000D_
The PIs also express commitment towards diversity._x000D_
_x000D_
Please evaluate the strengths and _x000D_
weaknesses of the proposal with respect to any additional solicitation-specific review criteria, if _x000D_
applicable_x000D_
_x000D_
_x000D_
_x000D_
Summary Statement_x000D_
_x000D_
The proposal asks some concrete questions towards making fundamental progress on pseudorandomness. The PIs are both experts who have made remarkable contributions to the topic. They also have a long record of collaboration._x000D_
_x000D_
</t>
  </si>
  <si>
    <t xml:space="preserve">In the context of the five review elements, please _x000D_
evaluate the strengths and weaknesses of the proposal with respect to intellectual merit._x000D_
_x000D_
This proposal addresses fundamental issues in derandomization of algorithms and the closely related topic of pseudorandom generators (PRGs) and_x000D_
other "pseudorandom" combinatorial objects. Some examples of directions to be explored are as follows._x000D_
1. Derandomizing log-space: the PIs outline an approach to proving the long-sought theorem RL = L, or maybe a slightly weaker version of it,_x000D_
using recent advances in Laplacian solvers._x000D_
2. Construct "small" (ideally polynomial sized) hash families from [poly(n)] to [n] that are constant-time computable and have good load balance properties, e.g., max load = O(log n / log log n), as with a fully random hash function. This would be a very fundamental result and the construction could be widely useful in building data structures._x000D_
3. Construct PRGs against small width branching programs, perhaps even width-3 programs. This is another very fundamental direction of work and the PIs point to some recent works of theirs that have developed a potentially useful technique, "iterative restrictions"._x000D_
4. Explicitly construct "depth robust graphs", which are low-degree graphs where one can delete "many" vertices while still leaving a long path. The proposal hints at cryptographic applications of such objects and notes that this notion of robustness has some vague similarity with connectivity robustness in expanders._x000D_
5. Unify the notions of pseudoentropy (as developed for the construction of PRGs from one-way functions) and inaccessible entropy (as developed_x000D_
by the PIs for analyzing commitment schemes) under a common theory. As the proposal notes. these notions appear "dual" to each other. The_x000D_
proposal sketches a potential unification using relative entropy._x000D_
_x000D_
Strengths:_x000D_
_x000D_
+ Both PIs have stellar track record of work on these topics and they have a long history of successful collaboration._x000D_
+ The problems considered here are fundamental in nature. Some parts of this work could be groundbreaking, if successful._x000D_
+ Most of the proposed work has been carefully thought out, and reasonable-looking solution approaches have been written up here._x000D_
_x000D_
Weaknesses:_x000D_
_x000D_
- Nothing significant._x000D_
_x000D_
_x000D_
_x000D_
In the context of the five review elements, please _x000D_
evaluate the strengths and weaknesses of the proposal with respect to broader impacts._x000D_
_x000D_
The project will train several graduate students and likely some undergraduate students (PI Vadhan has solid track record on this). Both PIs have, in the past, advised a large number of top-notch Ph.D. students._x000D_
_x000D_
Both PIs will continue their record of extensive service (PC chair, SIGACT committee)._x000D_
_x000D_
_x000D_
Please evaluate the strengths and _x000D_
weaknesses of the proposal with respect to any additional solicitation-specific review criteria, if _x000D_
applicable_x000D_
_x000D_
_x000D_
_x000D_
Summary Statement_x000D_
_x000D_
This is an excellent proposal aiming for deep and fundamental results in complexity theory. Though ambitious, there is reasonable chance of success because both PIs are leaders in the area with many years of experience. _x000D_
_x000D_
_x000D_
</t>
  </si>
  <si>
    <t xml:space="preserve">In the context of the five review elements, please _x000D_
evaluate the strengths and weaknesses of the proposal with respect to intellectual merit._x000D_
_x000D_
This is an excellent but also very ambitious proposal, very well articulated plan, and a plan of directly attacking tantalizing questions in computational complexity, such as RL=L. The proposal is a very good mix of attacking very difficult questions put together with a plan for attacking questions that seem much more doable and whose answers would advance the knowledge in the field.  In particular, the main proposed lines of study are:_x000D_
_x000D_
- revisit the question for RL vs L. Technical advances may be possible through connections to the work of Spielman and Tang and recent works of the PIs. _x000D_
_x000D_
- related to the previous bullet but also of independent interest: devise new PRGs that fool space-bounded machines, starting from the very important question of width 3 BPs._x000D_
_x000D_
- in relation to the above, devise new pseudorandom combinatorial objects: such as improved expander graphs and hash functions that are of interest to data structures. _x000D_
_x000D_
- revisit HILL and also the more recent breakthrough results of the PIs in order to efficiently construct universal one-way hash functions and digital signatures. These are extremely important open problems in theoretical cryptography._x000D_
_x000D_
In the context of the five review elements, please _x000D_
evaluate the strengths and weaknesses of the proposal with respect to broader impacts._x000D_
_x000D_
Strengths:_x000D_
_x000D_
+ given their record, the PIs are ideal candidates for attacking these open and conceptually difficult questions._x000D_
_x000D_
+ the proposal is well-balanced between conceptually difficult questions and a number of more tangible (but still very important) questions that will advance the knowledge in computational complexity, cryptography, and related areas of combinatorics. _x000D_
_x000D_
+ very well articulated plan and also clear how graduate students will be involved. _x000D_
_x000D_
+ the PIs, and in particular Vadhan, have already contributed with nowadays standard monographs in pseudorandomness. Reingold has contributed through various blogposts in popularizing technical TCS topics. Both PIs seem to have strong record in working together with graduate students, teaching, mentoring, and inspiring students etc. The broader impact of this proposal is very well explained._x000D_
_x000D_
Please evaluate the strengths and _x000D_
weaknesses of the proposal with respect to any additional solicitation-specific review criteria, if _x000D_
applicable_x000D_
_x000D_
_x000D_
_x000D_
Summary Statement_x000D_
_x000D_
Excellent proposal attacking fundamental questions. Although some of the questions are long standing open problems, I have recently come to realize that questions such as RL=L or improving the efficiency of constructions from one-way functions are open probably because we haven't put enough thought on them. I am very supportive of_x001B_ the idea of funding research that will resolve such questions._x000D_
_x000D_
</t>
  </si>
  <si>
    <t xml:space="preserve">In the context of the five review elements, please _x000D_
evaluate the strengths and weaknesses of the proposal with respect to intellectual merit._x000D_
_x000D_
_x000D_
The PIs first intend to attack a classical problem, viz., Is RL=L?_x000D_
_x000D_
They also intend to attack two related problems, viz.,_x000D_
_x000D_
(a) Explicit construction of combinatorial objects such_x000D_
as randomness extractors and expander graphs. Such constructions_x000D_
have applications in hash functions for load balancing, batch_x000D_
codes and depth-robust graphs._x000D_
_x000D_
(b) Applications of pseudo-randomness to cryptography._x000D_
_x000D_
In all three cases, the PIs have identified what the challenges_x000D_
are and noted down their partial progress. The problems are_x000D_
extremely interesting and their work so far, should inspire_x000D_
confidence in their capabilities. _x000D_
_x000D_
The team is clearly well-qualified. They (and their collaborators)_x000D_
have written a number of the papers which lead to the questions_x000D_
in this proposal._x000D_
_x000D_
Clearly, the PI's institutions have the sufficient resources_x000D_
to carry out their tasks, if funded._x000D_
_x000D_
In the context of the five review elements, please _x000D_
evaluate the strengths and weaknesses of the proposal with respect to broader impacts._x000D_
_x000D_
_x000D_
The broader impacts are pretty standard; student advising,_x000D_
curriculum development, etc. It is true that they can carry_x000D_
out the plans outlined. What intrigued me is the application of_x000D_
their work to actual tools in security and privacy. If they can_x000D_
actually identify exact applications of their work, it would be_x000D_
a win, given the national emphasis on cyber-security and data science._x000D_
_x000D_
Please evaluate the strengths and _x000D_
weaknesses of the proposal with respect to any additional solicitation-specific review criteria, if _x000D_
applicable_x000D_
_x000D_
_x000D_
_x000D_
Summary Statement_x000D_
_x000D_
_x000D_
The problems identified in this proposal are extremely interesting_x000D_
and extremely fundamental. The PIs certainly have the wherewithal_x000D_
to credibly attempt these problems. The proposal identifies a number_x000D_
of avenues that they intend to take. There is no reason to expect_x000D_
that the RL = L query will be any easier than the P=NP query._x000D_
At the same time, I do not see why the PIs should be denied an_x000D_
opportunity to explore these lines of attack. Even if they are_x000D_
unsuccessful in resolving the L=RL question, the techniques they_x000D_
develop may be useful in practical applications._x000D_
_x000D_
</t>
  </si>
  <si>
    <t>This project seeks to exploit new opportunities to advance the theory of pseudorandomness, a subfield of theoretical computer science that has connections and significant implications for many areas of research, including cryptography, computational complexity, coding theory, additive number theory, metric embeddings, streaming and sketching algorithms, and graph theory. The PIs have extensive experience in this area and have a long record of collaboration. The project targets some of the most enduring and important challenges in the field as well as applications to fields such as cryptography and data structures._x000D_
Keywords: pseudorandomness and indistinguishability; space-bounded derandomization;  computational entropy; one-way functionsThe project seeks to exploit new opportunities for several fundamental questions, including _x000D_
1.The RL vs. L problem: trying to prove, unconditionally, that every randomized algorithm can be made deterministic with only a constant-factor loss in efficiency._x000D_
2.Explicit constructions: seeking explicit load-balancing hash functions, batch codes, and depth-robust graphs that achieve substantial parameter improvements and have qualitative significance for applications. _x000D_
3.Applications: improving and extending the applications of pseudorandomness to cryptography and data structures.The proposal puts high value on education, service to the research community, and wide dissemination of knowledge. The research activities will be accompanied by and integrated with curriculum development, research advising, service, and outreach. In addition, The research also relates to national priorities of importance to society, such as security and privacy._x000D_
The PIs will develop and refine courses related to the research in this proposal, and make the materials for these courses openly available on-line, for use at other universities. PI Vadhan has been doing this for many years at Harvard, and since joining Stanford, so has PI Reingold. PI Reingold plans to develop courses at Stanford on topics of pseudorandomness and theory courses aimed at non-CS students. The PI's educational efforts extend beyond the confines of their universities, and include organizing external programs and writing surveys and monographs on topics related to pseudorandomness. PI Reingold will continue to use the group research blogs "WindowsOnTheory" and "TheoryDish," which he founded, as forums for exchanging ideas and debating topics of interest to the Theory of Computing community, including research, education, and non-technical issues. _x000D_
Students will be involved in all aspects of this research, building on the PIs' extensive experience in  advising PhD, Masters, and Undergraduate students and summer interns, leading to numerous publications. Students will be actively involved in the collaboration, including visits to the other PI. _x000D_
The PIs will continue their extensive service to the scientific community. In particular, PI Reingold will continue to lead an effort to create a continuous forum (named TOCA-SV by the PI) for collaboration between the Stanford theory group and industrial researchers at the Silicon Valley. Such collaboration should be very useful for this project, especially as it comes to deriving new applications of pseudorandomness.</t>
  </si>
  <si>
    <t>1763314</t>
  </si>
  <si>
    <t xml:space="preserve"> Panel Summary       
  SUMMARY OF PROPOSED RESEARCH ACTIVITY_x000D_
_x000D_
Description: _x000D_
_x000D_
This proposal aims to develop a theory, from the theoretical computer science perspective, of adaptive data analysis. This is a fundamental issue in science: too much adaptive exploration of a dataset can find spurious results that fail to generalize.  In machine learning this manifests as overfitting, while in statistics it appears as the problem of multiple hypotheses.  Statistical theory generally handles specific scenarios, rather than the unstructured exploration that analysts typically do. In computer science, various techniques related to limiting the complexity of any hypothesis, including differential privacy, are robust to adaptive analyses in the worst case but limit what can be learned.    _x000D_
_x000D_
One proposed approach is to model a well-intentioned analyst, exploring the middle ground between the statistics model and the computer science model.  A second approach is trying to find a unifying theory describing when a result is robust. The PIs hypothesize that any robust analysis means considering only a limited part of the total interaction tree representing a complete adaptive analysis.  A quantitative approach will attempt to provide bounds on how big a data set needs to be to support a class of adaptive analyses involving a specific number of queries. A final approach will consider the simpler class of two-stage games, in which an adversarial analyst is allowed to propose a hypothesis after a single round of exploratory queries. _x000D_
 _x000D_
_x000D_
INTELLECTUAL MERIT_x000D_
_x000D_
_x000D_
Strengths_x000D_
_x000D_
+ Addresses a fundamental question._x000D_
+ Brings a theoretical computer science perspective to an important issue in statistics._x000D_
+ The approaches are convincing._x000D_
+ Could be widely transformative across machine learning and possibly science as a whole._x000D_
+ While worst-case results may be unduly negative, it is important to know what they are._x000D_
+ Has great potential for increasing meaningful contact between theoretical computer science and statistics_x000D_
+ Team includes three well-qualified computer scientists, a statistician and a biomedical researcher providing a test-bed. _x000D_
+ There are some significant preliminary results on some of the problems outlined._x000D_
+ The PIs have a good record of disseminating their results widely._x000D_
_x000D_
_x000D_
Weaknesses_x000D_
_x000D_
- It would be nice to see empirical comparison with existing statistical methods better integrated with the theoretical work.  How will the investigators deal with a situation in which the proposed methods do not compare favorably with existing practice?_x000D_
- Some panelists would liked to have seen some middle ground between already published preliminary results and rather vague goals.  _x000D_
_x000D_
_x000D_
BROADER IMPACTS_x000D_
_x000D_
_x000D_
Strengths_x000D_
_x000D_
+ The PIs have already done a good job of disseminating their ideas, having organized relevant workshops and published in Science. _x000D_
+ Roth and Dwork have published a textbook._x000D_
_x000D_
Weaknesses_x000D_
_x000D_
- No distinctive broader impacts as one would like in a Medium project._x000D_
_x000D_
 _x000D_
_x000D_
ADDITIONAL REMARKS_x000D_
_x000D_
_x000D_
Collaboration plan: OK._x000D_
_x000D_
Data Management Plan:  Software will be made available through open-source. _x000D_
_x000D_
Results of prior support:  OK._x000D_
_x000D_
Additional remarks:  This proposal has its roots in a number of developments in algorithmic foundations in which some of the PIs have been at the forefront, mainly in the area of differential privacy. By moving to address questions of adaptive statistical data analysis it opens up a substantial new directions._x000D_
_x000D_
_x000D_
Suggestions to PI(s): There are a few typos, but overall the proposal is well-presented._x000D_
_x000D_
_x000D_
Justification for Panel Rating: This is a strong team addressing an important current issue in learning and science in general. _x000D_
_x000D_
_x000D_
_x000D_
Panel Rating: _x000D_
_x000D_
_ Highly Competitive_x000D_
_x000D_
X Competitive_x000D_
_x000D_
- Low Competitive_x000D_
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</si>
  <si>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proposal tackles a very important collection of questions about how to measure the validity of inference from data in the presence of adaptive analysis methodology problems related to overfitting, multiple hypothesis testing, p-hacking, etc.  It comes from several of the leading researchers in differential privacy (Roth, Dwork, Smith), a statistician (Su) and a biomedical data scientist (Zou).  Differential privacy is one way of assuring robustness; another is using hypotheses of low description complexity, and a new definition explored in reference [22] max-complexity.  The former is likely too expensive in terms of not allowing enough data re-use. A new approach proposed (Section 3) is to limit the model of what the analyst does. Standard statistical approaches limit this greatly, and the idea is to explore the middle ground in the hope of defining broad classes of robust analyses.  A second related thrust (Sections 4 and 5) is getting a better handle on the relationships between sample size and statistical strength in very general adaptive analysis situations. While these are good questions, the paths to solutions are not clear.  Techniques such as modeling the anallyst-curator interaction as a tree and studying the simplified situation of two-step analyses, with one preliminary analysis and then a malicious query that is designed to have a biased result.  Finally there is a third section on empirical validation of the CS-based results vs standard statistical approaches such as regularization.  _x000D_
_x000D_
_x000D_
Strengths_x000D_
_x000D_
- great team. _x000D_
- excellent area._x000D_
- preliminary results in [22] and [65]_x000D_
_x000D_
Weaknesses_x000D_
_x000D_
- no preliminary work on comparison with statistical methods; what do the PIs plan to do when their more general worst-case methods come up short in practice?_x000D_
- questions presented are rather general_x000D_
_x000D_
_x000D_
In the context of the five review elements, please _x000D_
evaluate the strengths and weaknesses of the proposal with respect to broader impacts._x000D_
_x000D_
Adaptive data analysis workshop (WADAPT) at NIPS.  Good integration of material into courses._x000D_
_x000D_
Please evaluate the strengths and _x000D_
weaknesses of the proposal with respect to any additional solicitation-specific review criteria, if _x000D_
applicable_x000D_
_x000D_
_x000D_
_x000D_
Summary Statement_x000D_
_x000D_
An interesting attempt to tackle the issue of statistical power from a CS perspective.  Not clear how it will stack up against, or have an influence on, the statistical practice._x000D_
_x000D_
</t>
  </si>
  <si>
    <t xml:space="preserve">In the context of the five review elements, please _x000D_
evaluate the strengths and weaknesses of the proposal with respect to intellectual merit._x000D_
_x000D_
The proposal aims to broaden the research in adaptive data analysis, an area pioneered by the PIs. The high level questions are to understand if a machine learning (or any querying) system interacting with a dataset can (a) learn about the distribution of the data, or (b) overfit to the dataset. This is challenging, because queries can be adaptive, and in past work, the PIs have addressed this question from an adversarial viewpoint, and obtained initial results._x000D_
_x000D_
The key aspects of the proposal are the following:_x000D_
_x000D_
1. Going beyond the worst-case adversary and trying to model a "well intentioned" data analyst (whose goal is not to beat the system, but performs adaptive queries for the sake of efficiency)._x000D_
2. Obtaining a general way to think about adaptive queries, and ways to design mechanisms to answer them. The techniques proposed in this regard are interesting, including ideas from differential privacy, two-player games and information theory._x000D_
3. Empirical evaluation of bias._x000D_
_x000D_
All of these aspects are well-laid out, and the PIs are experts in the area._x000D_
_x000D_
In the context of the five review elements, please _x000D_
evaluate the strengths and weaknesses of the proposal with respect to broader impacts._x000D_
_x000D_
The work arose out of understanding "false discovery", a basic question that applies to many aspects of science. The results from this work are likely to have very broad applicability._x000D_
_x000D_
The PIs have a very strong track record of disseminating their work to wide audiences, in all areas of science. The team involves researchers from computer science as well as statistics, and they plan to have joint seminars._x000D_
_x000D_
Please evaluate the strengths and _x000D_
weaknesses of the proposal with respect to any additional solicitation-specific review criteria, if _x000D_
applicable_x000D_
_x000D_
_x000D_
_x000D_
Summary Statement_x000D_
_x000D_
The proposal aims to broaden the are of "adaptive data analysis", pioneered by the PIs. The high level questions are to understand if a machine learning (or any querying) system interacting with a dataset can (a) learn possibly sensitive aspects of the dataset, or (b) overfit a learning model to the dataset. _x000D_
_x000D_
The theoretic challenge arises due to the adaptive nature of the queries. The proposal uses machinery from differential privacy, information theory and game theory to address these problems and get a better understanding of the accuracy possible under adaptive queries._x000D_
_x000D_
</t>
  </si>
  <si>
    <t xml:space="preserve">In the context of the five review elements, please _x000D_
evaluate the strengths and weaknesses of the proposal with respect to intellectual merit._x000D_
_x000D_
The project aims to tackle a fundamental problematic issue with data analysis: the analyses and hypothesis are typically not known in advance and are generated adaptively. This defies the rules of statistical theory, potentially leading to statistically invalid results. Statistical research has tried to tackle this issue, but generally within a static setting, and assuming only two phases. _x000D_
_x000D_
Two solutions have been put forward: a) using differential privacy, and b) limiting the amount of information the analyst/adversary can learn about data, in the form of a new measure, max-information. Both of these are due to two of the PIs. This has certain costs over non-adaptive (statistical) analysis. The proposal aims to tackle this from several angles, including:_x000D_
- considering new and revised models/approaches,_x000D_
- addressing qualititive questions about the costs of adaptivity (e.g., is every guarantee mechanism equivalent to implicitly defined multi-hypothesis testing?)_x000D_
- quantifying the costs of adaptivity (e.g., tight bounds against worst-case adversary; measures of leakage of information)_x000D_
- empirical evaluation of algorithm for reducing bias._x000D_
_x000D_
The numerous research questions posed are described in depth yet in a very readable manner, revealing deep understanding of the fundamental issues. _x000D_
_x000D_
The team is exceptionally well qualified to address these questions, having invented some of the key concepts (like differential privacy) and authored the major previous works from the CS perspective. They have collaborated extensively, and organized numerous meetings and courses on the topic. The members have experience working with colleagues in statistics, and one team member brings practical experience and track record of working with theoreticians._x000D_
_x000D_
_x000D_
_x000D_
_x000D_
In the context of the five review elements, please _x000D_
evaluate the strengths and weaknesses of the proposal with respect to broader impacts._x000D_
_x000D_
The main objective is to address a major issue in scientific exploration, which affects the validity of scientific results. As they note, "This can have long-lasting implications on many aspects of modern society"._x000D_
_x000D_
It's not easy to gauge from the proposal how much true impact this work has had or can have. Though the fact that papers are appearing in Science suggest that there is considerable potential at least._x000D_
_x000D_
_x000D_
Please evaluate the strengths and _x000D_
weaknesses of the proposal with respect to any additional solicitation-specific review criteria, if _x000D_
applicable_x000D_
_x000D_
They plan to organize meetings, give graduate and undergraduate courses, and have a significant focus on attracting women._x000D_
_x000D_
_x000D_
Summary Statement_x000D_
_x000D_
Well thought out proposal on a topic of major importance for science in general._x000D_
_x000D_
</t>
  </si>
  <si>
    <t xml:space="preserve">In the context of the five review elements, please _x000D_
evaluate the strengths and weaknesses of the proposal with respect to intellectual merit._x000D_
_x000D_
Excellent proposal with the potential of spaning a new area in the interface of theoretical computer science, mathematical statistics, and related areas such as differential privacy. The proposal puts forth a technical plan to understand the role of adaptivity in machine learning and statistics. This is an ambitious plan because statistical independence is one of the cornerstones of current techniques. However, the proposal greatly articulates a plan of attacking this issue and I do believe that there is great potential._x000D_
_x000D_
In the context of the five review elements, please _x000D_
evaluate the strengths and weaknesses of the proposal with respect to broader impacts._x000D_
_x000D_
strengths:_x000D_
_x000D_
+ excellently articulated plan_x000D_
_x000D_
+ transformative research plan_x000D_
_x000D_
+ the PIs have a very good track record of collaboration _x000D_
_x000D_
+ the PIs have diverse backgrounds and expertizes, very appropriate for this research_x000D_
_x000D_
+ great broader and outreach plan_x000D_
_x000D_
weaknesses:_x000D_
_x000D_
no weaknesses_x000D_
_x000D_
Please evaluate the strengths and _x000D_
weaknesses of the proposal with respect to any additional solicitation-specific review criteria, if _x000D_
applicable_x000D_
_x000D_
_x000D_
_x000D_
Summary Statement_x000D_
_x000D_
Excellent and transformative proposal by a strong, appropriate group of PIs._x000D_
_x000D_
</t>
  </si>
  <si>
    <t>A central question in statistical data analysis and machine learning is the extent to which discoveries gleaned from a sample extend to the population from which the sample was drawn. Indeed, the ability to reason about the validity of conclusions drawn from operating on the sample is the sine qua non of these fields and speaks to the foundations of the scientific method. Both disciplines have developed methodologies and language to this end. The theory supporting the vast majority of these techniques applies only to the non-adaptive case, in which the methods applied to the data are chosen independently from the data themselves, but this is not how science functions. As Tukey famously wrote, "Ideas come from previous exploration more often than from lightning strokes." This research will place adaptive  ("exploratory" in the language of statistics) data analysis on a firm mathematical foundation. One way to ensure validity of adaptive data analysis is to confine data access to differentially private algorithms. Differential privacy provides a universal solution, meaning that it does not depend on the specific learning and statistical goals of the analyses. Because it is closed under post-processing and composition, it provides a safe method for repeated adaptive interaction with the data. In statistics, techniques such as conditional selective inference and post-selection inference provide potentially higher accuracy but are currently only applicable to certain structured problems, and tolerate only a single round of adaptivity. In addition to unifying these two lines of investigation, this research will: Model the Analyst- It is not difficult to model a validity adversary whose goal is to find "discoveries" that fail to generalize. Are well-intentioned data analysts best modeled in this way? Is it always necessary to design algorithms that defend against the validity adversary? Answer Foundational Questions- Existing universal solutions all bound some form of information flow from the dataset to the analyst. Are there measures of information that characterize universal solutions or even unify known universal and known non-universal solutions? To what extent does adaptivity exacerbate the accuracy/longevity (number of analyses performed) trade-off even for well-intentioned analysts. Develop and Evaluate Techniques- This research will develop new algorithms for specific tasks. Universal solutions will be compared with new sui generis solutions for, both theoretically, and empirically on biomedical datasets to which we have access. This effort requires expertise in differential privacy, multiple hypothesis testing, and machine learning, finding the "right" definitions, and skill in drawing theoretical conclusions from practical experience with data. Each requirement is met in abundance by the team as a whole (the team contains two inventors of differential privacy and two discoverers of the application of differential privacy to adaptive data analysis), all members have worked in at least two of these areas, and all team members have experience working with colleagues in both statistics and computer science. Four team members have collaborated with one or more other team members over the past two years. The fifth team member brings extensive practical experience, a track record of collaborating with theoreticians, has developed an information-theoretic framework for quantifying bias in arbitrary adaptive analysis procedures, and has engaged in several productive discussions with one of the other team members over the last four months. _x000D_
Keywords: Machine learning, false discovery; differential privacyThe intellectual merit is the combination of insights and techniques from statistics and theoretical computer science to provide a rigorous theory of adaptive data analysis, and to create, evaluate, and understand the limits of, universal methods.The broader impact will be to strengthen the underpinnings of the scientific method, supporting science as it is really carried out, particularly on large, irreplaceable, datasets. Progress here will increase the trustworthiness of science and evidence-based decision-making.</t>
  </si>
  <si>
    <t>1763320</t>
  </si>
  <si>
    <t>Munagala</t>
  </si>
  <si>
    <t xml:space="preserve"> Panel Summary       
  SUMMARY OF PROPOSED RESEARCH ACTIVITY_x000D_
_x000D_
Description :_x000D_
_x000D_
 This proposal combines algorithmic aspects of economics (pricing_x000D_
 mechanisms, market design) with queueing theory to study "two-sided_x000D_
 markets", where both buyers and sellers are viewed as agents arriving_x000D_
 to the market at certain rates, according to Poisson processes. Each_x000D_
 agent has a notion of patience (time at which they will leave the_x000D_
 market if they're not served) as well as the usual utility_x000D_
 function. The marketplace/platform must match buyers to sellers_x000D_
 according to some policy, perhaps taking into account some notion_x000D_
 (boolean or real-valued) of compatibility between agents._x000D_
_x000D_
_x000D_
 In recent years, the number of such markets and the number of people_x000D_
using them has steeply increased. Companies such as Lyft, Uber, and_x000D_
AirBnB have revolutionized the transportation and lodging industries,_x000D_
enabling a much more efficient utilization of existing_x000D_
resources. Therefore, a deeper understanding of the extent that these_x000D_
markets can be further optimized, and the means by which these_x000D_
improvements can be achieved is very well motivated._x000D_
_x000D_
 _x000D_
_x000D_
INTELLECTUAL MERIT_x000D_
_x000D_
Strengths_x000D_
_x000D_
+ The problem is well-motivated._x000D_
+ The PIs have a strong record._x000D_
+ The PIs have collaborated together._x000D_
+ There are clear applications to industry._x000D_
_x000D_
_x000D_
Weaknesses_x000D_
_x000D_
- The PIs have not fleshed out the problems in detail._x000D_
- There was nothing in terms of new mathematics._x000D_
  The PIs intend to explore two-sided marketplaces with _x000D_
  traditional techniques._x000D_
- The proposal did not convince the panel that the results that could be obtained by this kind of modeling would lead to transformative insights into two-sided markets. _x000D_
- Some on the panel felt that novelty was lacking_x000D_
in the modeling and that correctness would be difficult to_x000D_
validate._x000D_
_x000D_
BROADER IMPACTS_x000D_
_x000D_
_x000D_
Strengths_x000D_
_x000D_
+ PI Munagala has a strong record of placing his graduates in academe_x000D_
  and industry._x000D_
+ PI Munagala has a strong record of working with undergraduates and women._x000D_
+ The work, if executed properly can be commercialized._x000D_
_x000D_
_x000D_
Weaknesses_x000D_
_x000D_
- Standard. _x000D_
_x000D_
_x000D_
 _x000D_
_x000D_
 _x000D_
_x000D_
Additional REMARKS_x000D_
_x000D_
Research plan: Reasonable._x000D_
_x000D_
Collaboration plan: Very nicely described. Touches on all the major points._x000D_
_x000D_
_x000D_
Data Management Plan: Adequate._x000D_
_x000D_
Results of prior support:  The PIs have published several papers in top venues and_x000D_
graduated doctoral students._x000D_
_x000D_
 _x000D_
_x000D_
Suggestions to PI(s): _x000D_
_x000D_
  _x000D_
 _x000D_
_x000D_
Justification for Panel Rating: _x000D_
_x000D_
 The panel felt that the PIs need to do a better job of identifying exactly which_x000D_
 problems they plan to work on and come up with a clear plan of attack in order to_x000D_
 inspire confidence._x000D_
_x000D_
Panel Rating:_x000D_
_x000D_
_ Highly Competitive_x000D_
_x000D_
_ Competitive_x000D_
_x000D_
X Low Competitive_x000D_
_x000D_
_ Not Competitive_x000D_
_x000D_
The summary was read by/to the panel and the panel concurred that the summary accurately_x000D_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</si>
  <si>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Algorithmic Challenges in Dynamic Two-sided Marketplaces_x000D_
_x000D_
L: 1763320 Munagala, Kameshwar Duke University $  599,974_x000D_
N: 1763417 Banerjee, Siddhartha Cornell University $  599,070_x000D_
_x000D_
_x000D_
P180637 LC AF Medium Panel /  Dec 11-12 (9 panelists; 1 decl confl),_x000B_  on 12/12/2017, recommended as Low Competitive (V,V/G ,F)_x000D_
Std competition rank 9 of 17 rated projects: 2 HC, 6 C, 8 LC, 1 NC _x000D_
_x000D_
Ad hoc reviews (1): G/F, with last on 12/06/2017_x000D_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</si>
  <si>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This proposal combines algorithmic aspects of economics (pricing mechanisms, market design) with queueing theory to study "two-sided markets", where both buyers and sellers are viewed as agents arriving to the market at certain rates, according to Poisson processes. Each agent has a notion of patience (time at which they will leave the market if they're not served) as well as the usual utility function. The marketplace/platform must match buyers to sellers according to some policy, perhaps taking into account some notion (boolean or real-valued) of compatibility between agents._x000D_
_x000D_
At least from an algorithmic viewpoint, the theory of two-sided markets is much less devloped than the more standard theory of "one-sided_x000D_
markets". The two PIs have a handful of recent joint works in this area, and the proposal lists a number of directions in which to take this_x000D_
investigation. For example:_x000D_
1. The PIs propose to study facility location based techniques to set up "virtual clearinghouses" to match buyers to sellers, when compatibility is captured by some underlying metric space. They give the example of matching renters to landlords or airbnb as motivation._x000D_
2. Study how prices can be set in the platform so that agents reveal their deadline preferences truthfully._x000D_
3. Design algorithms for setting envy-free prices in a two-sided marketplace with stochastic arrivals. There is some recent work by other_x000D_
authors for one-sided markets, where the problem is "reduced" to a static problem; the PIs propose to extend this to two-sided markets. (The_x000D_
term "envy-free" is not explained in the proposal. I assume the PIs mean that each agent should be matched in a way that they wouldn't want to_x000D_
swap places with another agent of the same type.)_x000D_
4. Compute suitable visibility subgraphs using which the platform can control which buyers a seller "sees" (and vice versa). This is one way to_x000D_
implement an admission control policy. _x000D_
_x000D_
Strengths:_x000D_
_x000D_
+ The two PIs have complemetary strengths (algorithms and queueing theory), and the combination can lead to new technical insights._x000D_
+ The problems to be studied have been formulated clearly and carefully. They are well justified._x000D_
+ PIs have been active in this area very recently and are well positioned to produce results in the proposal's area._x000D_
_x000D_
Weaknesses:_x000D_
_x000D_
- For the most part the proposal is written at a "high" level. It should have included two or three concrete statements of conjectures so that a reviewer can get a sense of what sorts of theorems to expect from this work._x000D_
- It's not made clear how much of the modeling described in the proposal is novel, versus taken from existing published work._x000D_
_x000D_
_x000D_
_x000D_
In the context of the five review elements, please _x000D_
evaluate the strengths and weaknesses of the proposal with respect to broader impacts._x000D_
_x000D_
The topics being explored here are of great importance in the emerging "sharing economy" and it's likely that actual widely-used platforms could benefit from the knowledge created._x000D_
_x000D_
One of the PIs has a strong history of training students who have gone on to work in industry in the design of marketplaces. Both PIs have ongoing industrial collaboration relevant to the project topic._x000D_
_x000D_
The PIs have recently designed courses in Algorithmic Foundations of Data Science and Pricing and Market Design (both at undergraduate level).  The proposal doesn't note any further course design activity to be undertaken in the future._x000D_
_x000D_
_x000D_
Please evaluate the strengths and _x000D_
weaknesses of the proposal with respect to any additional solicitation-specific review criteria, if _x000D_
applicable_x000D_
_x000D_
_x000D_
_x000D_
Summary Statement_x000D_
_x000D_
The proposal teams two PIs with complemetary strengths and promises work in a new and important direction at the intersection of algorithms, economics, and queueing theory._x000D_
_x000D_
_x000D_
</t>
  </si>
  <si>
    <t xml:space="preserve">In the context of the five review elements, please _x000D_
evaluate the strengths and weaknesses of the proposal with respect to intellectual merit._x000D_
_x000D_
This proposal focuses on the problem of optimizing online dynamic two-sided marketplaces and developing the theoretical foundations for a deeper understanding of these markets. In recent years, the number of such markets and the number of people using them has steeply increased. Companies such as Lyft, Uber, and AirBnB have revolutionized the transportation and lodging industries, enabling a much more efficient utilization of existing resources. Therefore, a deeper understanding of the extent that these markets can be further optimized, and the means by which these improvements can be achieved is very well motivated. The PIs argue that most of the prior worked either focused on one-sided markets (such as Amazon or eBay) or on static markets, where the buyers and sellers do not change (drastically) over time. This proposal focuses on dynamic two-sided markets._x000D_
_x000D_
The PIs model these online two-sided markets by assuming that both buyers and sellers arrive in a dynamic fashion and that the goal of the market is to match buyers to sellers aiming to optimize some objective(s). Both the buyers and the sellers can be heterogeneous in terms of their preferences. One of the PIs' goals is to optimize admission control, i.e., to balance the rate at which buyers and sellers arrive at the market and they consider to ways of doing that: appropriately adjust the prices in order to balance demand and supply, or filter out some of the sellers that each buyer sees (and vice versa) and let them reach market equilibrium prices on their own. The second of the PIs' goals is to optimize the quality of the schedule, i.e., the quality of the match between buyers and sellers. In optimizing these two aspects of two-sided markets the PIs plan to focus on the obstacles that arise due to the presence of strategic agents in the market, due to computational constraints, or due to the uncertainty caused by the dynamic nature of the market._x000D_
_x000D_
As the PIs repeatedly point out, their backgrounds are indeed complementary when it comes to tackling the proposed problems. PI Munagala has a background in approximation algorithms and algorithmic game theory, which can prove very useful in addressing the computational constraints and the pricing algorithms, and PI Banerjee has worked on stochastic modeling and scheduling, which is crucial in analyzing dynamic matching markets, so the combination of these backgrounds can potentially lead to novel models and solution concepts. The PIs are therefore qualified for seeing this work to completion and they do have the appropriate resources._x000D_
_x000D_
_x000D_
In the context of the five review elements, please _x000D_
evaluate the strengths and weaknesses of the proposal with respect to broader impacts._x000D_
_x000D_
The solutions to the problems that this proposal aims to tackle will have an impact on the understanding of these markets from a primarily theoretical standpoint. However, given the prevalence of online two-sided markets, it is conceivable that some of the results may have implications in the way some of these markets are designed or optimized. This is made more likely by the fact that the PIs have ongoing relationships or collaborations with these companies that are poised to apply new ideas to their matching markets, and may be willing to experiment with some of the insights of this project._x000D_
_x000D_
In terms of their impact in education, developing classes that prepare students for positions as marketplace engineers in companies that manage this type of a service does sound like a valuable contribution._x000D_
_x000D_
_x000D_
Please evaluate the strengths and _x000D_
weaknesses of the proposal with respect to any additional solicitation-specific review criteria, if _x000D_
applicable_x000D_
_x000D_
_x000D_
_x000D_
Summary Statement_x000D_
_x000D_
This seems like a well-organized proposal aiming to better understand a well-motivated family of problems related to dynamic two-sided markets._x000D_
_x000D_
</t>
  </si>
  <si>
    <t xml:space="preserve">In the context of the five review elements, please _x000D_
evaluate the strengths and weaknesses of the proposal with respect to intellectual merit._x000D_
_x000D_
This proposal is concerned with the modeling and technical challenges involved in analyzing two-sided marketplaces._x000D_
The work outlined in the proposal will definitely serve to enhance the extant body of work in the literature._x000D_
After reviewing the proposal, I was unable to discern the exact_x000D_
problems that the PIs intend to attack. Six research challenges are supposed to describe the work. But these research challenges do not_x000D_
model the problem exactly. Even worse, I did not see any partial progress or a plan of attack on how the proposed problems are going to_x000D_
be addressed. This is unfortunate, since the PIs have a strong track record and are conversant with the problems in the field. _x000D_
The primary beneficiary of the PIs work will be industry; the_x000D_
proposed work at times appears to be empirical._x000D_
The PIs are well-qualified to undertake the work and their home institutions have adequate resources to support their work._x000D_
_x000D_
In the context of the five review elements, please _x000D_
evaluate the strengths and weaknesses of the proposal with respect to broader impacts._x000D_
_x000D_
While most of the broader impacts are standard, it must be mentioned_x000D_
that the PI has been very successful in mentoring graduate students. _x000D_
His students are well-placed and reflect well on his mentoring capability. _x000D_
The impact on industry could be fleshed out a little more with_x000D_
actual examples of where the proposed ideas will be put into action._x000D_
Merely, stating that they have collaborators in Microsoft and Lyft is not very convincing._x000D_
_x000D_
Please evaluate the strengths and _x000D_
weaknesses of the proposal with respect to any additional solicitation-specific review criteria, if _x000D_
applicable_x000D_
_x000D_
_x000D_
_x000D_
Summary Statement_x000D_
_x000D_
The proposal seems to be very vague in what the PIs intend to achieve._x000D_
There is very little actual modeling in the proposal, which will_x000D_
permit the reader to appreciate the exact difficulties of the problems involved._x000D_
_x000D_
</t>
  </si>
  <si>
    <t>EK1008459</t>
  </si>
  <si>
    <t>Vazirani</t>
  </si>
  <si>
    <t>vazirani@ics.uci.edu</t>
  </si>
  <si>
    <t xml:space="preserve">In the context of the five review elements, please _x000D_
evaluate the strengths and weaknesses of the proposal with respect to intellectual merit._x000D_
_x000D_
The PIs propose to build an algorithmic toolkit for new two-sided markets including many that have emerged on the Internet. On the face of it, this sounds like a very timely goal, given the realities of such marketplaces. Unfortunately, the proposal presents no new fundamental algorithmic model or question towards moving to this goal. The proposal is full of jargon, it keeps adding more and more complicated bells and whistles to the problem and it lists a large number of small goals. Also, it is highly verbose and repetitive. _x000D_
_x000D_
I don't see this proposal leading to creative, original or highly transformative progress. It will probably result in a large number of mediocre to decent papers, but the chance of any of them having a lasting impact on two-sided markets is low._x000D_
_x000D_
The PI has done decent work on related topics in the past. The co-PI is very junior and is establishing his credentials as a researcher. Both are quite competent, even if the proposal is not that impressive._x000D_
_x000D_
_x000D_
In the context of the five review elements, please _x000D_
evaluate the strengths and weaknesses of the proposal with respect to broader impacts._x000D_
_x000D_
If the research project pans out with the given goal of building an algorithmic toolkit for new two-sided markets, it will have broader impacts, since such marketplaces are becoming larger and more dominant on the Internet. _x000D_
_x000D_
The PIs have also proposed to advice graduate students and to mentor women, minorities, and undergraduates. They will also broadly disseminate their results, as they have done in the past, by organizing workshops and developing course materials._x000D_
_x000D_
Please evaluate the strengths and _x000D_
weaknesses of the proposal with respect to any additional solicitation-specific review criteria, if _x000D_
applicable_x000D_
_x000D_
_x000D_
_x000D_
Summary Statement_x000D_
_x000D_
The PIs propose to build an algorithmic toolkit for new two-sided markets including many that have emerged on the Internet. On the face of it, this sounds like a very timely goal, given the realities of such marketplaces. Unfortunately, the proposal has not identified any new fundamental models or problems whose successful resolution would lead to lasting impact on such marketplaces._x000D_
_x000D_
</t>
  </si>
  <si>
    <t>Markets are an ancient institution, which today are being transformed by the digital revolution. At its core, a market is a means of facilitating any economic transaction between two distinct groups of agents (henceforth, buyers and sellers). Many of today's most important marketplaces arise in the context of the multi-billion dollar sharing economy: Lyft and Uber for transportation; AirBnB for lodging; Taskrabbit_x000D_
and Upwork for physical and virtual work; Google Express, Amazon Fresh, and Shyp for shipping and delivery; and also more "classical" platforms like Amazon, eBay, and Etsy that facilitate the transactions of goods._x000D_
_x000D_
Unlike traditional markets, online platforms enable more fine-grained monitoring of participants, and more detailed control via pricing, terms of trade, visibility and directed search, information revelation and recommendation, etc. On the other hand, these marketplaces witness complex stochastic dynamics and strategic interactions between agents, leading to complex equilibrium outcomes in the market. The goal of this proposal is to develop new algorithms and techniques for optimizing such marketplaces._x000D_
_x000D_
Keywords: Two sided markets; approximation algorithms; stochastic optimization; algorithmic game theory; pricing; sharing economyThis proposal aims to lay down theoretical foundations for modern two sided marketplaces, focusing on the problem of jointly optimizing an admission control policy (either based on pricing or search-based discovery) coupled with a dynamic scheduling policy to match accepted buyers and sellers. The rich models considered will incorporate dynamically arriving agents with different patience levels and types, and complex matching constraints between types.  The techniques developed will require an interplay between the skill sets of the two PIs -- approximation algorithms and algorithmic game theory on one end, and queueing theory and stochastic modeling on the other end. This will address two-sided variants of central questions in pricing theory, matching and scheduling theory, and location theory._x000D_
_x000D_
In addition to methodological contributions to these problems, our work will also involve collaboration with industrial partners, (in particular, we already have an ongoing project on these topics with researchers at Google) to better understand the problems faced by real-world online marketplaces, and test the algorithms we develop on these platforms.Two-sided platforms have become the cornerstone of the modern sharing economy. The algorithmic problems studied in this proposal will lead to a deeper understanding of how these systems should be optimized and deployed. The discovered algorithmic solutions will allow practitioners to approach the design of these platforms from an entirely new angle. The interdisciplinary nature of the proposed work will lead to attacking the same set of problems from multiple angles, so that there is a greater chance of influencing the way these systems are designed and deployed in practice. The next generation of students will be equipped with the relevant algorithmic skills via effective teaching and mentorship. Results from_x000D_
the proposed work will be broadly disseminated via organizing workshops and developing course materials, tutorials, and monographs.</t>
  </si>
  <si>
    <t>1763481</t>
  </si>
  <si>
    <t>Rudra</t>
  </si>
  <si>
    <t xml:space="preserve"> Panel Summary       
 Description :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specific questions proposed are the following:_x000D_
_x000D_
1. Can one characterize matrices A for which the matrix-vector product Ax can be computed in near-linear time? Many sufficient conditions are known, and the PIs propose an "algebraic" one that appears to capture many of the known classes._x000D_
2. Given a matrix A, can we compute the closest "low width" approximation? _x000D_
3. Given a low-width matrix, can its inverse be computed efficiently?_x000D_
_x000D_
These questions are fundamental, and progress on them would have many applications. The PIs specifically highlight the application to deep neural networks._x000D_
_x000D_
The PIs have a history of collaboration, and have worked on faster methods for computing database joins. Their prior work (to appear at SODA) examines the notion of width proposed, and acts as a basis for the proposal._x000D_
_x000D_
INTELLECTUAL MERIT_x000D_
_x000D_
Strengths_x000D_
_x000D_
+ The questions proposed are quite fundamental, and progress would be beneficial to many applications. _x000D_
+ The PIs have a preliminary joint work that defines the recurrence width and shows how to perform fast matrix-vector multiplies._x000D_
_x000D_
Weaknesses_x000D_
_x000D_
- The PIs wish to make progress towards "characterizing" matrices that allow fast matrix-vector multiplication. While the low-width condition is sufficient, there's no evidence that it is a step towards characterization. _x000D_
- The application to deep neural networks needs to be elaborated. Why is this notion of width likely to lead to better accuracy?_x000D_
- Connections between the earlier work on database joins and matrix vector product, if any, needs to be explained._x000D_
- The PIs don't use displacement structure in any convincing way in applications._x000D_
_x000D_
_x000D_
BROADER IMPACTS_x000D_
_x000D_
The PIs propose a host of curriculum development activities, including a textbook on coding theory. There is also a statement on encouragement of women in CS._x000D_
_x000D_
Strengths_x000D_
_x000D_
+ PI Rudra organized events for CS Ed Week that reached large numbers of grade school students, and plans to continue this annually. _x000D_
+ The PIs propose to organize a workshop to bring together researchers from coding theory, complexity theory, database theory, machine learning, and signal processing. _x000D_
_x000D_
Weakness_x000D_
_x000D_
- The PIs say they "plan to validate work within DeepDive", but don't tell us how and where exactly the work is likely to lead to improvements._x000D_
_x000D_
Some members of the panel felt that the broader impacts superficially touched many aspects, while not having a single item that stood out._x000D_
 _x000D_
_x000D_
ADDITIONAL REMARKS_x000D_
_x000D_
Data Management Plan:  This section adequatly explains how the experimental data, the software, and the theoretical results will be made available._x000D_
_x000D_
Results of prior support:  Results have been clearly stated._x000D_
_x000D_
Suggestions to PI(s): _x000D_
_x000D_
Addressing the questions pointed out in the weakness sections of both the intellectual merit and the broader impact would make the proposal stronger. Developing and describing an approach to some of the technical questions would also help._x000D_
_x000D_
Justification for Panel Rating: The case for the proposed notion of width, particularly in the applications, was not convincing. Some of the technical questions didn't have a concrete approach presented._x000D_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</si>
  <si>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Beyond Sparsity: Refined measures of complexity for linear algebra_x000D_
_x000D_
L: 1763481 Rudra, Atri SUNY Buffalo $  645,322_x000D_
N: 1763315 Re, Christopher Stanford University $  552,118_x000D_
_x000D_
_x000D_
P180637 LC AF Medium Panel /  Dec 11-12 (9 panelists),_x000B_  on 12/12/2017, recommended as Low Competitive (V,G,G,F)_x000D_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</si>
  <si>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aims to study the fundamental problem of performing matrix operations on dense, structured matrices in sub-quadratic time. Following their prior work involving computation of joins in database queries, the PIs propose a notion known as the "recurrence width" of a matrix.  In preliminary work, the PIs show that the recurrence width is a sufficient condition for the fast computability of the matrix-vector product (after some pre-processing)._x000D_
_x000D_
The questions discussed are the following:_x000D_
_x000D_
1. Can one characterize matrices A for which Ax can be computed in near-linear time? Several sufficient conditions are known, and the PIs propose an "algebraic" one that appears to capture many of the known classes._x000D_
2. Given an arbitrary matrix A, can we compute the closest "low width" approximation? (this is analogous to low-rank matrix approximation)._x000D_
3. Given a low-width matrix, can its inverse be computed efficiently? (At least in the sense of allowing the computation of A^{-1} b)_x000D_
4. For what matrices A can we solve the "sparse recovery" problem of being able to compute 'b' from (Ab + error) in time that only depends on the sparsity of 'b'?_x000D_
_x000D_
All of these questions are quite fundamental, and thus progress on them would have immediate applications (deep learning being one, if we assume that "auto-differentiation" can also be done efficiently._x000D_
_x000D_
The PIs have a history of collaboration, and have also worked on earlier incarnations of this idea, towards computing database joins. Their prior work examines the notion of width proposed, and acts as a basis for the proposal._x000D_
_x000D_
Negatives:_x000D_
The main issue is that while the problems posed are all significant, the proposal lacks a rough plan/approach towards a majority of these questions. _x000D_
_x000D_
Also, in application areas such as deep networks, it is not clear if one definition of width is better than another (or they may be equivalent, if one increases the size slightly) if such a restricted architecture is to be used while training. If it is to be used post training, then one needs to analyze how the approximation behaves after applying non-linear transformations at each level._x000D_
_x000D_
In the context of the five review elements, please _x000D_
evaluate the strengths and weaknesses of the proposal with respect to broader impacts._x000D_
_x000D_
The PIs propose to organize a workshop bringing together different communities._x000D_
_x000D_
PIs have strong credentials w.r.t. training of undergraduates._x000D_
_x000D_
PIs express a strong encouragement for women and under-represented groups in CS._x000D_
_x000D_
PI Rudra has also been involved in organizing events for local K-12 students._x000D_
_x000D_
Please evaluate the strengths and _x000D_
weaknesses of the proposal with respect to any additional solicitation-specific review criteria, if _x000D_
applicable_x000D_
_x000D_
_x000D_
_x000D_
Summary Statement_x000D_
_x000D_
In summary, the PIs consider the broad question of matrix operations on dense matrices in near linear in n time. They propose a notion of width to characterize this, and explore various fundamental questions. Progress on these would have great practical impact, but the proposal doesn't appear to show plausible directions for many of the questions._x000D_
_x000D_
The PIs are well-qualified and have a record of working together on related problems._x000D_
_x000D_
</t>
  </si>
  <si>
    <t xml:space="preserve">In the context of the five review elements, please _x000D_
evaluate the strengths and weaknesses of the proposal with respect to intellectual merit._x000D_
_x000D_
This proposal is mostly about obtaining faster algorithms for certain linear algebraic operations, when the main matrix involved has some special structure. A key insight of the PIs is their concept of "recurrence width". Having low width makes certain tasks easier; e.g., matrix-vector multiplcation becomes admits a faster O(t^2 N + preprocessing) time algorithm for N x N matrices of width t. Their notion of width generalizes sparsity (low number of nonzeros) and the kind of low complexity seen in e.g., Toeplitz, Hankel, Vandermonde matrices._x000D_
_x000D_
The PIs are proposing to study questions around their above-mentioned result; for instance: (1) characterize those N x N matrices that allow O~(N)-time matrix vector multiplication; (2) given matrix A, find an "easy" nearby matrix B; (3) remove the cost of preprocessing, which currently depends on the matrix-matrix multiplication exponent, in their above result; (4) extend this line of work to solving a linear system whose matrix has low width._x000D_
_x000D_
Matrix-vector multiplication is an "inner loop" task in deep learning. Based on this, the proposal hints at impact of this work in deep learning._x000D_
_x000D_
A thorough understanding of the consequences of small recurrence width can also have an impact in coding theory, through efficient algorithms for multipoint evaluation of multivariate polynomials._x000D_
_x000D_
Strengths:_x000D_
_x000D_
+ The proposal is about seeking efficiency for basic tasks that should be widely applicable._x000D_
+ The PIs seem to have a nice insight (recurrence width) whose implications haven't yet been fully worked out._x000D_
+ They have in the past made surprising progress on the decades old problem of computing relational joins (through a very different theoretical insight)._x000D_
_x000D_
Weaknesses:_x000D_
_x000D_
- The proposal sometimes reads like a long wish list, with no hint about how the wished for results might be obtained._x000D_
- Some key questions are too general (e.g., question 2.1, 2.6, 2.11); the proposal could be improved by spending a few words saying what kind of result can reasonably be expected._x000D_
_x000D_
_x000D_
_x000D_
In the context of the five review elements, please _x000D_
evaluate the strengths and weaknesses of the proposal with respect to broader impacts._x000D_
_x000D_
The project will one graduate student at each university, plus several undergraduates through an REU supplement to be applied for. The PIs will organize a workshop to bring together the relevant communities. PI Rudra is in the process of writing a book on coding theory. _x000D_
_x000D_
_x000D_
_x000D_
Please evaluate the strengths and _x000D_
weaknesses of the proposal with respect to any additional solicitation-specific review criteria, if _x000D_
applicable_x000D_
_x000D_
_x000D_
_x000D_
Summary Statement_x000D_
_x000D_
This is a good proposal on an important problem, exploring a novel approach for obtaining faster algorithms and also exploring surrounding theoretical questions. It could be improved by adding more detail such as solution approaches to some of the problems, and more precise statements of possible theorems to be obtained._x000D_
_x000D_
_x000D_
</t>
  </si>
  <si>
    <t xml:space="preserve">In the context of the five review elements, please _x000D_
evaluate the strengths and weaknesses of the proposal with respect to intellectual merit._x000D_
_x000D_
This proposal aims to obtain new algorithms for linear algebra operations whose performance is evaluated in the context of parameterized complexity. In particular, the PIs suggest to make a study similar to their notion of "recurrence width". It seems to me that much of the proposal is based on this notion that is not well-justified neither very well connected to the claimed applications. This notion appears in a technical report (posted online about a year ago), which is probably accepted in SODA 2016, by the PIs and their collaborators. Furthermore, the proposal uses somewhat non-standard language referring to fixed-parameter tractability as "non-worst case", which seems to me neither true nor appropriate in this context. Please, by changing the parameter of the running time (or by restricting the inputs to specific matrices) we do not change the nature of worst-case analysis. Despite this the idea that the proposed research is not about "worst-case" keeps repeating throughout the proposal. This is an example that shows that the whole proposal can be greatly benefitted by rewriting it and putting things in proper context. Finally, in my opinion the various discussions about connections to other areas are elussive. For example, I do not understand why by restricting the matrices used in the layers of DNNs will help the learning process (there is only a very unclear and speculative discussion on this). I understand that after one has the trained model these algorithms will work faster, but learning the model itself doesn't seem an easier task._x000D_
_x000D_
In the context of the five review elements, please _x000D_
evaluate the strengths and weaknesses of the proposal with respect to broader impacts._x000D_
_x000D_
+ both PIs have very good record in a number of important areas in theory of computing. PI Re has also made substantial contributions in the interface between theory and practice. _x000D_
_x000D_
+ very good broader impacts section._x000D_
_x000D_
- unclear if the new parameterized complexity for matrices will advance the field._x000D_
_x000D_
- unclear connection to applications in machine learning._x000D_
_x000D_
Please evaluate the strengths and _x000D_
weaknesses of the proposal with respect to any additional solicitation-specific review criteria, if _x000D_
applicable_x000D_
_x000D_
_x000D_
_x000D_
Summary Statement_x000D_
_x000D_
As explained above I am not in favor in supporting this proposal._x000D_
_x000D_
</t>
  </si>
  <si>
    <t xml:space="preserve">In the context of the five review elements, please _x000D_
evaluate the strengths and weaknesses of the proposal with respect to intellectual merit._x000D_
_x000D_
This proposal is well written, the PIs have a very good track record with a lot_x000D_
of "best paper" awards, and the ideas for how to approach some of these_x000D_
problems seem solid._x000D_
_x000D_
The PIs want to study classes of matrices that have parsimonious descriptions_x000D_
such as low-rank matrices and other matrices whose structure makes it possible_x000D_
to express them in a compressed format.  In particular, they're interested in_x000D_
matrices with low "recurrence width".  Goals include: designing fast algorithms_x000D_
for computing with these matrices; approximating a general matrix with one that_x000D_
has low recurrence width, or is a sparse perturbation of such a matrix; and_x000D_
taking advantage of the properties of these matrices in neural nets and in_x000D_
coding theory._x000D_
_x000D_
There's a lot to like about this story.  The PIs have preliminary work showing_x000D_
that they can do fast matrix-vector multiplies with matrices with low_x000D_
recurrence width, as well as solving linear systems somewhat quickly (e.g.,_x000D_
multiplying the inverse of a matrix by a vector).  (They also provide analogies_x000D_
to their past very successful work on "fractional hypertree width" for fast_x000D_
database join algorithms.)  They take steps toward unifying low-rank matrices_x000D_
(which enable fast computations via the SVD) with "displacement-structured"_x000D_
matrices, e.g., Toeplitz, Hankel, Vandermonde, Cauchy; and they can do the same_x000D_
fast matrix operations with this broader class of matrices.  One of the_x000D_
proposed research problems is to *completely* characterize the family of_x000D_
matrices for which we can do these operations quickly; I suspect that is asking_x000D_
a little too much, but the question points in a fruitful direction.  Another_x000D_
research problem is, given an arbitrary matrix not in this family, find the_x000D_
"nearest" matrix that is in the family._x000D_
_x000D_
The authors then discuss how these methods could speed up applications in_x000D_
neural networks or algebraic coding theory.  I like the PIs' efforts to link_x000D_
their ideas about "beyond sparse" linear algebra to applications._x000D_
_x000D_
However, I think there are opportunities for the PIs to take this further._x000D_
Are there particular properties of "displacement-structured" matrices_x000D_
(Toeplitz, Hankel, Vandermonde, Cauchy, etc.) that might make them particularly_x000D_
suitable for these applications?  (Other than, of course, the speed of matrix_x000D_
computations.)_x000D_
_x000D_
Let me give an example of what I mean.  In ongoing work (not yet published),_x000D_
Inderjit Dhillon and his students have been exploring deep learning where they_x000D_
replace the usual matrices between layers of neurons with an SVD_x000D_
representation, where the orthogonal matrices are further reduced to_x000D_
Householder transformations.  The gradient descent training procedure is_x000D_
constrained so that all the singular values of each matrix must remain close_x000D_
to 1.  This solves the "exploding gradient problem" and greatly reduces the_x000D_
"vanishing gradient problem" in time-dependent neural nets like LSTMs._x000D_
I think it's a great example how by controlling the representation of a matrix,_x000D_
one can impose constraints that improve the neural net's performance and_x000D_
generalization.  I would like to know whether the PIs have any thoughts about_x000D_
whether displacement-structure matrices and low-rank matrices have potential to_x000D_
impose other useful constraints that might help better regularize a neural net,_x000D_
or solve some other problems.  (The proposal mentions that Google found that_x000D_
Toeplitz-like matrices were particularly effective for mobile speech_x000D_
recognition, but it doesn't tell us why.)  I feel like the PIs left the_x000D_
proposal hanging here--I'd like to believe that "beyond sparse" matrices might_x000D_
have some structure that can aid applications above and beyond merely making_x000D_
matrix-vector computations faster, but I suspect the PIs haven't thought this_x000D_
through._x000D_
_x000D_
Other "questions" the PIs propose to solve that I particularly like are_x000D_
Questions 2.5, 2.9, and 2.19/2.20.  (I appreciate some attention to numerical_x000D_
stability.)  I don't really understand the point of Question 2.6, and wish the_x000D_
PIs would explain it a bit more._x000D_
_x000D_
One minor quibble is that while the PIs have many "best paper" awards, which_x000D_
would seem to be an excellent endorsement of their abilities, the overly short_x000D_
section on "Results from Prior NSF Support" missed the opportunity to explain_x000D_
to we reviewers *why* the authors won so many best paper awards, which I think_x000D_
would have strengthened the proposal.  (I'm also curious if the results on fast_x000D_
database join operations are as big a deal as they sound like they might be.)_x000D_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Rudra is coauthoring_x000D_
a book on coding theory, so research ideas are likely to be incorporated there_x000D_
as well.  There is some discussion of encouraging female students._x000D_
_x000D_
More unusually, Rudra organized events for CS Ed Week that reached large_x000D_
numbers of grade school students, and plans to continue this annually._x000D_
_x000D_
The PIs propose to organize a workshop to bring together researchers from_x000D_
coding theory, complexity theory, database theory, machine learning, and signal_x000D_
processing.  It does seem plausible that the proposed research could foster_x000D_
such cross-CS research collaborations._x000D_
_x000D_
The PIs say they "plan to validate our work within DeepDive", but don't tell us_x000D_
what that *means*.  I wish the PIs would say more about whether their project_x000D_
will generate any usable software._x000D_
_x000D_
There is an intriguing phrase about "work used in the fight against human_x000D_
trafficking."  If there's anything substantial there, the PIs really ought to_x000D_
elaborate._x000D_
_x000D_
I would advise the PIs that it's better to commit to just one or two very_x000D_
concrete, detailed, committed "Broader Impacts", rather than a bunch of vague_x000D_
ones._x000D_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with a very strong track record.  The ideas are really interesting, and they_x000D_
might have the potential to make an impact in applications, though the PIs_x000D_
haven't substantiated this to as great a degree as I suspect is possible._x000D_
The "Broader Impacts" are average among proposals of this type._x000D_
_x000D_
_x000D_
</t>
  </si>
  <si>
    <t>Modern data science applications involve multi-stage pipelines with multiple potential bottlenecks.  To optimize these systems, it is important to understand the limits of their performance.  Recent work by the PIs has proven new results by using the notion of a width to produce parameterized complexity bounds for common data-driven algorithms. A width is a measure of the structural complexity of a problem: low width implies parsimony, a simple and elegant structure._x000D_
_x000D_
While the long-term trajectory of the PIs' work is to further progress widths in general, work under the scope of this proposal focuses on the domain of linear algebra. This proposal will explore new applications and algorithms using a new width: the recurrence width.  Specifically, the proposal will: (1) develop fast algorithms on low recurrence width matrices for (exact) matrix operations and decompositions; (2) determine how a general matrix can be best approximated by a low-recurrence-width matrix, and whether this approximation can, as with the spectral decomposition, be used to extract useful structural properties of a matrix via a decomposition; and (3) consider specific approximate linear algebra operations (e.g. the sparse recovery problem) and consider other practical issues (e.g. numerical stability), which would be crucial for successful implementation of the developed algorithms in real systems._x000D_
The results obtained from these goals will be applied  to machine learning (especially neural networks) and algebraic coding theory._x000D_
_x000D_
Key Words: Parameterized complexity, linear algebra, neural networks, coding theory, matrix vector multiplicationA variety of problems in modern data science have been successfully characterized using a width; for example, one of the most common widths, the rank of a matrix, has a near-ubiquitous use across many applications. This proposal significantly expands the understanding of several recently-proposed widths and to extract their full potential for positive practical outcomes.  The theoretical work is expected to significantly contribute to the recently growing work on beyond worst-case analysis especially in linear algebra, machine learning and coding theory.Theoretical improvements in knowledge about widths have historically had significant impact within broad areas of machine learning.  Once the properties of the recurrence with are uncovered, for example, it is expected to be able to be leveraged to improve the performance of systems on some problems---problems with low recurrence width but high rank---by orders of magnitude. The ideas generated from this proposal will also ultimately be implemented in widely deployed systems._x000D_
_x000D_
The PIs will organize a workshop to bring together communities related to this proposal and will involve undergraduate researchers in this project. The PIs will also participate in outreach activities to K-12 students. The project will support the training of graduate students, and results will be disseminated via research publications, presentations, and course materials.</t>
  </si>
  <si>
    <t>1763557</t>
  </si>
  <si>
    <t xml:space="preserve"> Panel Summary       
 SUMMARY OF PROPOSED RESEARCH ACTIVITY_x000D_
_x000D_
Description: This proposal concerns sublinear space algorithms for foundational problems on data streams. About 18-20 years ago, a handful of influential papers showed us that it is possible to use only O(polylog n) space to estimate the number of distinct elements in a stream over {1,2,...,n}; estimate the L2-norm of such a stream; identify (approximately) the heavy hitters in the stream, both in the usual sense and the L2 sense; and sample from {1,2,...,n} approximately according to presence/absence in the stream (L0 sampling) or square-of-frequencies (L2 sampling). These algorithmic tasks are sometimes used as building blocks in other data streaming or sketching algorithms. Significantly, about 5 years ago, another influential paper showed how to obtain O(n polylog n)-space algorithms for several problems on undirected graphs._x000D_
_x000D_
Typically, the first algorithms proposed for these problems did not have optimal dependence on the key parameters: the universe size (n), the stream length (m), the accuracy of the estimate (epsilon, for a 1+epsilon multiplicative approximation), the probability of an inaccurate answer (delta), etc. Over time, theoretically better algorithms have been found for several of these problems. In some cases, improved lower bounds were shown to close the gap between the best upper bound and the best lower bound._x000D_
_x000D_
This proposal identifies several instances where gaps of this sort remain, and proposes to close these gaps. It is written in a way that suggests that gaps will be closed by giving better algorithms though of course it's possible that in some cases the algorithms are already optimal and what's needed is a better lower bound._x000D_
_x000D_
INTELLECTUAL MERIT_x000D_
The PIs have carefully laid out some very specific questions where gaps remain. Here are three representative examples: (1) Improve the space complexity of norm estimation when the stream is built using "positive updates" only (no deletions). (2) Improve the space complexity of a norm estimation algorithm that must provide an estimate after every update (both insertions and deletions). (3) Improve the space complexity of estimate the global min cut size of a streamed graph._x000D_
_x000D_
Strengths_x000D_
* The proposal is very well written. Each question posed is crisply defined and the state of the art on it is carefully described._x000D_
* The PIs are aiming for very precise answers to questions of the form "what is the optimal streaming algorithm for this problem?"_x000D_
* For several of the questions, some partial progress is indicated, making it likely that the PIs will indeed solve them soon._x000D_
* The PIs have a strong track record in the area, both on the upper bound and the lower bound side._x000D_
_x000D_
Weaknesses_x000D_
* The proposal's biggest weakness is that it does not aim high enough for a MEDIUM project._x000D_
* For almost all the problems being considered, the "next step" as proposed here would not be transformative. For most of these problems, we already have highly optimized algorithms and what's left is to eliminate a final log or log log factor. There is no indication that doing so would lead to either a more practical algorithm or significantly new mathematics._x000D_
* The project would not give us new streaming algorithms for problems where we don't already have an efficient algorithm. The closest it comes to doing so is the potential O(n/epsilon) space algorithm for global mincut, improving from O(n/epsilon^2)._x000D_
_x000D_
BROADER IMPACTS_x000D_
_x000D_
Strengths_x000D_
* Algorithms for some of these problems could end up being implemented in a streaming algorithms toolbox._x000D_
* The senior PI has an impressive track record of significant outreach to high school students, leading an intensive program to get high quality students interested in programming and algorithms. This is well beyond the usual outreach of giving a lecture or two at a high school._x000D_
_x000D_
Weaknesses_x000D_
* Nothing to note._x000D_
_x000D_
ADDITIONAL REMARKS_x000D_
_x000D_
Research plan: The project can reasonably be expected to deliver the promised results within the proposed duration._x000D_
_x000D_
Collaboration plan: The PIs are both in the Boston area and can meet as frequently as they wish. They are well suited to collaborating deeply._x000D_
_x000D_
Postdoc Mentoring plan: The PIs have described adequate plan for mentoring a postdoc by integrating the postdoc into their professional network and getting them involved in writing a grant proposal of their own. The postdoc will also be encouraged to mentor a grad or undergrad student._x000D_
_x000D_
Data Management Plan: The PIs will place all generated publications on open access systems. They state that they will make all implementations and code available on the web. No further details are given._x000D_
_x000D_
Results of prior support: Only one PI has prior (ongoing) NSF support. He describes one of his two grants, the one closer to the current proposal. Its most significant findings are succinctly and adequately described. The outreach activities resulting from it (workshop organization, talks given) are also summarized._x000D_
_x000D_
Justification for Panel Rating: This proposal is about closing the space complexity gaps for several foundational problems in data streaming. Though these problems were seen as fundamental, the panel agreed that these goals aren't sufficiently ambitious for a MEDIUM proposal._x000D_
_x000D_
Panel Rating:_x000D_
_ Highly Competitive_x000D_
_ Competitive_x000D_
X Low Competitive_x000D_
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</si>
  <si>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Dynamic data structures for vectors and graphs in sublinear memory_x000D_
_x000D_
L: 1763557 Nguyen, Huy Northeastern University $  574,949_x000D_
N: 1763504 Nelson, Jelani Harvard University $  475,000_x000D_
_x000D_
_x000D_
P180637 LC AF Medium Panel /  Dec 11-12 (9 panelists),_x000B_  on 12/12/2017, recommended as Low Competitive (V,G,G,G)_x000D_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Rahul Shah_x000D_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</si>
  <si>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proposed project concerns basic streaming and sketching problems: norm estimation, sparse recovery, basic graphs problems such as min cut, and related topics. Many of these problems have been studied since the beginning of the modern era of streaming algorithms (the paper of Alon-Matias-Szegedy). The proposal lists many concrete problems to be explored, such as the following._x000D_
1. Improve the space complexity of computing a 1+epsilon estimate to the L2 norm of a stream built using only insertions, that uses O(1/epsilon^2 + log n) space, instead of the known O(1/epsilon * log n)._x000D_
2. Improve the space complexity of finding the "epsilon-L2-heavy-hitters" of a stream (those that contribute more than an epsilon fraction of the L2 mass) to O(k) words, where k = 1/epsilon^2. The current record is O(k log k) by PI Nelson, itself an improvement of an O(k log k log log n) bound from a year ago._x000D_
3. What is the optimal way to "track" the L2 norm of an evolving stream, meaning provide an estimate of L2 after every update? There is a trivial way to do this using a one-shot L2 estimator and blowing up its space usage by O(log m). Can this be improved? _x000D_
4. Determine the optimal space complexity of a (k,d1,d2)-sampler for a vector x created using coordinate updates. Such a sampler is supposed to "fail" with probability at most d1 and, when it succeeds, must output a sample of k elements from support(x) that should be d2-close to a uniform sample. This is a basic subroutine is recent graph sketching algorithms (Ahn-Guha-McGregor)._x000D_
5. Preserving all cuts in a graph to within 1+/-epsilon requires space about O(n/epsilon^2), but if we want only the global mincut, is there a streaming algorithm that uses says O(n/epsilon) space? _x000D_
_x000D_
Strengths:_x000D_
_x000D_
+ Both PIs have strong track records in obtaining many tight space bounds in data streaming/sketching._x000D_
+ The problems considered here are fundamental in nature._x000D_
+ The PIs are located in the same area (Boston) and have many previous collaborations._x000D_
_x000D_
Weaknesses:_x000D_
_x000D_
- These problems are, by their nature, very narrow and technical._x000D_
- Much of the proposed work is about optimizing away a final log n (sometimes even log log n) type factor in a space bound. It's not clear that this matters to potential users of streaming/sketching algorithms and the proposal doesn't try to make any such case._x000D_
- Theory for its own sake is fine, but the proposal doesn't make a case that solving these problems will teach us broader lessons within theory._x000D_
_x000D_
_x000D_
_x000D_
In the context of the five review elements, please _x000D_
evaluate the strengths and weaknesses of the proposal with respect to broader impacts._x000D_
_x000D_
_x000D_
The project will train one postdoc, and two or three graduate students in the general area. _x000D_
_x000D_
One of the PIs has been doing an impressive amount of outreach to high school students in Ethiopia and US Virgin Islands and will continue this work. The other PI's institution has a "coop program" through which undergraduates can be recruited to work on this research._x000D_
_x000D_
_x000D_
Please evaluate the strengths and _x000D_
weaknesses of the proposal with respect to any additional solicitation-specific review criteria, if _x000D_
applicable_x000D_
_x000D_
_x000D_
_x000D_
Summary Statement_x000D_
_x000D_
This is a good proposal from two PIs who are well-equipped to work on these problems. It feels too narrow for a "medium" proposal, which ought to aim higher._x000D_
_x000D_
_x000D_
</t>
  </si>
  <si>
    <t xml:space="preserve">In the context of the five review elements, please _x000D_
evaluate the strengths and weaknesses of the proposal with respect to intellectual merit._x000D_
_x000D_
This proposal suggests the topic of designing sublinear memory dynamic data structures for vectors and graphs. For the case of vectors, the PIs focus mostly on the insertions-only case, for which a frequency vector needs to be maintained while a stream of token is realized. The case of graphs is closely related with that of vectors, since a graph could be represented as a sequence of edges that are dynamically added or removed, so the PIs propose a sequence of questions for graphs as well._x000D_
_x000D_
The proposal is very well organized and the authors provide a smooth introduction into the topic with some appropriate definitions and context in the beginning. Given their prior work, both together and sepparately, the PIs appear to be well-positioned for attacking these problems. The problems appear to be quite fundamental, many of them having been studied for many decades, and the proposed questions would indeed make progress toward a deeper understanding of the power and limitations of small-space data structures._x000D_
_x000D_
_x000D_
In the context of the five review elements, please _x000D_
evaluate the strengths and weaknesses of the proposal with respect to broader impacts._x000D_
_x000D_
PI Nelson has a very strong record of outreach to underrepresented communities and younger students, which appears to be ongoing._x000D_
_x000D_
Appart from providing us with a deeper theoretical understanding of the proposed problems and streaming algorithms, the proposed problems also appears to be quite interesting not only from a theoretical perspective, but also from a practical one. Given the substantial interest from industry in optimizing some of the streaming algorithms discussed in this proposal, it seems likely that some of the results could have an immediate impact. A partial testatement to this fact is that some of the prior work of the PIs has appeared at applied conferences._x000D_
_x000D_
_x000D_
Please evaluate the strengths and _x000D_
weaknesses of the proposal with respect to any additional solicitation-specific review criteria, if _x000D_
applicable_x000D_
_x000D_
_x000D_
_x000D_
Summary Statement_x000D_
_x000D_
The proposed problems are interesting both from a theoretical and a practical perspective and the authors are well-positioned to attack them. The proposal is well organized, and the PI has a strong record of outreach._x000D_
_x000D_
</t>
  </si>
  <si>
    <t xml:space="preserve">In the context of the five review elements, please _x000D_
evaluate the strengths and weaknesses of the proposal with respect to intellectual merit._x000D_
_x000D_
The proposal deals with sketching and streaming algorithms for vectors and graphs. The focus is on deriving tight space bound. This includes_x000D_
- l_2-estimation and heavy hitters in insertion-only streams_x000D_
- impact of continuous estimation (rather than estimating at end of stream) on complexity_x000D_
- sparse recovery (or support finding) in turnstile streams_x000D_
- (dynamic and static) global min cut_x000D_
- cuts and connectivity in hypergraphs_x000D_
_x000D_
These are all important problems of continuing scientific interest. The description indicates that the PIs have many good ideas for tackling these problems._x000D_
_x000D_
The PIs have authored many of the most recent bounds for these problems, that appear in select conferences, and are eminently qualified to push the state-of-the-art further._x000D_
_x000D_
The downside is that the problems are quite narrow and focused on resolving the exact complexity of the problems. As this often revolves around logarithmic gaps, this seems not likely to involve fundamental underlying issues with greater implication (than to the specific problems considered). A proposal in the Medium category would need a more transformational potential._x000D_
_x000D_
_x000D_
In the context of the five review elements, please _x000D_
evaluate the strengths and weaknesses of the proposal with respect to broader impacts._x000D_
_x000D_
The problems are of industrial interest, and the result may well have industrial applications._x000D_
The PIs have a track record of outreach, both to K-12 and popularizing CS research to undergraduates._x000D_
_x000D_
The impact on society is though likely to be very indirect (as is the case with most theory research)._x000D_
_x000D_
_x000D_
Please evaluate the strengths and _x000D_
weaknesses of the proposal with respect to any additional solicitation-specific review criteria, if _x000D_
applicable_x000D_
_x000D_
_x000D_
_x000D_
Summary Statement_x000D_
_x000D_
Sketching and streaming algorithms for various fundamental problems on vectors and graphs. PIs have developed some of the main related results, and the project is highly likely to be successful. _x000D_
_x000D_
_x000D_
</t>
  </si>
  <si>
    <t xml:space="preserve">In the context of the five review elements, please _x000D_
evaluate the strengths and weaknesses of the proposal with respect to intellectual merit._x000D_
_x000D_
_x000D_
The current proposal is concerned with the design and analysis_x000D_
of sublinear data structures for vectors and graphs. Such data_x000D_
structures find tremendous applications within "streaming" _x000D_
applications. A fair amount of work has been undertaken in this _x000D_
field and quite a few results have been obtained in the literature._x000D_
_x000D_
The PIs have done a good job of surveying the literature and _x000D_
placing their proposed work in context. The research that they_x000D_
plan to conduct has been partitioned into 18 separate questions._x000D_
Prior to stating the research problem, they have clearly explained_x000D_
their prior work and the proposed plan of approach. Some of the_x000D_
questions are rather vague; however, for the most part, the_x000D_
research challenges have been clearly explained. The PIs have_x000D_
discovered the best bounds for some of the problems described_x000D_
and this lends a lot of credibility to their work._x000D_
_x000D_
_x000D_
The PIs and their assembled team are extremely well-qualified to_x000D_
undertake the tasks outlined in the proposal._x000D_
_x000D_
The institutions of the PIs have adequate resources to ensure that_x000D_
they carry out the proposed activities._x000D_
_x000D_
In the context of the five review elements, please _x000D_
evaluate the strengths and weaknesses of the proposal with respect to broader impacts._x000D_
_x000D_
The broader impacts are fairly standard. They have both involved_x000D_
underrepresented minorities and women in their work._x000D_
_x000D_
If the work is actually implemented in the toolboxes of companies_x000D_
such as Amazon and Google, then there will be a broad societal_x000D_
impact as well. The PIs have alluded to such applications, but_x000D_
they need to concretize the same._x000D_
_x000D_
Please evaluate the strengths and _x000D_
weaknesses of the proposal with respect to any additional solicitation-specific review criteria, if _x000D_
applicable_x000D_
_x000D_
_x000D_
_x000D_
Summary Statement_x000D_
_x000D_
This proposal is concerned with small-space data structures for_x000D_
streaming algorithms. The problems proposed have been heavily_x000D_
studied by the PIs as well as a host of others. This indicates_x000D_
that new results will have immediate recognition and impact._x000D_
_x000D_
The proposal has been crafted well and the PIs have a strong_x000D_
track record._x000D_
_x000D_
</t>
  </si>
  <si>
    <t>Sublinear space data structures have been of major recent interest, with applications for example in streaming algorithms, distributed computation, randomized linear algebra, and compressed sensing. Small space solutions have the advantage of fitting in fast cache, thus providing time speedups as well, and also require less storage and bandwidth in distributed settings. This proposal aims to develop novel methods for designing and analyzing sublinear space data structures for two seemingly different but closely related objects: vectors and graphs. In the former case, some high-dimensional vector x receives coordinate-wise updates, while in the latter a graph is subject to edge insertions/deletions and various queries._x000D_
Small-space dynamic data structures supporting vector updates, so-called "streaming algorithms", have been heavily studied beginning with the influential work of Alon, Matias, and Szegedy on supporting L_p-norm estimation queries on x [6]. Strikingly, despite tremendous progress in streaming over the last 20 years since that work, many basic problems remain open including understanding the space complexity of one of problems originally studied in [6]: namely that of estimating L2 of x when every update is simply increasing some x_i by 1. This problem, along with several fundamental problems on vectors, form the technical core of many streaming algorithms in different domains._x000D_
One such application domain of small-space dynamic data structures for vectors is to then obtain such data structures for dynamically changing graphs. Graphs are powerful common abstractions for a wide variety of real world objects such as social networks, the Internet, images, etc., and many of these graphs are dynamically changing over the course of an update stream. Recent work beginning with [3] showed that many graph queries, such as connectivity, can be supported via small-space data structures effectively by reduction to vector-update problems on an edge indicator vector x in R^{(n choose 2)}; see for example the survey [69]._x000D_
This proposal aims to further our understanding of fundamental questions related to small-space dynamic data structures for vector updates, and especially as they relate to graph problems._x000D_
- Small-space vector update data structures: the insertion-only case. In the insertion-only case, vector updates increment coordinates of x, so that x is a frequency count vector of the number of occurrences of various items in a data stream. The PIs plan to attack some of the most fundamental problems in this model, such as norm estimation, heavy hitters, and continuous monitoring of statistics._x000D_
- Fully dynamic streams and applications to graphs. Many of the best known small-space dynamic data structures for graph problems operate by reducing to vector update problems. For example, the only known nearly linear space algorithm for spectral sparsifiers operates by reduction to L2 heavy hitters [52], and algorithms for connectivity, k-edge connectivity, minimum spanning tree, and several others reduce to vector coordinate-sampling problems [3] (see also the survey [69]). Many open problems though still remain, e.g. what is the optimal space complexity for connectivity in dynamic streams? We also plan to investigate several other dynamic graph and hypergraph problems._x000D_
Keywords: streaming; graphs; data structuresThe proposed research directions concern problems in the foundations of small-space data structures and streaming algorithms. Many of the problems proposed are some of the first topics covered in courses covering streaming algorithms, and improvements are likely to generate new techniques to tackle many other problems. Also, the PIs are experts in the discussed problem domains and are well-equipped to make progress. They furthermore have an established record of joint productivity, with six jointly published works in the last 5 years in top venues [81, 78, 79, 80, 65, 66].The PIs plan to teach advanced graduate courses whose topics overlap with contents in this proposal. Furthermore, both PIs plan to train and mentor graduate and undergraduate students students in research, organize workshops, and write survey articles. PIs plan to also participate in outreach activities both to non-computer scientists, to K-12 students, and to broaden participation in computing. The research itself may also have industrial impact, being related to databases, network traffic analysis, and data mining.</t>
  </si>
  <si>
    <t>1763717</t>
  </si>
  <si>
    <t>Cheng</t>
  </si>
  <si>
    <t xml:space="preserve"> Panel Summary       
 Description:  The PIs propose to develop algorithms for counting roots of_x000D_
a system of polynomials over a finite field, counting points in the image of_x000D_
a system of polynomials over a finite field, decomposing an ideal over a finite_x000D_
field, and related tasks._x000D_
_x000D_
_x000D_
INTELLECTUAL MERIT_x000D_
_x000D_
Strengths_x000D_
_x000D_
+ The discussion of individual problems is very well-written.  From the point_x000D_
  of view of someone well-versed in the field, the proposal is well-structured_x000D_
  and organized._x000D_
+ The panel thought that a highlight of the proposal is on page 10:  if the_x000D_
  SPS-conjecture (that for all h in SPS(k, m, t, d), the number of roots of h_x000D_
  in Z is polynomial in k, m, t, and log d) and thus the consequence of_x000D_
  Theorem 1.17 is true, thus establishing a new separation in the direction of_x000D_
  VP != VNP, that would be an exciting result._x000D_
+ The PIs' past work is extremely impressive._x000D_
_x000D_
Weaknesses_x000D_
_x000D_
- The motivations for the proposed research are missing, as well as any_x000D_
  indication of which problems are more important and why._x000D_
- The proposal does not tell the panelists whether these results would_x000D_
  be important in some larger context, for example number theory or complexity_x000D_
  theory._x000D_
_x000D_
_x000D_
BROADER IMPACTS_x000D_
_x000D_
Strengths_x000D_
_x000D_
+ PI Rojas and his REU students obtained results that yield one of the best_x000D_
  parts of the proposal (page 11), showing an ability to employ undergraduate_x000D_
  researchers effectively._x000D_
_x000D_
Weaknesses_x000D_
_x000D_
- The Broader Impacts are standard and nothing else (besides the strength_x000D_
  above) stands out._x000D_
_x000D_
_x000D_
Suggestions to PI(s):_x000D_
_x000D_
Medium (and Large) proposals need to be written with a wide range of reviewers_x000D_
in mind.  Do not assume that all the reviewers know specifics about your_x000D_
subfield--especially what is considered important or impressive work.  Provide_x000D_
context and motivations; place your proposed research in the context of math_x000D_
and Algorithmic Foundations as a whole.  Explain what would be the impact of_x000D_
the outcomes of this research on other theoretical research (or applications)._x000D_
It would help if the PIs shorten the list of problems to make room for the big_x000D_
picture._x000D_
_x000D_
_x000D_
Justification for Panel Rating:_x000D_
_x000D_
The PIs did not make it clear to the panel why we should be excited about this_x000D_
research._x000D_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</si>
  <si>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AF:Medium:Collaborative Research: Algorithms and Complexity of Polynomial Systems_x000D_
_x000D_
L: 1763717 Cheng, Qi U of Oklahoma $  298,823_x000D_
N: 1763635 Wan, Daqing U of Cal Irvine $  299,950_x000D_
N: 1763644 Gao, Shuhong Clemson University $  299,918_x000D_
N: 1763774 Rojas, J. Maurice Texas A&amp;M Main Campus $  300,000_x000D_
_x000D_
_x000D_
P180637 LC AF Medium Panel /  Dec 11-12 (9 panelists),_x000B_  on 12/12/2017, recommended as Low Competitive (V,V,F,F)_x000D_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</si>
  <si>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work here is in computational algebraic geometry over finite fields. The proposal would support four well-qualified PIs.  It follows up a current joint CCF medium grant, which has been productive._x000D_
_x000D_
There are three main foci: counting the number of solutions to a system of polynomial equations over finite fields, decomposing polynomial ideals into prime parts, and an algebraic geometry attack on a lower bound for computation of the permanent.  All of these seem quite difficult and the proposal lays out convincing approaches to each of them._x000D_
Finding prime decompositions of ideals for families of polynomials over finite fields is a tool used both in counting roots and for the potential complexity result.    _x000D_
_x000D_
Strengths_x000D_
_x000D_
- existing team, clear goals, strong intellectual merit_x000D_
- these are useful tools for algebraic computation_x000D_
_x000D_
Weaknesses_x000D_
_x000D_
- the community to which this work would be of direct interest is pretty small.  A stronger tie to one or two particular applications would be great._x000D_
_x000D_
In the context of the five review elements, please _x000D_
evaluate the strengths and weaknesses of the proposal with respect to broader impacts._x000D_
_x000D_
The PIs are all involved educators. PI Rojas has used this material in REU programs, and actually produced and published some of the interesting preliminary work with his REU team._x000D_
_x000D_
Please evaluate the strengths and _x000D_
weaknesses of the proposal with respect to any additional solicitation-specific review criteria, if _x000D_
applicable_x000D_
_x000D_
_x000D_
_x000D_
Summary Statement_x000D_
_x000D_
High-quality proposal in a somewhat narrow area._x000D_
_x000D_
</t>
  </si>
  <si>
    <t xml:space="preserve">In the context of the five review elements, please _x000D_
evaluate the strengths and weaknesses of the proposal with respect to intellectual merit._x000D_
_x000D_
This proposal is mostly about computational algebra. The two central problems to be studied are: (1) count the common roots of a system of _x000D_
polynomials over some finite ring; and (2) count the number of points in the image of such a polynomial map. A number of more abstract problems_x000D_
in the same spirit are also considered, e.g., computing the radical of an ideal, and computing a primary decomposition. For the most part, the _x000D_
PIs seek to develop algorithms for the various problems they consider._x000D_
_x000D_
The problems are introduced using an unnecessarily heavy amount of jargon and there are many references to theorems and concepts from pure _x000D_
mathematics that are unfamiliar to a typical theoretical computer scientist._x000D_
_x000D_
Towards the end, the proposal gives an "SPS-conjecture" which is a conjectured upper bound on the number of integer roots of a certain type of _x000D_
polynomial, and mentions that this conjecture would separate VP from VNP. The PI's don't seem to be proposing to attack the conjecture but say _x000D_
that a special case of it can be attacked using their technique of "A-discriminants". They never get around to explaining what an A-discriminant_x000D_
is._x000D_
_x000D_
The work being proposed here, though nominally about algorithm design, is really about computational questions in commutative algebra. The _x000D_
authors' own relevant publication record, as mentioned in their biosketches, has hardly any intersection with the standard venues of theoretical_x000D_
computer science._x000D_
_x000D_
Strengths_x000D_
+ The first two problems mentioned are basic problems in mathematics and it would be good to understand special cases of them algorithmically._x000D_
+ The PIs have had a successful collaboration on these types of problems in the recent past._x000D_
_x000D_
Weaknesses_x000D_
- The proposal is not written to be understood by a standard TCS audience and may in fact be more appropriate as a mathematics proposal._x000D_
- The PIs' track record of publication is not in TCS venues._x000D_
_x000D_
_x000D_
_x000D_
In the context of the five review elements, please _x000D_
evaluate the strengths and weaknesses of the proposal with respect to broader impacts._x000D_
_x000D_
The PIs have successfully worked with undergraduate students through an REU._x000D_
_x000D_
The broader impacts are otherwise standard._x000D_
_x000D_
_x000D_
Please evaluate the strengths and _x000D_
weaknesses of the proposal with respect to any additional solicitation-specific review criteria, if _x000D_
applicable_x000D_
_x000D_
_x000D_
_x000D_
Summary Statement_x000D_
_x000D_
This is a densely written proposal on esoteric mathematical problems that may be important, but are not well explained to a TCS audience._x000D_
_x000D_
_x000D_
</t>
  </si>
  <si>
    <t xml:space="preserve">In the context of the five review elements, please _x000D_
evaluate the strengths and weaknesses of the proposal with respect to intellectual merit._x000D_
_x000D_
The strengths of this proposal are that it is well written, the PIs clearly_x000D_
have a very good track record indicating their fitness to solve the problems_x000D_
they propose to solve, and the ideas for how to approach some of these problems_x000D_
seem solid.  I like Section 2, which does a good job of explain the PIs' past_x000D_
track record and capabilities._x000D_
_x000D_
The main weakness of this proposal--and it's a big one--is that there is_x000D_
virtually no discussion of what I call "The Big Picture".  If the PIs fully_x000D_
succeed in accomplishing everything they propose, what larger impact will it_x000D_
have on this field of mathematics?  What impact will it have on applications?_x000D_
Why do the PIs want to solve these particular problems?  Of all the problems_x000D_
the PIs propose to solve, which are the most important, and why?  Of all the_x000D_
problems the PIs *could* propose to solve, why did they choose these ones?  How_x000D_
do the PIs prioritize, and how should we reviewers prioritize?  The PIs have_x000D_
devoted years of their lives to these sorts of problems, so they must have_x000D_
strong motivations for doing so, but what are those motivations?  Why do these_x000D_
questions excite the PIs?  I argue that answering these questions is the most_x000D_
important part of a proposal.  But this proposal devotes approximately zero_x000D_
attention to them.  There's literally no hint *why* the PIs care at all._x000D_
_x000D_
As reviewers, we are asked to prioritize different proposals, and to evaluate_x000D_
the importance of problems addressed in those proposals.  It is the_x000D_
responsibility of the proposal authors to help us reviewers in this task by_x000D_
giving us their view of what is important and why.  I, personally, can read and_x000D_
understand this proposal, but I have no idea which of these problems are worth_x000D_
solving or why.  (I hope the PIs are aware that not all of the reviewers are,_x000D_
or should be, experts in precisely the same subfield as the PIs.  The proposal_x000D_
needs to reach out to those of us who are experts in adjacent fields--for_x000D_
example, geometry, scientific computing, and numerical analysis in my case--and_x000D_
convince us that you've chosen problems worth solving.)_x000D_
_x000D_
Lacking all context about the PIs' motivations or the Big Picture, this_x000D_
proposal becomes a numbingly long list of undifferentiated problems the PIs_x000D_
propose to solve.  I can only guess if any of them are worth solving, or if the_x000D_
research plan adds up to some bigger vision.  The proposal would benefit_x000D_
greatly from discussing fewer problems and using that space to provide context,_x000D_
motivations, and the PIs' reasons for being enthusiastic.  The Big Picture._x000D_
_x000D_
Having said that, here are a few things that strike me as cool and interesting:_x000D_
Target Result 1.5, Target Result 1.11, and the geometric study by Rojas and REU_x000D_
students discussed in Section 1.5.1 and subsequent discussion up to Target_x000D_
Result 1.24.  My response to most of the rest of the technical section is, "Why_x000D_
do you want to solve that?"  Target Result 1.2 strikes me as archetypal of the_x000D_
proposal's deficient motivation:  I spent much time pondering, why do you care_x000D_
about Target Result 1.2?  (Repeat through much of the rest of the proposal...)_x000D_
_x000D_
I have a question.  Solving polynomials over the finite fields and solving_x000D_
polynomials over the reals are very different problems with different_x000D_
techniques.  This proposal is concerned with the former topic, but there is_x000D_
much interest in the latter topic among geometers and geometric modelers.  Are_x000D_
there any relationships between the two problems?  Would progress on the finite_x000D_
fields problem have any influence on the real-valued problem?  If so, a note_x000D_
about the connections could strengthen the proposal._x000D_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They also point out_x000D_
that their work has fostered interdisciplinary collaborations among their_x000D_
students.  More unusually, Rojas has participated in outreach programs for_x000D_
middle school students and "expository talks to students of all ages".  He has_x000D_
taught a longstanding summer course on algorithmic algebraic geometry to_x000D_
undergrads.  Wan "plans to give a series of talks to the UCI undergraduate Math_x000D_
Club on algorithmic number theory and complexity".  The PIs "plan to create_x000D_
elementary activities based on boolean and algebraic circuits."_x000D_
_x000D_
The proposal fails to explain whether the intellectual output of the proposed_x000D_
work itself has the potential to "benefit society", as I explained above in my_x000D_
remarks on the lack of a Big Picture._x000D_
_x000D_
_x000D_
Please evaluate the strengths and _x000D_
weaknesses of the proposal with respect to any additional solicitation-specific review criteria, if _x000D_
applicable_x000D_
_x000D_
_x000D_
_x000D_
Summary Statement_x000D_
_x000D_
A well-written proposal by a capable team with a very strong track record,_x000D_
addressing problems in polynomials over finite fields such as computing or_x000D_
counting roots and decomposing ideals.  However, I have difficulty evaluating_x000D_
this proposal because of its total failure to explain the context, importance,_x000D_
or potential impact of the proposed research on either our understanding of_x000D_
mathematics or on any practical applications.  The most important part of the_x000D_
proposal, what I call "The Big Picture", is entirely absent; therefore, I_x000D_
cannot recommend funding.  The "Broader Impacts" are average among proposals of_x000D_
this type._x000D_
_x000D_
_x000D_
</t>
  </si>
  <si>
    <t xml:space="preserve">In the context of the five review elements, please _x000D_
evaluate the strengths and weaknesses of the proposal with respect to intellectual merit._x000D_
_x000D_
_x000D_
This proposal is concerned with algorithms for and complexity of_x000D_
computing the roots of multivariate polynomial systems of equations._x000D_
Towards this end, the PIs focus their efforts on studying primary_x000D_
decomposition of ideals._x000D_
_x000D_
The proposal is well-structured and the PIs have organized the_x000D_
proposal as a collection of Theorems and Target Results. _x000D_
The Theorems (nine in all) describe their current progress_x000D_
and there is plenty of progress given the large number of_x000D_
publications that they have produced._x000D_
The Target Results (9 in all) detail what problems they _x000D_
intend to attack. The narrative is lucid and includes all_x000D_
the latest results in the field. _x000D_
The authors link their work to circuit complexity, and the_x000D_
polynomial hierarchy,  which is_x000D_
interesting and informative in its own right. _x000D_
_x000D_
The investigative team is extremely well-qualified to undertake_x000D_
the problems outlined in this proposal. Furthermore, the_x000D_
institutions of the PIs have adequate resources to ensure that_x000D_
the PIs can carry out their work._x000D_
_x000D_
In the context of the five review elements, please _x000D_
evaluate the strengths and weaknesses of the proposal with respect to broader impacts._x000D_
_x000D_
_x000D_
The broader impacts are mostly concerned with graduate and_x000D_
undergraduate education. Pretty standard stuff._x000D_
_x000D_
It should be noted that the work can be directly_x000D_
applied to cryptography._x000D_
_x000D_
Please evaluate the strengths and _x000D_
weaknesses of the proposal with respect to any additional solicitation-specific review criteria, if _x000D_
applicable_x000D_
_x000D_
_x000D_
_x000D_
Summary Statement_x000D_
_x000D_
_x000D_
This is a strong proposal in computational number theory. The team_x000D_
is well-qualified and capable of making significant advances in_x000D_
the field._x000D_
_x000D_
</t>
  </si>
  <si>
    <t>Precise quantitative information about zero sets of equations over finite rings is the key to reliable encryption protocols and communication systems. Furthermore, estimates on the number of real solutions for structured polynomials are now known to lead to new lower bounds for circuit complexity.  However, the precise quantitative bounds and algorithms needed remain challenging open problems. Our main research effort will thus concentrate on (1) new algorithms and complexity lower bounds for estimating the image and kernel size of polynomial maps over finite rings,  (2) primary decomposition of ideals over fields of positive characteristic,  and (3) a new approach to circuit complexity via cA-discriminants._x000D_
_x000D_
Keywords: algorithm and complexity; computer algebra; algorithmic number theory; computational algebraic geometryOur team has extensive experience with zeta functions, fewnomial theory, algorithmic number theory, computational algebra, and applying these ideas to get useful new quantitative results. Also, our proposed techniques provide fundamentally new algorithmic results over finite rings. For instance, our proposed approach to primary decomposition combines and advances techniques from Grobner bases and toric resultants, and leads us to the first algorithms for counting roots of univariate polynomials over prime power rings, with complexity polylogarithmic in the ring size. Faster point counting over prime power rings will in turn enable us to completely settle the complexity of Igusa local zeta functions, and give  _x000D_
new fixed parameter tractable algorithms for Hasse-Weil zeta functions.  Also, our use of cA-discriminants provides a new route toward proving circuit complexity lower bounds, avoiding the obstructions encountered in geometric complexity theory. Our work thus further strengthens the links  between computational complexity theory, computer algebra, algorithmic number theory, and arithmetic algebraic geometry.Our team is distributed across the US (with members from coastal states and plain states), ranging from traditional research centers such as California and Texas, to EPSCoR states such as Oklahoma and South Carolina. The ingredients behind our approach to circuit complexity have already been successfully taught in recent REUs and will continue to be a fertile source of problems for undergraduate and graduate students. Our interdisciplinary approach also serves as an ideal way to attract mathematically talented students to theoretical computer science and number theory. Our team will work on introductory materials, suitable for high school and undergraduate students, on computational complexity, algebra and number theory. This project will also hire at least 4 Ph.D. students and train them, together with other students, in the interdisciplinary areas of Mathematics and Computer Science.</t>
  </si>
  <si>
    <t>1763733</t>
  </si>
  <si>
    <t>Gleich</t>
  </si>
  <si>
    <t xml:space="preserve"> Panel Summary       
 SUMMARY OF PROPOSED RESEARCH ACTIVITY_x000D_
_x000D_
Description : The proposal considers the problem of computing eigenvectors of higher dimensional tensors, and aims to develop numerical computation techniques. Tensor eigenvalues and vectors have received attention because (a) they are natural extensions of the simple and ubiquitous notions of matrix eigvenvalues, and (b) these eigenvalues provide useful structural insights into data, and help in uncovering multiway relationships. The problem has potential connections to algebraic geometry, computational complexity, and information theory. _x000D_
_x000D_
The project proposes two iterative algorithms for computing eigenvectors, motivated (a) by random restarts in fast pagerank computation, and (b) by ideas from dynamical systems. Approaches towards performing such computations at scale are also discussed._x000D_
_x000D_
INTELLECTUAL MERIT_x000D_
_x000D_
Strengths_x000D_
_x000D_
+ Tensors are arising in more and more applications, and the research has the potential to be transformative and impact many areas._x000D_
+ The PIs have a very promising recent work (proposing the 'spacey walk'), which lays the foundation for the proposal._x000D_
+ The second approach is technically interesting. It does a "combined" update of the eigenvalue, vector pair. _x000D_
_x000D_
Weaknesses_x000D_
_x000D_
- Iterative algorithms such as the ones proposed are often very difficult to analyze. The proposal does not provide an approach to such an analysis._x000D_
- For the second method, the question of understanding eigenvectors that are 'attractors' and those that are not seems very difficult. No attempt is made at a systematic analysis._x000D_
- The scope of the algorithmic contribution did not seem broad enough for a medium proposal._x000D_
_x000D_
BROADER IMPACTS_x000D_
_x000D_
Strengths_x000D_
_x000D_
+ Organizing a workshop that brings together theory and applied researchers on tensors._x000D_
+ PIs are quite invested in undergraduate level and high-school research._x000D_
_x000D_
Weaknesses_x000D_
_x000D_
No specific weaknesses._x000D_
_x000D_
_x000D_
ADDITIONAL REMARKS_x000D_
_x000D_
Collaboration plan: the PIs have a history of collaboration, as well as a concrete collaboration plan._x000D_
_x000D_
Data Management Plan: the plan is adequate._x000D_
_x000D_
Results of prior support:  results have been clearly stated._x000D_
_x000D_
Suggestions to PI(s): _x000D_
For a theory audience, the PIs need to provide concrete approaches towards analyzing the algorithms proposed. What kind of guarantees can one expect to obtain? Are there concrete conjectures?_x000D_
_x000D_
The section on faster algorithms could also use more detail. _x000D_
_x000D_
Justification for Panel Rating: _x000D_
The panel was not convinced that the approaches presented in the proposal go far enough towards achieving its goals. Some panelists felt that the PIs' records are strong on the experimental and algorithm design fronts, but not on the analytic directions that are proposed. Finally, the questions proposed seemed limited in scope for a MEDIUM level proposal._x000D_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</si>
  <si>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Principled Numerical Methods for Tensor Computations_x000D_
_x000D_
L: 1763733 Gleich, David Purdue University $  508,040_x000D_
N: 1763455 Benson, Austin Cornell University $  591,393_x000D_
_x000D_
_x000D_
P180637 LC AF Medium Panel /  Dec 11-12 (9 panelists; 1 decl confl),_x000B_  on 12/12/2017, recommended as Low Competitive (V,V/G ,G)_x000D_
Std competition rank 9 of 17 rated projects: 2 HC, 6 C, 8 LC, 1 NC _x000D_
_x000D_
Ad hoc reviews (1): G, with last on 12/10/2017_x000D_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</si>
  <si>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The proposal considers the problem of computing "eigenvectors" of three dimensional tensors, and aims to develop numerical computation techniques. Tensor eigenvalues and vectors have received attention because (a) they're natural analogs of the simple and ubiquitous matrix eigvenvalue theory, and (b) these eigenvalues provide useful structural insights into data, uncovering multiway relationships._x000D_
_x000D_
There are three main technical aims: _x000D_
_x000D_
The first is to compute specific eigenvectors (e.g., the "top" eigenvectors of non-negative tensors) via a random-walk approach. Taking inspiration from the matrix case, in which laziness and random "jump to start" approaches make the computation better behaved, the PIs propose a similar iterative approach for tensor eigenvalues. The walk itself was studied in an earlier work by PI Benson, and is referred to as the 'spacey' walk._x000D_
_x000D_
The second aim is to use ideas from dynamical systems to compute arbitrary eigenvalues and vectors (the discussion in Aim 1 appears to only consider the top eigenvalue of non-negative tensors).  The rough idea is to write down a dynamic system whose fixed points are the Z-eigenvectors with eigenvalue 1. To handle other eigenvalues, they consider a dynamic system where the pair (x, \lambda) evolves with time, an interesting idea. The questions posed then are if this system converges, and if all the eigenvector, value pairs can be produced in this manner. _x000D_
_x000D_
The third aim is to scale up the research proposed towards dealing with large tensors. Towards this end, many ideas are proposed, including taking advantage of structure, Monte Carlo methods, using sketching techniques and low rank decompositions, etc._x000D_
_x000D_
The overall goal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_x000D_
_x000D_
The PIs are both well-qualified to carry out the work proposed. They have quite a few nice recent results on precisely this topic._x000D_
_x000D_
Negatives:_x000D_
_x000D_
One main question is the significance of computing tensor 'eigenvectors'. While decompositions have a direct connection to learning, etc., with eigenvalues/vectors it is less clear. The proposal itself doesn't make too much of a case for this; in the applications in Section 5, potential uses are mentioned, but a more definitive case for them would definitely help._x000D_
_x000D_
The questions proposed in Section 4.3 are somewhat tentative, and it would be nice to see a proof of concept (e.g., for the sketches and CP decomposition parts -- how could this structure be used to speed up the dynamic system computation?)_x000D_
_x000D_
In the context of the five review elements, please _x000D_
evaluate the strengths and weaknesses of the proposal with respect to broader impacts._x000D_
_x000D_
The PIs propose organizing a workshop that brings together applied researchers with those who have made theoretical contributions to tensor computations._x000D_
_x000D_
PI has been actively involved in undergraduate research, as well as mentoring of high school students. _x000D_
_x000D_
Both PIs encouraging of diversity and representation from all groups in research._x000D_
_x000D_
Please evaluate the strengths and _x000D_
weaknesses of the proposal with respect to any additional solicitation-specific review criteria, if _x000D_
applicable_x000D_
_x000D_
_x000D_
_x000D_
_x000D_
Summary Statement_x000D_
_x000D_
The goal of the proposal is to come up with a suite of numerical tools for the eigenvector/value problem for three dimensional tensors and a comprehensive understanding of their convergence behavior. This could have interesting consequences in the analysis of high dimensional data with many-way correlations. However, these consequences are not made explicit in the proposal, so the scope seems to be somewhat limited._x000D_
_x000D_
The PIs are both well-qualified to carry out the work proposed. They have quite a few nice recent results on precisely this topic._x000D_
_x000D_
</t>
  </si>
  <si>
    <t xml:space="preserve">In the context of the five review elements, please _x000D_
evaluate the strengths and weaknesses of the proposal with respect to intellectual merit._x000D_
_x000D_
This proposal concentrates on the problem of computing tensors, which are widely used in a diverse and long list of scientific disciplines. However, computing such tensors is intractable in general, and hence most of the literature has focused on special cases. The PIs propose to study the use of regularization and dynamical systems in computing the eigenvectors of tensors, aiming for both theoretically and practically appealing algorithms. Although there exists prior work on computing these eigenvectors, the PIs argue that previous methods are either incomplete (there exist tensor eigenvectors that they cannot compute) or they are not scalable. _x000D_
_x000D_
Although the technical content is often a bit too dense and hence hard to follow, the proposal seems to be otherwise well organized and the PIs appear to be well-equipped in dealing with the proposed problems. The set of results that the PIs seek to provide a bridge or at least to narrow down the gap between the theoretical and the practical work on this topic, possibly providing more opportunities for interdisciplinary research._x000D_
_x000D_
_x000D_
In the context of the five review elements, please _x000D_
evaluate the strengths and weaknesses of the proposal with respect to broader impacts._x000D_
_x000D_
Other than some more standard broader impacts on education and mentoring, the main contribution of this proposal may be the fact that it focuses on a problem at the interface of theory and industry, and the impact of the results could be supported by the PIs connections to both theoreticians and practitioners of the field._x000D_
_x000D_
Please evaluate the strengths and _x000D_
weaknesses of the proposal with respect to any additional solicitation-specific review criteria, if _x000D_
applicable_x000D_
_x000D_
_x000D_
_x000D_
Summary Statement_x000D_
_x000D_
This proposal focuses on the problem of tensor computation that has attracted some attention from both theoreticians and practitioners. The solutions to the questions proposed in this proposal would aim to narrow down the gap between the corresponding approaches. _x000D_
_x000D_
_x000D_
</t>
  </si>
  <si>
    <t>WK0595541</t>
  </si>
  <si>
    <t>Park</t>
  </si>
  <si>
    <t>hpark@cc.gatech.edu</t>
  </si>
  <si>
    <t xml:space="preserve">In the context of the five review elements, please _x000D_
evaluate the strengths and weaknesses of the proposal with respect to intellectual merit._x000D_
_x000D_
The proposed work involves tensor computations especially for establishing foundation of tensor eigenvalue problems through study of relationship between tensor eigenvector computation problems and stochastic processes and dynamical systems. Use of regularization and use of dynamical systems will play the key role. Another major activity will involve study of issues related to large-scale implementations of the developed algorithms for handling the scale of modern data sets._x000D_
_x000D_
The preliminary results shown in the figures look promising. I suggest that they include the æextreme reliable' methods mentioned at the end of Section 3 in their performance comparisons for smaller sized problems : there are many important real-life applications that are not necessarily very large and these æreliable' methods can help understanding of the problems at hand._x000D_
_x000D_
Strengths: _x000D_
The two PIs are well qualified. They have  proven track records in the relevant areas for successfully carrying out the proposed work. The proposed problems are challenging and the proposed directions are unique. The activities for exploration are well organized step by step (e.g. page 7:  RA1-1 to RA1-4: Relating the regenerative spacey random walk process to the PageRank process on a graph, goal of polynomial time algorithm characterizing the related study, limiting behavior, acceleration techniques,  and  then the plans for RA2,  and RA3, etc. are all well organized), and promising û in some places, it is very sketchy and some more high level justification would have been helpful._x000D_
_x000D_
The work is motivated to close the gap between the applications, where tenor computations can play significant roles, and the algorithm development with solid theoretical foundations. _x000D_
_x000D_
The collaboration plan with the leaders in the tensor research area is very good. The letters of collaboration show their commitment._x000D_
_x000D_
Weaknesses: _x000D_
Although the above motivation of reducing the gap between foundational work and application is very important,  the connection between the proposed research directions and applications is weak: The foundational work is focused around eigenvalue related problems. However, the applications listed are much broader, mostly about problems where tensor computation is needed where the computational need is not necessarily about tensor eigenvalue problems. E.g. Section 5.1 lists the emerging sources for higher-order data but how are they related to the tensor eigenvalue problems? The key problems there are either low rank approximations or connection to the eigenvalue problem is not clearly established. In addition, there is no explanation on how the foundational solutions proposed can solve the problems listed in the applications. Suppose a robust method that can compute all types of eigenvalues, e.g. unstable ones, a specific one which is not necessarily the leading one, etc. are developed as a result of this research. Then how can this result be used in any of the applications listed?  Some equations or even just some high level clear conceptual explanations would have been helpful._x000D_
_x000D_
Although the proposed research topics are challenging and important, the scope of the proposed research is rather narrow, and more of that of the æSmall' category: There are two PIs only and the scope of the four Aims are more of a Small category proposal._x000D_
_x000D_
The PI David Gleich has a current funding 'III:Small: Multi-dimensional spectral clustering of multi-way data and networks with tensor eigenvectors'. I wonder how much overlap there is between the two proposals._x000D_
_x000D_
_x000D_
In the context of the five review elements, please _x000D_
evaluate the strengths and weaknesses of the proposal with respect to broader impacts._x000D_
_x000D_
Strengths:  _x000D_
I highly regard the plan for tensor computation community building via data exchange for sharing data developed in the course of tensor research. It will contribute to tensor research community significantly._x000D_
The PI Gleich has a proven record of successfully mentoring undergraduate and high school students. _x000D_
The budget shows that the collaboration between the two PIs and the activities are appropriately _x000D_
_x000D_
Weaknesses: I wish the connection between the foundational work and applications is a lot clearer. I think the potential applicability of the proposed research is strong but the proposal did not justify it well enough. Therefore potential impact of the proposed work beyond theoretical and algorithmic research is not clear._x000D_
_x000D_
_x000D_
Please evaluate the strengths and _x000D_
weaknesses of the proposal with respect to any additional solicitation-specific review criteria, if _x000D_
applicable_x000D_
_x000D_
Please see the comments regarding the proposal being in 'Medium' category._x000D_
_x000D_
Summary Statement_x000D_
_x000D_
The description of the proposed work starts with a motivation to close the gap between theoretical work and applications. But then the major part of the proposed research is about theoretical and foundational study for which the applications are not clearly justified. The proposed research by itself is certainly of significant value especially since the problem is very challenging. For example, so far there has been no good method that can solve the problems such as computing unstable eigenvalues.  The presentation of the proposed research could have been more appropriately done to reflect the content. The proposed research is more of a Small category than Medium in terms of scope and personnel involved. Some of the proposed activities for the community building is significant._x000D_
_x000D_
</t>
  </si>
  <si>
    <t xml:space="preserve">In the context of the five review elements, please _x000D_
evaluate the strengths and weaknesses of the proposal with respect to intellectual merit._x000D_
_x000D_
The proposal is strong in terms of theoretical aims, ideas for approaching the_x000D_
problems, and practical value.  (The figure on the first page is great as a_x000D_
brief sketch of the whole proposal.)_x000D_
_x000D_
The theoretical aims are to design better algorithms for computing tensor_x000D_
eigenvectors, to understand the reasons why those eigenvectors are sometimes_x000D_
difficult to compute, to develop dynamic systems that converge to the_x000D_
eigenvectors, and to scale those computations to big data.  Computing tensor_x000D_
eigenvectors seems to be fundamentally more difficult than computing matrix_x000D_
eigenvectors, at least for some eigenvectors; it seems there is a need to_x000D_
characterize what makes some eigenvectors intractable, and to understand those_x000D_
difficulties so that algorithms can be developed that deal with those harder_x000D_
cases._x000D_
_x000D_
The PIs have done good, creative preliminary work that makes a convincing case_x000D_
that they can solve these problems, including what they claim is "the first_x000D_
algorithm ... where the solution can be computed in polynomial time for_x000D_
problems arbitrary close to a tensor eigenvector problem."  They show that for_x000D_
some eigenvectors that might be fundamentally hard to compute, they can get_x000D_
close to the solution by solving a regularized problem (thereby_x000D_
sort-of-solving, in practice though not in theory, an open problem of Kolda and_x000D_
Mayo)._x000D_
_x000D_
The PIs' approaches are based on stochastic processes and dynamical systems,_x000D_
which adds new tools to the traditional algebraic toolbox for matrix_x000D_
computations.  The creativity of the approach is part of what makes this_x000D_
proposal stand out._x000D_
_x000D_
The practical applications of this work appear to be numerous:  human dynamics;_x000D_
traffic analysis; magnetic resonance imaging; genomics; moment-based tensors_x000D_
for statistical machine learning; multi-way drug interactions; compressing_x000D_
physical simulation data; hypergraphs; and more.  The PIs say they plan to_x000D_
release software and demonstrate it on real-world datasets._x000D_
_x000D_
I like the research questions RA1-1 through RA1-4, RA2-1 through RA2-5, and_x000D_
RA3-1 through RA3-4.  (Figure 1 and its caption are particularly helpful.)_x000D_
This part of the proposal is very interesting and well written, full of good_x000D_
ideas._x000D_
_x000D_
The section on cross-cutting research themes is also very well thought out, and_x000D_
makes a convincing case for why the proposed research might benefit many_x000D_
different applications, and moreover, why the proposed research might inform_x000D_
many other areas of theory.  I've rarely seen a proposal give so much excellent_x000D_
attention to the big picture.  Not only do we learn the technical details of_x000D_
the proposal, but we also learn how those details are situated among practical_x000D_
needs and how they are situated among the landscape of theoretical computer_x000D_
science, applied mathematics, and statistics.  I'm intrigued by the possible_x000D_
connections to algebraic geometry, computational complexity, and information_x000D_
theory._x000D_
_x000D_
I can't really identify any notable weaknesses in this proposal, which is_x000D_
unusual.  I would have liked an explanation for why spacey random walks work,_x000D_
though.  The proposal explains what they are, but not why that particular idea_x000D_
should work or how the PIs thought of it.  I would also like some speculation_x000D_
about what *other* computations besides eigenvectors/eigenvalues these_x000D_
techniques might enable; e.g. tensor decompositions?  With just a little more_x000D_
thought, perhaps the PIs could expand the ambition of this proposal_x000D_
dramatically._x000D_
_x000D_
_x000D_
In the context of the five review elements, please _x000D_
evaluate the strengths and weaknesses of the proposal with respect to broader impacts._x000D_
_x000D_
I think this proposal has the potential to "benefit society" simply from the_x000D_
impact of the ideas and algorithms themselves, which are likely to enable new_x000D_
capabilities in multiple application areas.  To justify this statement,_x000D_
consider the huge impact that our understanding of matrix decompositions has_x000D_
had over the last half century, enabling advances across computer science.  If_x000D_
tensor decompositions have only 5% of the impact that matrix decompositions_x000D_
have had, it will still be tremendous.  So I certainly encourage work in this_x000D_
general area.  The main question is, how big a piece of this area can the PIs_x000D_
carve out for themselves?_x000D_
_x000D_
The PIs plan to release software, which will have broader impacts if it gets_x000D_
used (and not if it doesn't).  There is potential for large impact, though with_x000D_
software it's always a bit of a lottery._x000D_
_x000D_
The broader impacts include one unusually novel idea that I like:  the_x000D_
suggestion to build a "higher-order data exchange" to share data from tensor_x000D_
applications.  Another good idea:  the PIs also plan to hold a workshop or two_x000D_
that mixes theoreticians and practitioners from many different areas touched by_x000D_
tensors._x000D_
_x000D_
The PIs include the usual stuff about educating grad and undergrad students,_x000D_
and incorporating research ideas into graduate courses.  More unusually, Gleich_x000D_
appears to have a genuine continuing effort in bringing high-school students_x000D_
into research, with a Science Talent Search success to point to.  Gleich also_x000D_
has several outreach activities for women in computing to his credit.  There_x000D_
are vague assurances that this outreach will continue (which I choose to_x000D_
believe based on past performance)._x000D_
_x000D_
_x000D_
Please evaluate the strengths and _x000D_
weaknesses of the proposal with respect to any additional solicitation-specific review criteria, if _x000D_
applicable_x000D_
_x000D_
_x000D_
_x000D_
Summary Statement_x000D_
_x000D_
I would place this proposal half way between "Very Good" and "Excellent"._x000D_
Tensor computations are full of wide-open problems that are very interesting_x000D_
and probably still full of low-hanging fruit.  The potential benefits and_x000D_
impact might be very large.  The PIs have good ideas, great preliminary_x000D_
results, and a good track record.  The proposed "Broader Impacts" are somewhat_x000D_
stronger than in most proposals.  If the scope of the proposal was just a_x000D_
little more ambitious (but still viable for the time period and funding_x000D_
level)--say, if it went beyond eigenvectors to tensor decompositions--it could_x000D_
move up to "Excellent"._x000D_
_x000D_
_x000D_
</t>
  </si>
  <si>
    <t>Tensor computations are algorithms that analyze and process coordinate representations of tensor products of vectors spaces. More commonly, they are viewed as algorithms for multidimensional arrays of data.  However, applying emerging theory on tensor computations is often stymied because of fundamental hardness results or dependencies on highly technical mathematical tools designed without applications or large-scale data in mind.  On the side of applications, there has been empirical success in data science, machine learning, and scientific data analysis, but the employed methods typically lack theoretical assurances and have limited generality.  This has led to a significant split between theory and practice in the study of tensor computations that is urgent to resolve given the increasingly important application domains using tensor computations, such as biomedical imaging and genomics._x000D_
    The PIs have recently designed a number of new methods in the space of tensor computations that stem from an intrinsically different perspective utilizing novel relationships with stochastic processes. These offer a different set of tradeoffs than traditional tensor computations. For example, one of the methods is the first polynomial time algorithm that can provably solve a near-tensor-eigenvector problem, while another can compute so-called unstable tensor eigenvalues that scalable state-of-the-art methods cannot._x000D_
Keywords: Tensor computations; tensor eigenvector; stochastic processes; dynamical systems; low-rank approximation; vertex reinforced random walkThe proposed research will establish the foundation of these new methods and explore the possibilities they offer through a series of three investigative aims. Aims 1 and 2 establish the foundation of the PIs' new insights into near-eigenvector and eigenvector computations for tensors based on stochastic processes and dynamical systems, respectively. The goal is robust and reliable algorithms with useful theoretical guarantees. Aim 3 investigates the opportunities in large-scale implementations of these algorithms in order to handle the scale of modern datasets analyzed in domain applications. Throughout these three investigations, the PIs will also explore two cross cutting themes involving (1) novel representations of tensor data across the sciences and (2) multidisciplinary perspectives on tensor computations. These cross-cutting themes serve to establish theory and algorithms that connect diverse fields and perspectives._x000D_
    The key fundamental issue addressed by our proposal is to clarify the limits of tensor computation beyond the worst-case analysis regime through the exploration of these new algorithms and methodologies. The overall goal is to have algorithms that admit more rigorous analysis while retaining relevance to applications.Tensor computations are broadly used across the sciences. Firmly establishing the fundamental theory of these new methods will enable a host of new applications that demand reliable and robust tensor computation with good theoretical guarantees. For instance, tensors are already used to study MRI imaging, where they are used to resolve crossing behavior in white matter fiber track analysis, and genomics, where they identify key factors in multivariate genomics data._x000D_
    There is a community building aim (Aim 4), which will develop a higher-order data exchange to make sharing data developed in the course of tensor research easy. Associated with this exchange, the PIs will host workshops to develop the community of principled methods for tensor computations._x000D_
    The PIs are firmly committed to minority participation and will leverage connections with the Center for the Science of Information's summer schools (which typically have 50% participation rates from underrepresented groups) to foster research opportunities. Educational contributions planned in the project include modules in courses taught at Purdue and Cornell on data science algorithms, as well as the workshop listed above. Additionally, the PIs have successfully mentored undergraduate and high-school students, resulting in an undergraduate research award winner for one student and a third place in the Regeneron science talent search (associated with a $150k college scholarship) for another student. They plan to offer further undergraduate research opportunities in the context of this research.</t>
  </si>
  <si>
    <t>1763886</t>
  </si>
  <si>
    <t xml:space="preserve"> Panel Summary       
 Description:  The PIs want to develop better algorithms for semi-structured_x000D_
all-hexahedral mesh generation.  Novel features include adapting the mesh_x000D_
structure to the topology of the solution field, and updating the mesh_x000D_
incrementally through time to adjust to a changing solution field._x000D_
_x000D_
 _x000D_
INTELLECTUAL MERIT_x000D_
_x000D_
Strengths_x000D_
_x000D_
+ The proposal's agenda is ambitious, attacking important, difficult problems._x000D_
+ The proposed work has the potential for a large impact on applications._x000D_
+ Extending the PIs' past meshing ideas to 3D seems like a good direction._x000D_
_x000D_
Weaknesses_x000D_
_x000D_
- Panelists who are not in the area of mesh generation had difficulty reading_x000D_
  and understanding the proposal.  For the "Medium" or "Large" competitions,_x000D_
  PIs should not assume that all the panelists are experts in mesh generation._x000D_
  For example, the PIs do not explain why it is hard to construct a hexahedral_x000D_
  mesh._x000D_
- Panelists who are not in the area of mesh generation did not understand the_x000D_
  motivations, the priorities, or the "big picture" of the proposed work._x000D_
- The proposal lacks rigorous definitions and clear mathematical statements,_x000D_
  and uses a lot of jargon that isn't widely known._x000D_
- It is not clear if any theoretical analysis will be done or any theorems_x000D_
  will be proved._x000D_
- The panelist who is an expert in mesh generation felt that the PIs should_x000D_
  have more deeply explored the implications of the Poincare-Hopf Theorem, the_x000D_
  Euler characteristic, the recent advances in quadrilateral mesh generation_x000D_
  based on these observations, and how these generalize to hex meshes._x000D_
  A better mathematical characterization of the fundamental topological_x000D_
  constraints on hex meshing ought to precede algorithm development._x000D_
_x000D_
BROADER IMPACTS_x000D_
_x000D_
Strengths_x000D_
_x000D_
+ Zhang's long-term involvement in SESEY shows a sustained dedication to_x000D_
  a program for high school girls and underrepresented minorities._x000D_
+ University of Houston is a Hispanic-serving university._x000D_
+ Successful completion of the proposed work could have a large impact in_x000D_
  practical scientific computing problems in many different domains._x000D_
_x000D_
Weaknesses_x000D_
_x000D_
- The proposal fails to set a specific goal to write and distribute useful_x000D_
  software for a specific task._x000D_
 _x000D_
_x000D_
Suggestions to PI(s):_x000D_
_x000D_
Making this proposal succeed would probably require (1) writing it so it is_x000D_
understandable to a broader cross-section of algorithmic researchers, including_x000D_
those who are not familiar with mesh generation, (2) better describing why hex_x000D_
meshing is difficult and (what is known about) why hex meshing faces_x000D_
fundamental topological constraints, (3) better justifying why mesh topology_x000D_
should follow solution tensor properties, and (4) better matching the proposed_x000D_
algorithmic development to the requirements described._x000D_
_x000D_
The proposal should hew closer to the concerns of the Algorithm Foundations_x000D_
program, with greater emphasis on theoretical analysis (e.g., characterizing_x000D_
hex mesh topology, finding problems for which theorems can be proven or_x000D_
algorithms offer mathematical guarantees)._x000D_
_x000D_
(Here are some details of what panelists suggest should be defined--especially_x000D_
on page 1.  A short definition of a "mesh" and exactly how it is used would_x000D_
help.  What is meant by "adjusting locally some nodes"?  For a mesh to be_x000D_
"unstructured"?  What is a "tet-mesh"?  What are "mesh deficits"?  What is a_x000D_
"hierarchical view"?  (Here, a high-level explanation of the types of issues_x000D_
that may arise would be helpful.)  What is a "discretization"?  What is implied_x000D_
by "the transfer of simulation information"?  Define "irregular elements",_x000D_
"change discontinuously", "low distortion", "singularities", "Isogeometric_x000D_
Analysis".  "Second-order tensor fields", "multi-resolution representation",_x000D_
"separatrices".  Panelists note that there is a disconnect between Algorithmic_x000D_
Foundations, which typically builds on rigorous definitions and statements, and_x000D_
this proposal, which uses much vague terminology.)_x000D_
_x000D_
_x000D_
Justification for Panel Rating:_x000D_
_x000D_
Several panelists say that parts of the proposal are difficult to understand,_x000D_
the proposal is not written in the language of Algorithmic Foundations, and it_x000D_
is not clear that the proposed work will include mathematical analysis or_x000D_
theorems and proofs.  The proposal shows insufficient thinking about the_x000D_
topological difficulties of hex meshing, how the constraints on quad meshing_x000D_
(e.g., singularities) extend to constraints on hex meshing, and how progress in_x000D_
quad meshing that respects those constraints might generalize to hex meshing._x000D_
_x000D_
 _x000D_
Panel Rating:_x000D_
_x000D_
_ Highly Competitive_x000D_
_x000D_
_ Competitive_x000D_
_x000D_
X Low Competitive_x000D_
_x000D_
_ Not Competitive_x000D_
_x000D_
The summary was read by/to the panel and the panel concurred that the summary_x000D_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</si>
  <si>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(LC) for proposal with low review scores_x000D_
_x000D_
AF: Medium: Collaborative Research: Structure of Time-dependent Hexahedral Meshes: Theory and Applications_x000D_
_x000D_
L: 1763886 Chen, Guoning U of Houston $  599,997_x000D_
N: 1763948 Zhang, Eugene Oregon State University $  600,000_x000D_
_x000D_
_x000D_
P180637 LC AF Medium Panel /  Dec 11-12 (9 panelists),_x000B_  on 12/12/2017, recommended as Low Competitive (G,G,G/F,F)_x000D_
Std competition rank 9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</si>
  <si>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Proposal to improve hex meshing algorithms for 3D domains.  Lays out a great set of objectives including matching the boundary shape within a tolerance, matching a 3D stress-strain field within a tolerance, element quality and mesh design to achieve low-loss transfer between steps of a simulation.  These are long-standing difficult problems and this agenda is clearly ambitious.  Recent work by PI Zhang on tensor field design, his work on polycube meshing and several recent papers of PI Chen on re-meshing and mesh improvement suggest that they can make progress.  The proposal lays out a framework in which an initial hex-mesh is constructed just based on surface geometry, and then at every simulation step it is adapted to the simulated field.  _x000D_
_x000D_
Strengths_x000D_
_x000D_
- Prior work is excellent_x000D_
- Well-formulated goals_x000D_
- Two realistic applications will be used for testing_x000D_
_x000D_
Weaknesses_x000D_
_x000D_
- Framework sounds unlikely; too many hard problems have to be solved to get there_x000D_
- Not a lot of strength in proving any of the approximation bounds_x000D_
- Why a hex-dominant mesh would not be sufficient is not clear_x000D_
- Singularities of the simulation might be quite complex, not leading to a good decomposition into base hexes_x000D_
_x000D_
In the context of the five review elements, please _x000D_
evaluate the strengths and weaknesses of the proposal with respect to broader impacts._x000D_
_x000D_
University of Houston is a Hispanic-serving institution (how is the percentage of Hispanic CS majors?).  PI Zhang routinely hosts students in a K-12 outreach program. _x000D_
_x000D_
The goals are indeed important for all kinds of physical simulations. _x000D_
_x000D_
_x000D_
_x000D_
Please evaluate the strengths and _x000D_
weaknesses of the proposal with respect to any additional solicitation-specific review criteria, if _x000D_
applicable_x000D_
_x000D_
_x000D_
_x000D_
Summary Statement_x000D_
_x000D_
This is an ambitious proposal, but there is not enough detail on how these goals will be achieved.  Some summary of the PIs relevant prior work and a clearer indication of how it will lead to advances in hex meshing would really strengthen this proposal._x000D_
_x000D_
</t>
  </si>
  <si>
    <t xml:space="preserve">In the context of the five review elements, please _x000D_
evaluate the strengths and weaknesses of the proposal with respect to intellectual merit._x000D_
_x000D_
This proposal focuses on the design of algorithms for generating high quality hexahedral meshes. The PIs argue that prior work has not yet let to scalable algorithms for constructing high precision meshes, and that the increasing demand for large scale simulations calls for a new meshing framework. _x000D_
_x000D_
Unfortunately, I was not able to follow most of this proposal. Rather than providing a smooth introduction to the field and a high level intuition and motivation regarding the types of problems that this project aims to tackle, the proposal dives directly into the details, using a lot of jargon. This compromises the sections where the PIs try to motivate the proposal which are either overly specific, using undefined concepts and terminology, or too vague._x000D_
_x000D_
Also, large sections of the proposal appear to serve no real purpose in defining and motivating the proposed problems or explaining how they will be solved. For instance, most of the "Pelvic floor dysfunction simulation" is dedicated to describing a figure that does not really provide any insights._x000D_
_x000D_
_x000D_
In the context of the five review elements, please _x000D_
evaluate the strengths and weaknesses of the proposal with respect to broader impacts._x000D_
_x000D_
It sounds reasonable that higher quality mesh generation algorithms could indeed have a significant impact on running large scale simulations or other graphics applications. However, given the drawbacks of the proposal discussed above, it is hard to evaluate whether these impacts are likely or not._x000D_
_x000D_
Please evaluate the strengths and _x000D_
weaknesses of the proposal with respect to any additional solicitation-specific review criteria, if _x000D_
applicable_x000D_
_x000D_
_x000D_
_x000D_
Summary Statement_x000D_
_x000D_
Although the problem itself sounds reasonably well-motivated, the proposal is not well structured and it is hard for a non-expert to follow. It is therefore hard to estimate the intellectual merit and the broader impacts of the proposed project unless the PIs revisit the proposal to provide a higher level understanding and motivation for the obstacles in mesh generation and the insights that can lead to improved algorithms._x000D_
_x000D_
</t>
  </si>
  <si>
    <t xml:space="preserve">In the context of the five review elements, please _x000D_
evaluate the strengths and weaknesses of the proposal with respect to intellectual merit._x000D_
_x000D_
This could have been a great proposal if written in a language more appropriate for the Algorithmic Foundations directorate of NSF. The PIs propose to theoretically investigate hexahedral meshes, which are of importance in various engineering and scientific disciplines. Unfortunately, the overall explanation of the necessary background information, but also the exposition does not include rigorous definition, mathematical statements, and mathematically well-articulated properties the PIs are after._x000D_
_x000D_
In the context of the five review elements, please _x000D_
evaluate the strengths and weaknesses of the proposal with respect to broader impacts._x000D_
_x000D_
strengths:_x000D_
_x000D_
+ great problem with practical significance _x000D_
+ PIs are very well qualified in conducting this research_x000D_
+ good broader impact section_x000D_
_x000D_
weaknesses:_x000D_
_x000D_
- inappropriate exposition for CCF_x000D_
_x000D_
_x000D_
_x000D_
Please evaluate the strengths and _x000D_
weaknesses of the proposal with respect to any additional solicitation-specific review criteria, if _x000D_
applicable_x000D_
_x000D_
_x000D_
_x000D_
Summary Statement_x000D_
_x000D_
I encourage the PIs to carefully read through abstracts and if possible examples of proposals submitted to the Algorithmic Foundations NSF directorate and thoroughly rewrite their proposal before resubmission. Also, try to make it easily accessible to an audience with general computer science and mathematics background._x000D_
_x000D_
</t>
  </si>
  <si>
    <t xml:space="preserve">In the context of the five review elements, please _x000D_
evaluate the strengths and weaknesses of the proposal with respect to intellectual merit._x000D_
_x000D_
The proposal addresses the difficult problem of generating semi-structured_x000D_
all-hexahedral meshes for finite element methods.  The authors call it_x000D_
"structured" but I call it "semi-structured", as the first step creates a very_x000D_
coarse hex subdivision of a (possibly complicated) geometry, and a second step_x000D_
refines the coarse subdivision into smaller hex elements._x000D_
_x000D_
It's a very hard problem.  Nobody has an algorithm that reliably succeeds at_x000D_
this problem, at least not when the geometry gets complicated.  The proposed_x000D_
research might make it much more reliable (but probably not perfectly reliable;_x000D_
I don't expect anybody to solve that problem any time soon).  What makes it so_x000D_
difficult is that there are fundamental constraints on the topologies of_x000D_
all-hex meshes, and these constraints are often at odds with the geometry and_x000D_
the desire for elements with reasonable shapes.  The tricky topology of all-hex_x000D_
meshes is not a well-understood problem.  Unlike triangular, tetrahedral, or_x000D_
quadrilateral meshes, hex meshes cannot usually be adapted in a purely local_x000D_
manner; changes made at one point tend to propagate through the mesh until they_x000D_
reach the boundaries._x000D_
_x000D_
However, there are some similarities between hex and quad meshing.  A lot of_x000D_
progress has been made on quad meshing in recent years by carefully choosing_x000D_
where to place "singularities", i.e., vertices with degree other than 4, and_x000D_
using the Poincare-Hopf theorem to know where some singularities must be_x000D_
tolerated (because any frame field satisfying the boundary conditions might_x000D_
necessarily have at least a certain number of true singularities).  Hex meshes_x000D_
must obey a related but much more complicated set of constraints governing both_x000D_
"singular edges" and "singular vertices"; but as the PIs say, "the_x000D_
singularities of cross fields and its topology are not well understood."  The_x000D_
PIs seem to plan to tackle this task, but they don't say as much about it as I_x000D_
hoped they would.  There is much discussion of singularities and local ways to_x000D_
remove them, but not much about the basic known mathematics of what_x000D_
singularities must appear; the PIs don't even review what's known about this_x000D_
topic for quad meshes.  It would seem to be critical to understand this if one_x000D_
wants to make progress on hexes.  The single best thing the PIs could do to_x000D_
strengthen this proposal is to go much deeper into this topic._x000D_
_x000D_
Although it's a hard problem, success in this problem could have a big impact_x000D_
in practical simulation problems in scientific computing.  There are many_x000D_
companies and energy labs that have invested a lot of infrastructure (software_x000D_
and trained analysts) in all-hex meshing, so this is a problem well worth_x000D_
solving!_x000D_
_x000D_
Beyond facing traditional issues in hex meshing, the authors propose two_x000D_
additional ideas that I have not seen addressed much in the past.  One, they_x000D_
want to design the mesh (and its singularities) so it is "conformal" to the_x000D_
fields being simulated.  That is, after obtaining a first solution to the_x000D_
physical/finite element problem, they want to adaptively update the mesh so_x000D_
that it is better suited to approximating that solution in two ways:  the_x000D_
hex element shapes/sizes/anisotropy matches the needs of the solution, and the_x000D_
singularities of the mesh are in some sense "conformal" to the singularities of_x000D_
the solution.  There is plenty of evidence that better solutions can be_x000D_
obtained by adapting the element shapes/sizes/anisotropy to fit the solution,_x000D_
including some evidence from PI Chen (discussed on page 9).  But is there any_x000D_
evidence that one wins by adapting the singularities of the mesh to the_x000D_
singularities of the solution?  I am not aware of such evidence.  Given that_x000D_
the PIs are proposing to spend a significant amount of effort on this problem,_x000D_
I would like to see a little more assurance that the effort would have some_x000D_
reward!  What if the PIs successfully achieve this goal and yet discover that_x000D_
it does not improve the solutions at all?_x000D_
_x000D_
Another question I have is, why do the PIs wish to adapt/re-mesh a mesh from_x000D_
a previous time step, rather than simply creating a new mesh from scratch to_x000D_
best fit the new conditions?  My guess is that by adapting the old mesh, the_x000D_
PIs might reduce the amount of error introduced by re-interpolating field_x000D_
values (or as the PIs call it, "Lossless Simulation Transfer") from an old mesh_x000D_
to a new one.  But I'm just guessing...the PIs don't tell us why, and they_x000D_
should._x000D_
_x000D_
While Section 3.1 is interesting and contains the meat of the PIs' method,_x000D_
I don't fully understand it.  I think I understand "sheets", but I didn't_x000D_
understand what a "chord" is.  I have only the vaguest idea what the PIs mean_x000D_
by "complexity", or why you can sum complexities, or why knowing the complexity_x000D_
would help you determine an optimal partition B.  I don't see why spectral_x000D_
analysis of a singularity connectivity matrix would give you meaningful_x000D_
information._x000D_
_x000D_
In Section 3.3.2, do I understand correctly that the search in the transition_x000D_
graph will require you to generate a full hex mesh H at each vertex of the_x000D_
graph you visit, so that you can check the condition Q(h) &gt;= sigma (which_x000D_
requires you to know H)?  Generating a bunch of hex meshes like that sounds_x000D_
slow.  At the top of page 12, the proposal talks of "using less time and less_x000D_
memory footprint", and I don't know why that would be true, especially if_x000D_
you're generating a whole bunch of complete hex meshes._x000D_
_x000D_
I like the line "we will conduct a comprehensive and in-depth study on the_x000D_
relations between the local/global mesh quality metrics and the local/global_x000D_
quality of the simulation in order to identify the appropriate quality metric_x000D_
for hex-mesh elements."  I also very much like the validation parts of the_x000D_
proposal (Section 3.4)._x000D_
_x000D_
The PIs' English is not great, and sometimes I can't tell exactly what they're_x000D_
saying.  They should give serious consideration to hiring an editor (whose_x000D_
first language is English) for their grants._x000D_
_x000D_
So in summary, I very much like what the PIs are proposing to do, and I think_x000D_
it's an important problem with much potential for impact, but I don't think_x000D_
they've fully thought through either the mathematical limitation nor fully_x000D_
explained their approach._x000D_
_x000D_
_x000D_
In the context of the five review elements, please _x000D_
evaluate the strengths and weaknesses of the proposal with respect to broader impacts._x000D_
_x000D_
If this proposal is successful, I think the biggest Broader Impact is that it_x000D_
will allow a wide swath of users in industry, academia, and government labs to_x000D_
run all-hex simulations on geometries more complicated than they can currently_x000D_
use.  The impact has the potential to be quite large, because there are already_x000D_
many people committed to all-hex meshes, despite the difficulty of generating_x000D_
them._x000D_
_x000D_
More unusually, the PIs are ongoing participants in programs for K-12 students,_x000D_
most notably through OSU's Summer Experiences in Science and Engineering for_x000D_
Youth (SESEY), targeted at high school girls and underrepresented minorities,_x000D_
in which E. Zhang has a decade-long history of continual participation.  He_x000D_
plans to sponsor two SESEY students each summer for 4 years.  (Based on past_x000D_
performance, I believe it.)_x000D_
_x000D_
The PIs say they "will dedicate to broaden the participation" of_x000D_
underrepresented minorities, including Hispanics.  They have mentored several_x000D_
women in research.  Note that co-PI Yue Zhang is also a woman._x000D_
_x000D_
The PIs include the usual stuff about educating grad and undergrad students,_x000D_
and incorporating research ideas into graduate courses.  (And an undergrad_x000D_
course--but does this advanced hex meshing stuff really belong in an undergrad_x000D_
course entitled "Numerical Analysis"?)_x000D_
_x000D_
Page 11 mentions a "software implementation", and page 14 mentions_x000D_
"dissemination of software and libraries", but the PIs never really tell us_x000D_
what software they're going to write.  Software could have a major impact, but_x000D_
I can't evaluate that unless the PIs make a more specific commitment about_x000D_
exactly what software they're going to write._x000D_
_x000D_
_x000D_
Please evaluate the strengths and _x000D_
weaknesses of the proposal with respect to any additional solicitation-specific review criteria, if _x000D_
applicable_x000D_
_x000D_
_x000D_
_x000D_
Summary Statement_x000D_
_x000D_
I rate this proposal in the middle of the "Good" category.  I think the value_x000D_
of the proposed research could be very high, but there are quite a few_x000D_
deficiencies in the details (and writing quality) of the proposal, especially_x000D_
in terms of explaining their ideas, and I'm not convinced that the PIs are the_x000D_
most suitable/prepared people to solve such a difficult problem.  The "Broader_x000D_
Impacts" are average among proposals of this type, but they could be above_x000D_
average if the PIs made a clear statement about what software they will write._x000D_
_x000D_
_x000D_
</t>
  </si>
  <si>
    <t>1763887</t>
  </si>
  <si>
    <t>Woodruff</t>
  </si>
  <si>
    <t xml:space="preserve"> Panel Summary       
 SUMMARY OF PROPOSED RESEARCH ACTIVITY_x000D_
Description: This proposal aims to develop new sketching and data-reduction techniques for many basic questions in machine learning and optimization. The first section focuses on developing coresets for unsupervised learning, aiming at new results for k-medians, k-means, and related problems. The second section aims to develop a unified framework for many problems that have non-convex formulations as matrix factorization problems, including matrix completion, robust PCA and weighted low-rank approximation. The third section aims to develop sketching techniques for deep neural networks, and the final section aims to prove property testing results for low-rank approximation recognition problems._x000D_
_x000D_
INTELLECTUAL MERIT_x000D_
_x000D_
Strengths_x000D_
Many of the problems studied involve fundamental links between optimization and machine learning - with the potential of developing new optimization techniques for novel learning applications._x000D_
_x000D_
There are several threads for which interesting first steps are outlined, such as the setting in the second section of giving a framework with a non-convex optimization problem with an L2 regularization for which there is the promise of a strong duality result that might be used to "convexify" the problem, and has been used to derive tight bounds for the sample complexity for matrix completion._x000D_
_x000D_
The PIs have a strong track record of obtaining results in this area._x000D_
_x000D_
Weaknesses_x000D_
_x000D_
The section of results on unsupervised learning appears to be limited to  incremental advances. Some panelists are skeptical that the proposed approach to deep learning is likely to be productive (e.g., there is no discussion of how, or whether, neural nets could be trained, given the proposed ideas on page 10.)_x000D_
_x000D_
BROADER IMPACTS _x000D_
_x000D_
Strengths_x000D_
_x000D_
The range of applications for the techniques being considered have the potential to effect a broad cross section of scientific disciplines._x000D_
The PIs have had extensive experience in organizing cross-discplinary workshops._x000D_
_x000D_
One of the PIs (Balcan) has a track record of working to attract underrepresented groups to work in this area._x000D_
_x000D_
Weaknesses_x000D_
There is nothing at all particularly innovative in the broader impact discussion of this proposal._x000D_
_x000D_
ADDITIONAL REMARKS_x000D_
Research plan: The scope of the results outlined in this proposal is consistent with the stated timeline for obtaining them._x000D_
_x000D_
Collaboration plan: The collaboration cites the previous collaboration of the PIs and their current co-advising of a PhD students as a mechanism for aiding working together (and is now aided by the fact that they are both at CMU)._x000D_
_x000D_
Data Management Plan: A minimal data management plan is outlined._x000D_
_x000D_
Results of prior support: A very succinct summary of prior results for Balcan is given, both for intellectual merit and broader impact, whereas for Woodruff, he has not received any prior NSF support._x000D_
_x000D_
Justification for Panel Rating: This is a proposal in an area of increasing importance -  providing theoretical support for the underpinnings of advances in learning; some of the questions posed here in advancing the state of the art are fundamental; the PIs have been significant contributors in the past to this area, though there was some thought that perhaps a somewhat more ambitious agenda would benefit the proposal. _x000D_
_x000D_
Panel Rating: _x000D_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</si>
  <si>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aims to develop new sketching and data-reduction techniques for many basic questions in machine learning and optimization. The PIs propose four main goals._x000D_
_x000D_
First, they propose to develop coreset techniques for unsupervised learning. This is a well-studied topic, and the PIs propose to study some questions that have resisted attack. These include coresets for k-median, optimal ones for k-means, etc. The PIs have partial progress on these as well._x000D_
_x000D_
The second goal is to develop a unified framework for many "matrix factorization" questions that have non-convex formulations.  These include matrix completion, robust PCA, matrix sensing and weighted low-rank approximation. The framework they propose captures some of the problems above, by having a non-convex optimization with an L2 regularization. The aim is to show that under reasonable assumptions, strong duality holds for this optimization problem, which can be used to "convexify" the problem.  The PIs mention that this approach succeeds in obtaining tight sample complexity for matrix completion (albeit non-constructive)._x000D_
_x000D_
The third goal is to use sketching techniques for deep neural networks. The PIs propose to approximate the weight matrices in the different layers of a neural net via low-rank approximations, while maintaining classification accuracy. While this is easy in the "linear" case, the challenge is to handle non-linearity. For this, the PIs propose a couple of interesting approaches, and relations to other problems._x000D_
_x000D_
The final goal is to prove property testing type results for problems such as low-rank approximation. This is a natural question, and has been studied in earlier works, such as Krauthgamer and Sasson. The PIs propose to obtain optimal non-adaptive sampling for this problem. They also consider similar approaches to problems such as stable rank computation._x000D_
_x000D_
Positives:_x000D_
_x000D_
Most of the problems are fundamental, and progress on them would be interesting to the sketching and learning communities. The PIs are well-qualified for the proposed work._x000D_
_x000D_
Negatives:_x000D_
_x000D_
Many of the problems posed are somewhat small improvements over the state-of-the-art. While this is OK if the techniques are very different, such a case isn't always made in the proposal._x000D_
_x000D_
Certain problems (such as multi-task learning, and network architecture, questions 7,9) are mentioned too briefly, and without much of an approach._x000D_
_x000D_
In the context of the five review elements, please _x000D_
evaluate the strengths and weaknesses of the proposal with respect to broader impacts._x000D_
_x000D_
PIs propose development of courses that different leves._x000D_
_x000D_
Both PIs are supportive of undergraduate level research._x000D_
_x000D_
PIs have been actively involved in the organization of workshops, seminars, etc. They have also been active at encouraging the participation of women in ML and theory research, by having students, and giving talks at some of the corresponding events._x000D_
_x000D_
Please evaluate the strengths and _x000D_
weaknesses of the proposal with respect to any additional solicitation-specific review criteria, if _x000D_
applicable_x000D_
_x000D_
_x000D_
_x000D_
Summary Statement_x000D_
_x000D_
The proposal aims to develop new sketching and data-reduction techniques for many basic questions in machine learning and optimization. Most of the problems are fundamental, and progress on them would be interesting to the sketching and learning communities. However, in many of the proposed improvements are relatively small. It would be nice to make the case that novel techniques need to be developed--i.e., there is some natural barrier that needs to be overcome. _x000D_
_x000D_
The PIs are well-qualified for the proposed work._x000D_
_x000D_
</t>
  </si>
  <si>
    <t xml:space="preserve">In the context of the five review elements, please _x000D_
evaluate the strengths and weaknesses of the proposal with respect to intellectual merit._x000D_
_x000D_
The proposal deals with developing coreset and sketching techniques for use in machine learning._x000D_
This is detailed in 12 specific questions grouped in relation to 4 specific goals:_x000D_
1) Coreset and sketching techniques with applications to unsupervised learning_x000D_
2) Non-convex techniques for learning representations via matrix factorization_x000D_
3) Coreset and sketching techniques for deep neural nets_x000D_
4) Mathematical foundations for representation property testing._x000D_
The last is motivated by a need to perform faster checks before doing expensive computation._x000D_
_x000D_
Ultimately, learning problems either directly or indirectly imply the uncovering of low-rank matrices. The sketching and coreset techniques involve deriving low-rank matrices that approximately maintain all the relevant information, thus leading to improvements in storage, computation, and in characterization._x000D_
_x000D_
The PIs have very strong profiles in the relevant areas, in applied and foundations of machine learning, as well as in sketching techniques. They have developed many of the best results that are relevant to these questions._x000D_
_x000D_
The description is eminently thorough and well reasoned. _x000D_
_x000D_
_x000D_
In the context of the five review elements, please _x000D_
evaluate the strengths and weaknesses of the proposal with respect to broader impacts._x000D_
_x000D_
The huge interest in deep learning is calling for better theoretical understanding. This work has the potential to lead to better theoretical underpinnings._x000D_
_x000D_
The proposal includes plans to disseminate the knowledge in curriculum, with undergraduate participation, and with interdisciplinary events. Actively recruiting women is an explicit goal._x000D_
_x000D_
_x000D_
Please evaluate the strengths and _x000D_
weaknesses of the proposal with respect to any additional solicitation-specific review criteria, if _x000D_
applicable_x000D_
_x000D_
_x000D_
_x000D_
Summary Statement_x000D_
_x000D_
The proposal deals with developing coreset and sketching techniques for use in machine learning. Extremely thorough and well reasoned plan, involving participants with very strong record on the relevant topics. Highly likely to succeed. Might contribute to better theoretical understanding of deep learning._x000D_
_x000D_
_x000D_
</t>
  </si>
  <si>
    <t xml:space="preserve">In the context of the five review elements, please _x000D_
evaluate the strengths and weaknesses of the proposal with respect to intellectual merit._x000D_
_x000D_
The PIs propose to develop coreset and sketching techniques for unsupervised_x000D_
learning problems.  They particularly focus on sparse PCA._x000D_
_x000D_
Section 2 proposes study of basic questions of coresets for the k-means and_x000D_
k-median problems.  It seems like a worthy pursuit._x000D_
_x000D_
Section 3 is the strongest part of the proposal.  The duality approach to_x000D_
solving these non-convex optimization problems is very interesting.  Question 5_x000D_
is interesting.  (I think there's some messed-up LaTeX at the top of page 7,_x000D_
which made that part hard to follow.  Also, in Question 6, what are U and V?)_x000D_
_x000D_
Section 4 strikes me as weak.  I am skeptical that the direction explored in_x000D_
Question 8 will be fruitful or will buy you anything in neural nets.  With_x000D_
regard to the "sum of l_2-norms" discussion on page 10, I would like to see_x000D_
some discussion about how you would train neural nets based on this idea, and_x000D_
how it might affect neural net performance._x000D_
_x000D_
The proposed results in Section 5 would probably be useful, though I don't_x000D_
find them exciting._x000D_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courses._x000D_
_x000D_
I think this proposal has a better-than-average potential to "benefit society"_x000D_
simply from the impact of the ideas and algorithms themselves.  If the PIs_x000D_
succeed in designing efficient algorithms for robust PCA and sketching_x000D_
algorithms, it may have a real-world impact in multiple application areas_x000D_
("recommender systems, sustainability, computer vision, robotics, healthcare,_x000D_
bio-surveillance, computational biology, computational advertising, search and_x000D_
information retrieval")._x000D_
_x000D_
The PIs mention that they have organized many interdisciplinary workshops and_x000D_
will continue to do so._x000D_
_x000D_
PI Balcan is a woman.  The proposal mentions "helping recruit women" with no_x000D_
details._x000D_
_x000D_
_x000D_
Please evaluate the strengths and _x000D_
weaknesses of the proposal with respect to any additional solicitation-specific review criteria, if _x000D_
applicable_x000D_
_x000D_
_x000D_
_x000D_
Summary Statement_x000D_
_x000D_
I rate this proposal somewhere between "Good" and "Very Good"--I'll mark it at_x000D_
the low end of "Very Good".  It's a well-written proposal by a capable team._x000D_
The proposed work in Section 3 is strong; the proposed work in Section 4 sounds_x000D_
weak (at least, I am skeptical of it); the proposed work in Section 5 sounds_x000D_
useful but doesn't excite me.  The "Broader Impacts" are a bit below average_x000D_
among proposals of this type, except insofar as the intellectual merit itself_x000D_
might have an unusually strong impact on real-world applications._x000D_
_x000D_
_x000D_
</t>
  </si>
  <si>
    <t xml:space="preserve">In the context of the five review elements, please _x000D_
evaluate the strengths and weaknesses of the proposal with respect to intellectual merit._x000D_
_x000D_
This proposal outlines a number of fundamental theoretical questions related to learning. The first area of the proposal deals with advances in the construction of coresets - building upon recent work that gives a coreset for the k-means problem, where the number of representative points depends only on k and the error tolerance, the PIs ask whether similar results can be obtained for the k-median objective, and more generally to give improved techniques for k-means in both traditional models as well in settings where the inputs are distributed and one is interested in the communication requirements between servers. These are basic questions, and the PIs show that initial progress has been made for some of them._x000D_
_x000D_
The second thrust of the proposal focuses on providing a unified framework for capturing problems such as matrix completion, robust PCA, matrix sensing, among others. The proposal sketches a connection via new factorization problem  obtained by minimizing a structured non-convex optimization problem, for which an interesting new strong duality condition plays a critical role. In general, little is know about strong duality results for non-convex optimization problems, so this a promising direction._x000D_
_x000D_
Third, the PIs address the question of finding a simpler representation of deep neural networks, so as to show conditions where there are strong convex relaxations (as a means for providing justification for their inexplicable effectiveness, as well as potentially providing new algorithms with provable and practically good performance). The proposal outlines a few specialized questions along these lines, and it appears that the PIs have a good start in attacking this important issue._x000D_
_x000D_
Finally, the PIs outline a few central questions in the complexity of property testing (which links back to issues for example for robust PCA). The proposal sketches a proof framework in which progress for these issues might be attained._x000D_
_x000D_
Overall, the PIs have written a compelling proposal and clearly articulated that the have positioned themselves to make progress on a number of interesting questions._x000D_
_x000D_
In the context of the five review elements, please _x000D_
evaluate the strengths and weaknesses of the proposal with respect to broader impacts._x000D_
_x000D_
The techniques being studied and advanced have had tremendous impact beyond computer science, and so these are questions that will naturally have impact beyond the usual academic framework. The PIs have also outlined a number of curricular advances within which this work will be integrated, and have had significant impact on promoting this area through many, many workshops. Finally, the PIs will continue to build on their track record of attracting underrepresented groups to the field._x000D_
_x000D_
Please evaluate the strengths and _x000D_
weaknesses of the proposal with respect to any additional solicitation-specific review criteria, if _x000D_
applicable_x000D_
_x000D_
_x000D_
_x000D_
Summary Statement_x000D_
_x000D_
This is a very, very good proposal, exceptionally well written, the carefully advances the case that the PIs are well-positioned to make progress on the theoretical foundations of important questions in learning. Furthermore, due to the nature of the questions this is work that will have a broader impact in and of itself, and the PIs have laid out a plan for a number of outreach activities as well._x000D_
_x000D_
</t>
  </si>
  <si>
    <t>Machine learning studies the design of automatic methods for extracting information from data and has become a highly successful discipline with a wide variety of important applications. Its past success was deeply influenced by fundamental statistical and computational principles for basic learning protocols involving single task learning. However, the emergence of unprecedented amounts of easily available data and computation have prompted the need of new algorithms and approaches for handling these new challenges. We aim to develop new algorithmic techniques for learning representations and sketching for modern and classic machine learning problems of significant practical importance. We plan to develop new techniques for finding structure in data in the form of data dimensionality reduction techniques, coresets and sketching.  We will use the developed algorithms and insights to provide new frameworks and algorithms for distributed learning and deep neural network. Specifically:_x000D_
Develop new coreset techniques for extracting representations. Coresets are a powerful notion developed in theoretical computer science with potential for wide-ranging applications in machine learning.  A coreset is a succinct summary of a very large dataset, with respect to a given objective function and have been used in several applications of machine learning including distributed learning. In this work, we will provide sharp characterizations on the size of coresets for clustering problems. We will also extend these techniques to provide powerful algorithms with good communication and computation guarantees for distributed settings. _x000D_
Develop non-convex techniques for learning representations. We will aim to develop a unified framework for extracting representation by solving non-convex matrix factorization problems with applications to important learning problems including matrix completion, robust PCA, matrix sensing, multi-task learning, dictionary learning, and weighted low rank approximation. _x000D_
Develop sketching techniques for representations in deep learning. We will substantially advance the theory of deep networks, one of the most successful contemporary machine learning paradigms, by applying our techniques for learning compact representations of deep networks. We specifically look at provably approximating the original possibly high dimensional network by a representation with fewer parameters, leading to more efficient computations, power savings, and avoiding overfitting. _x000D_
Develop mathematical foundations for representation property testing. This work will also develop the theory and algorithms for property testing question that are relevant for learning representations in  sublinear time. One can obtain a significant computational savings by first {\it testing} if an object has a desired property in a preprocessing stage, or is {\it far} from having that property. For example, in robust PCA we can first test if the input matrix is close to a low rank matrix. Besides obtaining sublinear time preprocessing algorithms, we also plan to develop algorithms for solving the optimization problems themselves in sublinear time, whenever possible. _x000D_
Keywords: Coresets; Clustering; Dimensionality Reduction; Non-Convex Optimization; Deep Learning; Distributed LearningThe proposed research will significantly expand the existing theory of sketching and learning representations, with important applications for obtaining algorithms with provable guarantees for important machine learning problems including deep networks and distributed learning. We also expect our algorithmic techniques to be of broad interest to the optimization and theoretical computer science community, including areas such as communication complexity, geometry, non-convex optimization, and property testing.Our work has potential for substantial societal, practical, and educational impact. Frameworks and algorithms developed have potential to yield new principled and robust methods for solving key challenges in  the age of ``Big Data'' in a wide range of application areas including search and information retrieval, computer vision, robotics, healthcare, and bio-surveillance. Both PIs are dedicated towards actively hiring minorities and involving undergraduate students in research.</t>
  </si>
  <si>
    <t>1763937</t>
  </si>
  <si>
    <t>Demaine</t>
  </si>
  <si>
    <t xml:space="preserve"> Panel Summary       
 SUMMARY OF PROPOSED RESEARCH ACTIVITY_x000D_
_x000D_
This project proposes the design of an algorithmic framework for generating solutions to a long list of problems that all have the following structure: a set of mobile agents (robot swarms, ambulances, drones or other) needs to be move from their initial formation to reach one of possibly many desirable formations. The algorithmic problem is to select a transition from the original formation of the agents to a desired formation so that some objective function is optimized. Depending on the chosen objective and the desirable formations to be reached, this abstraction captures several well-motivated problems, including famously studied ones such as the k-server problem. For a simple illustrative example, one may consider the problem of positioning ambulances within the city aiming to minimize the time needed to drive one of these ambulances to the scene of an accident. _x000D_
_x000D_
Since many of the most interesting optimization problems that obey this structure are computationally intractable in general, the goal of this proposal is to design algorithms with good approximation guarantees, or good parameterized complexity (given some appropriate parameter choice). They also consider online and game-theoretic versions of these problems. The majority of the proposal focuses on centralized motion planning algorithms which dictate how the agents should move. However, the proposal also briefly discusses distributed implementations, where the agents need to communicate with each other and coordinate regarding how to move._x000D_
_x000D_
_x000D_
INTELLECTUAL MERIT_x000D_
_x000D_
The wide variety of problems captured by this proposal include many important problems and the PIs are both experts in the relevant areas; they are therefore very well positioned to solve these problems. Also, the PIs have successfully collaborated repeatedly in the past, which provides confidence that this project would be successful, leading to a long list of significant publications. One concern that was raised by some of the panelists was that they could not identify a specific problem they would be particularly excited about, but others thought that the moving repairman problem was an important example. The panelists agreed that all the specific directions discussed by the PIs are definitely worth understanding better. Also some panelists thought that the proposal should focus more on the distributed model, and that it was unclear why a unique algorithmic framework would be able to achieve non-trivial approximations on multiple problems. However, some panelists thought that this was a very worthwhile endeavor, and the fact that the PIs have successfully provided such a general solution framework in the past though, mitigated some of the other panelists' concerns._x000D_
_x000D_
Strengths_x000D_
+ Very strong team of PIs that have successfully collaborated repeatedly in the past_x000D_
+ The proposal spans several interesting and well-motivated problems_x000D_
+ The PIs have made partial progress toward many of the directions that they propose_x000D_
+ The technical parts of the proposal are well-structured and provide sufficient context for each problem_x000D_
Weaknesses_x000D_
- The proposal did not clearly state why a general framework would yield appealing approximation guarantees_x000D_
- There was no single problem that raised significant enthusiasm; the proposal aims to tackle several interesting problems, though, so this was not a major concern_x000D_
- Some panelists thought that the section on physical dynamics was weak_x000D_
_x000D_
_x000D_
BROADER IMPACTS_x000D_
_x000D_
The broader impacts of the proposal would include both theoretical advances as well as possible impact on industry. Also, the PI Demaine has a very strong record of disseminating his research results via both recorded lectures and plenary talks._x000D_
_x000D_
Strengths_x000D_
+ Both theoretical and practical advances are very likely to results from this research _x000D_
+ Strong record of research dissemination_x000D_
 _x000D_
_x000D_
ADDITIONAL REMARKS_x000D_
_x000D_
Collaboration plan: The PIs have successfully collaborated in the past using electronic meeting systems. They plan to follow that same approach by meeting regularly and focusing on 3-5 of the proposed research challenges each year._x000D_
Data Management Plan: The discussion regarding the data management plan is adequate._x000D_
Results of prior support:  Both of the PIs have been funded by NSF to work on closely related research projects in the past, leading to a long sequence of publications. Contributions of this prior work include a new algorithmic framework for the unique label cover problem._x000D_
 _x000D_
Suggestions to PI(s): Updating or removing the section on physical dynamics could strengthen the proposal. Also, it would help if the PIs were a bit more explicit about some details in the broader impacts section as this could significantly strengthen that section._x000D_
_x000D_
Justification for Panel Rating: This project proposes the study of a wide range of algorithmic problems that includes many very interesting challenges that are relevant both in terms of theory and practice. The PIs are experts in the relevant areas and possess exactly the right skills to tackle these problems and make progress in this important research front._x000D_
 _x000D_
Panel Rating:_x000D_
_ Highly Competitive_x000D_
X Competitive_x000D_
_ Low Competitive_x000D_
_ Not Competitive_x000D_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</si>
  <si>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Proposes solving a variety of collaborative motion planning problems within a unified framework. In these problems, a set of k agents need to move to some kind of configuration (forming a connected group for communication, blocking a group of 'obnoxious' agents in some way, etc) at minimal cost.  The PIs are well-qualified and have had considerable recent success with their bidimensional framework for graph algorithms.  The proposal suggests a broad, graph-based framework for approximating the cooperative motion planning problems, in which approximation and fixed-parameter tractable algorithms are provided for the mostly NP-complete problems. _x000D_
_x000D_
Strengths_x000D_
_x000D_
- The PIs past successes with geometric and graph algorithms._x000D_
- A number of preliminary results described in the proposal. _x000D_
_x000D_
Weaknesses_x000D_
_x000D_
- Not much connection to the motivating applications and no references to related work in robotics; just constructing the graph is often considered the hard part in most motion planning scenarios_x000D_
- The model presupposes global two-way communication with a central planner. This is not realistic in many of the scenarios raised as motivation (first-responders, fleets of drones) although it is in others (Uber/Lyft). While this is observed, it is not really dealt with._x000D_
_x000D_
In the context of the five review elements, please _x000D_
evaluate the strengths and weaknesses of the proposal with respect to broader impacts._x000D_
_x000D_
Educational prospects are good; the PIs have taught together, and they have both made course materials available._x000D_
_x000D_
PI Demaine has published many well-used lecture videos._x000D_
_x000D_
Please evaluate the strengths and _x000D_
weaknesses of the proposal with respect to any additional solicitation-specific review criteria, if _x000D_
applicable_x000D_
_x000D_
_x000D_
_x000D_
Summary Statement_x000D_
_x000D_
Proposes an interesting framework for cooperative path planning, but it needs to be better motivated; in particular distributed algorithms or better modeling of the agents as actors with their own goals seems more relevant._x000D_
_x000D_
</t>
  </si>
  <si>
    <t xml:space="preserve">In the context of the five review elements, please _x000D_
evaluate the strengths and weaknesses of the proposal with respect to intellectual merit._x000D_
_x000D_
This proposal suggests the study of a wide range of problems, all centered on the coordinated motion planning of a set of mobile agents. Most of the proposed problems define a set of acceptable configurations for the agents, who then need to move in some way so that an acceptable configuration is reached. Over all ways of achieving this transition, the algorithmic goal is to choose one that (approximately) optimizes some objective as a function of the movement that the transition requires. Depending on the types of configurations that are acceptable and the type of objective being optimized, this gives rise to a rich family of problems, many of which are very well motivated. In solving these problems, the PIs plan to use both approximation algorithm and parameterized algorithm techniques._x000D_
_x000D_
Most of the proposal assumes that the algorithm can be communicated to the agents by some centralized entity that coordinates the agents, and the agents then follow the algorithm's directions. However, the PIs also consider the well-motivated case where the algorithm itself is decentralized and needs to be communicated among the agents._x000D_
_x000D_
The introduction of the proposal is a bit repetitive and it could be a bit more structured, but the subsequent technical sections make up for it and the proposal is pleasant to read overall. The PIs have successfully worked together in the past and are very well-equipped to solve these problems._x000D_
_x000D_
On the negative side, the proposal claims that one of the project's goals is to develop a general framework for solving entire categories of problems rather than optimizing for specific problems. Although this sounds like an interesting goal which could uncover similarities across seemingly different problems, one possible drawback is that the optimal approximation achievable for an entire category of problems may be worse than that achievable for subsets of these problems alone. In other words, approaching a whole category of problems at once may weaken the optimal approximation guarantees and hence lead to less interesting "optimal" solutions._x000D_
_x000D_
_x000D_
In the context of the five review elements, please _x000D_
evaluate the strengths and weaknesses of the proposal with respect to broader impacts._x000D_
_x000D_
Despite the high level of abstraction in the way that the problems are presented in this proposal, there are multiple applications where useful insights from this research could have impact in industry. This is especially true if the PIs manage to identify parameters of the problem instances with respect to which the problem is fixed parameter tractable._x000D_
_x000D_
Please evaluate the strengths and _x000D_
weaknesses of the proposal with respect to any additional solicitation-specific review criteria, if _x000D_
applicable_x000D_
_x000D_
_x000D_
_x000D_
Summary Statement_x000D_
_x000D_
This proposal includes a wide variety of problem unified under the coordinated motion planning umbrella. Many of these problems are very well motivated and deserve more attention, and the authors are well equipped to make progress toward solving them._x000D_
_x000D_
_x000D_
</t>
  </si>
  <si>
    <t xml:space="preserve">In the context of the five review elements, please _x000D_
evaluate the strengths and weaknesses of the proposal with respect to intellectual merit._x000D_
_x000D_
My favorite strength of this proposal is its ambition:  the PIs propose to_x000D_
develop "very general frameworks that apply to an entire category of problems_x000D_
all at once".  The PIs have done this before--their bidimensionality theory,_x000D_
which "provides general techniques for designing efficient fixed-parameter_x000D_
algorithms and approximation algorithms for a broad range of NP-hard problems_x000D_
in a broad range of graphs, namely, planar graphs and graphs excluding a fixed_x000D_
minor."  They want to do something similar for coordinated motion planning_x000D_
problems._x000D_
_x000D_
The proposal makes a strong case for the breadth and usefulness of their_x000D_
general framework for coordinated motion planning problems.  It sounds like a_x000D_
decent abstraction of many real-world problems:  delivery drones, patrols,_x000D_
Uber/Lyft, robot soccer, etc.  The techniques are also interesting: the PIs_x000D_
plan to use both approximation algorithm techniques and fixed-parameter_x000D_
algorithm techniques, as well as a combination of the two.  (The PIs note that_x000D_
"there are problems that are both hard to approximate and fixed-parameter_x000D_
intractable, but have parameterized approximation algorithms".)  Moreover, they_x000D_
add the case where we have "distributional knowledge of the demands"--i.e.,_x000D_
online stochastic planning under uncertainty with some statistical knowledge of_x000D_
demands, so that an expected-case analysis is possible.  This last scenario_x000D_
seems like an important direction that probably still has some low-hanging_x000D_
fruit.  Research Challenges 11-14 deserve serious attention._x000D_
_x000D_
The PIs are interested in both algorithms for the general framework and_x000D_
algorithms for easier special-case problems such as planar networks, minor-free_x000D_
networks, unit-disk graphs, and sparse networks._x000D_
_x000D_
I like the description of the PIs' partial progress at the bottom of page 7._x000D_
It's very encouraging that the authors can show that in some special cases, the_x000D_
treewidth suffices to determine whether an efficient fixed-parameter algorithm_x000D_
exists.  I also like the partial progress described at the top of page 11, and_x000D_
the discussion of a linear program relaxation and the dual LP.  Likewise for_x000D_
the partial progress on page 12.  Overall, the PIs seem to have a lot of_x000D_
creative ideas about how to approach these problems._x000D_
_x000D_
The discussion of the traveling repairman problem is interesting, and I find_x000D_
the application to emergency planning compelling.  One minor thing I don't_x000D_
understand, though, is why the metric and the speeds are integers rather than_x000D_
real numbers.  Is it implied that the PIs plan to discretize time?  Continuous_x000D_
time would seem to be a better match to the proposed applications.  I would_x000D_
like to know which version of the problem is easier--the problem with discrete_x000D_
time or the problem with continuous time.  I would not be surprised if forcing_x000D_
the repair times t_j to be integers makes the problem harder._x000D_
_x000D_
Minor quibble:  on page 11, the PIs say they have an O(log n)-approximation_x000D_
algorithm without saying what n is.  On page 12, they have another one of the_x000D_
same.  (There's a similar glitch on page 2, "time polynomial in n in_x000D_
lg(1/epsilon) [sic]", where n is not defined.)_x000D_
_x000D_
The big weakness of this proposal is Section 3, on physical dynamics.  Perhaps_x000D_
I'm misunderstanding them, but I think the PIs are out of their depth here._x000D_
When you introduce agents with different speeds/accelerations or vehicles with_x000D_
limited turning radius, you are entering the realm of control theory and_x000D_
differential equations, which the PIs do not mention.  In this realm, I do not_x000D_
believe that (1 + epsilon)-approximations are possible, at least as I_x000D_
understand them.  Let's consider the homicidal chauffeur problem, one of the_x000D_
most basic problems that appears in almost every introductory control theory_x000D_
textbook.  A car with a limited turning radius and limited velocity is trying_x000D_
to run over a pedestrian with a smaller limited velocity but no limit on_x000D_
turning/acceleration.  There is a natural bifurcation in the mapping from_x000D_
initial conditions to the solution:  sometimes the optimal solution is for the_x000D_
car to drive directly toward the pedestrian; sometimes the pedestrian can elude_x000D_
the car's turning radius, so the car must turn away, get some distance from the_x000D_
pedestrian, then turn around and move toward the pedestrian from far enough_x000D_
away that the pedestrian cannot get out of the car's path.  If the former_x000D_
solution is possible, you can't get a (1 + epsilon)-approximation by choosing_x000D_
the latter solution; therefore, a (1 + epsilon)-approximation algorithm must_x000D_
compute the bifurcation in the initial conditions exactly; i.e. it must solve_x000D_
that part of the differential equation (on the bifurcation surface) exactly._x000D_
Hence, I doubt that the PIs can do what they're saying they will do._x000D_
_x000D_
Perhaps what the PIs mean is that they will discretize dynamic problems as_x000D_
problems on finite graphs, and then compute (1 + epsilon)-approximations to_x000D_
those finite graph problems?  This would be perhaps the most generous_x000D_
interpretation of what Section 3 is saying.  But such solutions would not_x000D_
constitute a (1 + epsilon)-approximation of the original dynamics problem._x000D_
It creates the impression that the PIs have no idea what they're talking about,_x000D_
or else they have simply failed to convey what they really intend to do._x000D_
I think the reviewers should proceed by crossing out Section 3 entirely and_x000D_
just evaluating the rest of the proposal._x000D_
_x000D_
Note on the PIs' "Research Challenge 7":  what are "path loss, shadowing, and_x000D_
multi-path fading"?_x000D_
_x000D_
_x000D_
In the context of the five review elements, please _x000D_
evaluate the strengths and weaknesses of the proposal with respect to broader impacts._x000D_
_x000D_
The PIs include the usual stuff about educating grad and undergrad students,_x000D_
and incorporating research ideas into graduate courses.  Research ideas are_x000D_
also likely to be incorporated "into books we have written and are currently_x000D_
writing"; substantiating details would be good here._x000D_
_x000D_
There is some lip service given to outreach to high-school students, most_x000D_
notably "MIT and UMD offer summer programs to high-school students interested_x000D_
in computer science and programming, and the PIs plan to actively participate_x000D_
in these programs."  But what will be the nature of that participation?  It_x000D_
would be good to hear more details about how "we also organized a local seminar_x000D_
series for related research and presented research to high-school women."  The_x000D_
best sign in the proposal is that PI Hajiaghayi "co-developed the University of_x000D_
Maryland High School Programming competition since 2011, which promotes_x000D_
mathematics and computer science to high-school students"; does he plan to_x000D_
continue to do so?  One way to strengthen the Broader Impacts would be to have_x000D_
a specific, concrete outreach plan._x000D_
_x000D_
"We will publish all software, datasets, and testing methodology that we_x000D_
develop", but again it is vague what software the PIs hope to produce.  Again,_x000D_
the PIs have missed an opportunity to strengthen the Broader Impacts by having_x000D_
a specific, concrete software plan._x000D_
_x000D_
The promise to "address the programming side of effective use and motion_x000D_
planning of drones" and "model the geometry and dynamics of real-world agents_x000D_
in complex urban environments" is undercut by the deeply flawed section on_x000D_
dynamics (Section 3)._x000D_
_x000D_
_x000D_
Please evaluate the strengths and _x000D_
weaknesses of the proposal with respect to any additional solicitation-specific review criteria, if _x000D_
applicable_x000D_
_x000D_
_x000D_
_x000D_
Summary Statement_x000D_
_x000D_
I rate this proposal "Very Good".  (It could have scored higher, but the_x000D_
section on physical dynamics brings it down.)  It's a well-written proposal by_x000D_
a capable team with a strong track record and a lot of good ideas about how to_x000D_
make forward progress.  It's also an ambitious proposal that seeks to_x000D_
establish general techniques for a wide class of important problems, and the_x000D_
mix of approximation algorithms, fixed-parameter algorithms, and online_x000D_
stochastic planning under uncertainty is excellent.  The "Broader Impacts" are_x000D_
average among proposals of this type, but they could be above average if the_x000D_
PIs made a clear statement about what software they will write._x000D_
_x000D_
_x000D_
</t>
  </si>
  <si>
    <t xml:space="preserve">In the context of the five review elements, please _x000D_
evaluate the strengths and weaknesses of the proposal with respect to intellectual merit._x000D_
_x000D_
The work in this proposal is concerned with coordinated motion _x000D_
planning. This work finds applications in a host of problems such_x000D_
as delivery drones, the k-traveling repairmen problem and so on._x000D_
In a disaster response situation, one would be concerned with_x000D_
minimizing the maximum movement of the responders. These and related_x000D_
problems motivate the current work._x000D_
_x000D_
The ideas proposed by the PIs are natural and original. And if_x000D_
they succeed, there is definite benefit to both academe and society_x000D_
as a whole._x000D_
In their technical approach, they wish to combine approximation algorithms along with fixed parameter algorithms. This theory was discussed by the PIs and Daniel Marx in [101]. They have identified 15 research challenges and made partial progress on each one of these._x000D_
_x000D_
_x000D_
_x000D_
The PIs discuss nine major problems of agent movement in order to_x000D_
achieve specific goals. _x000D_
The PIs have a clear plan for achieving their goals._x000D_
_x000D_
The PIs are extremely well-qualified to undertake the work outlined in this proposal, especially since they have coauthored the two seminal papers [63]and [65] in the field. _x000D_
_x000D_
The home institutions of the PIs do have adequate resources to help the PIs carry out the proposed activities._x000D_
_x000D_
In the context of the five review elements, please _x000D_
evaluate the strengths and weaknesses of the proposal with respect to broader impacts._x000D_
_x000D_
_x000D_
The PIs intend to impact academe and society along four fronts._x000D_
Clearly, educational impact (including developing new courses) and _x000D_
high school outreach are typical, but the PIs can achieve those goals. _x000D_
I was struck by the "Practical Applications" portion of their broader_x000D_
impacts section. It is clear that they can incorporate their research ideas into an actual product that may serve society as a whole. _x000D_
_x000D_
_x000D_
Please evaluate the strengths and _x000D_
weaknesses of the proposal with respect to any additional solicitation-specific review criteria, if _x000D_
applicable_x000D_
_x000D_
_x000D_
_x000D_
Summary Statement_x000D_
_x000D_
_x000D_
The proposal carefully outlines a series of problems in coorindated motions planning, with approaches on how to go about solving them. The_x000D_
authors have made significant progress towards each of their goals_x000D_
and it is more than likely that they will achieve all the goals outlined in this proposal._x000D_
_x000D_
</t>
  </si>
  <si>
    <t>This project will develop algorithms for distributed motion planning of agents moving in a swarm to achieve desired formations and/or behaviors in complex environments such as dense urban settings. These algorithms would have direct applications to motion planning of unmanned aerial vehicles, such as delivery drones (Amazon Prime Air, Google Project Wing, Flytrex, etc.), US DHS's border patrol drones, police-organized surveilance and traffic violation drones, and the army's Aerial Resupply Vehicles (JTARV); as well as ride sharing and self-driving cars (Uber, Lyft, etc.). Specifically, our algorithms will specify how to program such swarms to achieve desired configurations and tasks while minimizing fuel consumption._x000D_
Keywords: motion planning, swarms, drones, algorithmsWe will build strong theoretical foundations with provable guarantees on speed and solution quality for the control of large teams of agents with varying levels of sensing, computing, mobility, and autonomy, in contrast to traditional approaches to motion planning which are either slow or have no guarantees on solution quality for large numbers of agents. In particular, our results will apply to intelligent motion planning of multiple types of mobile agents, both manned and unmanned, such as people, robots, cars, planes, drones, ships, etc., each with different speeds and amounts of fuel. Our approach can in particular model the ability for smaller drones to refuel from larger planes, or for disaster relief personnel (in earthquake, hurricane, volcano eruption, or wildfire scenarios) to resupply at stationary or mobile depots. Our algorithms will build on and develop new general frameworks for solving algorithmic problems in graphs/networks which represent the space of possible locations, enabling us to solve a wide array of distributed intelligence problems. In particular, we will model the geometry and dynamics of real-world agents in complex urban environments, e.g., Euclidean environments with obstacles, multiple terrain types, and multiple vehicle types, each with limited speed/acceleration and limited turning radius. We will also consider online scenarios where the demands are not known in advance, which includes the famous k-server problem; with distributional knowledge of these demands (a practical assumption for Uber/Lyft), we show that we can find much better approximation algorithms._x000D_
_x000D_
The project will apply the developed algorithms to practical applications of our algorithms and underlying principles to real-world settings. Our algorithmic foundations will provide a deep understanding of the problem's structure, enabling us to also develop powerful heuristics for very flexible/messy real-world scenarios. We will also develop distributed versions of our algorithms where agents can coordinate directly with other nearby agents, instead of requiring centralized control.Drones are everywhere, and countries are in a race to build and use drones strategically. This project will address the programming side of effective use and motion planning of drones, in addition to other application scenarios. We will leverage our past experience building a sensor network deployment method using the AVATAR autonomous helicopter, with provable algorithmic guarantees, to tackle new challenges for coordinating motion of multiple-robot and multiple-agent systems. Further, we will develop algorithms and experimental technologies for implementing adaptive and resilient behaviors into heterogeneous teams or swarms, responding to dynamic and varying conditions in the physical world._x000D_
_x000D_
General frameworks for movement problems may also change the way that parts of motion planning and graph algorithms are taught. To this end, we will incorporate our discoveries into existing courses about graph algorithms and computational geometry, and discuss further incorporation with robotics educators. The wealth of attractive open problems in these areas will provide both challenging research topics and intuitive accessible problems to inspire students to enter research in computer science and mathematics.</t>
  </si>
  <si>
    <t>1763970</t>
  </si>
  <si>
    <t>Papadimitriou</t>
  </si>
  <si>
    <t xml:space="preserve"> Panel Summary       
  SUMMARY OF PROPOSED RESEARCH ACTIVITY_x000D_
_x000D_
Description :_x000D_
_x000D_
_x000D_
   This proposal is focused on three distinct domains, viz.,_x000D_
(i) Classical computational complexity - Here the PIs are interested_x000D_
 in improving our understanding of the complexity class TFNP. One of_x000D_
 the PIs in prior work discovered the class TFNP and many subclasses_x000D_
 therein. They are also interested in the approximability of the Traveling_x000D_
 Salesman problem._x000D_
_x000D_
(ii) Algorithmic Game theory - Here the PIs are interested in extending their work in the price of anarchy by accounting for fairness in the analysis._x000D_
_x000D_
(iii) Life sciences - They are interested in computational approaches to_x000D_
understanding the brain._x000D_
_x000D_
_x000D_
_x000D_
INTELLECTUAL MERIT_x000D_
_x000D_
Strengths_x000D_
_x000D_
+ The problems defined in (i) and (ii) are extremely  well-motivated._x000D_
  The class TFNP consists of problems whose solutions are easily verifiable,_x000D_
  with the additional requirement that each instance has at least one solution._x000D_
  This class contains within it, five distinct genres of problems captured_x000D_
  by the classes PPP, PPA, PPAD, PLS, and CLS. Each of these classes is characterized_x000D_
  by a certain type of combinatorial argument which is used to establish the function's_x000D_
  totality. As per the PIs, the lack of a unifying treatment is unsatisfactory and_x000D_
  this proposal will go a long way towards achieving this goal. As partial progress,_x000D_
  they point towards their recent work with Paul Goldberg, in which they define a_x000D_
  generalization of propositional logic (propositional logic augmented with Boolean_x000D_
  function symbols) and a simple proof system. They have also given a natural_x000D_
  complete problem for this class. The question that follows is: Do we need function_x000D_
  symbols at all to capture the class Provable TFNP or PTFNP, which is a subclass of_x000D_
  TFNP?_x000D_
+ The PIs intend to attack a whole host of "simple to state, hard to solve", classical_x000D_
problems such as Minkowski and Betrtand._x000D_
+ In the case of Traveling Salesman, the PIs comment upon the  gap between upper_x000D_
and lower bounds and the fact that the unique games conjecture has not been successfully_x000D_
applied here. TSP and ATSP are classical problems and any breakthrough in these_x000D_
problems would be significant. The PIs point out that first-order logic cannot_x000D_
express connectivity in graphs, which is a requirement in TSP. They then conjecture_x000D_
that UGC may not be sufficient to capture this requirement. If they succeed in establishing_x000D_
this, it would once again be a significant breakthrough._x000D_
+ The PIs have a super-strong record._x000D_
+ The PIs have collaborated together to achieve some landmark results._x000D_
+ If they succeed, their achievements will be significant breakthroughs._x000D_
_x000D_
_x000D_
Weaknesses_x000D_
_x000D_
- The section on Life Science research (Section 4) is not self-contained,_x000D_
especially for computer scientists who are unfamiliar with the terminology._x000D_
This is not a major weakness. Indeed, the proposal would have been stellar, even without this section._x000D_
_x000D_
_x000D_
_x000D_
BROADER IMPACTS_x000D_
_x000D_
_x000D_
Strengths_x000D_
_x000D_
+ The work will result in increased collaboration and visibility._x000D_
+ There will be direct impact on a number of disciplines._x000D_
+ The PIs are involved in a variety of outreach programs._x000D_
_x000D_
_x000D_
Weaknesses_x000D_
_x000D_
- None._x000D_
_x000D_
_x000D_
_x000D_
 _x000D_
_x000D_
 _x000D_
_x000D_
ADDITIONAL REMARKS_x000D_
_x000D_
Research plan: A little too ambitious in the breadth_x000D_
of the problems to be tackled. However, these PIs have_x000D_
a stellar record and it would not be very surprising_x000D_
if they resolved a large majority of the proposed problems._x000D_
_x000D_
Collaboration plan: Very nicely described. Touches on all the major points._x000D_
_x000D_
_x000D_
Data Management Plan: Adequate._x000D_
_x000D_
Results of prior support:  The PIs have published several papers in top_x000D_
venues and graduated doctoral students._x000D_
_x000D_
 _x000D_
_x000D_
Suggestions to PI(s): _x000D_
_x000D_
   None._x000D_
 _x000D_
_x000D_
Justification for Panel Rating: _x000D_
_x000D_
 The panel felt that the work outlined in the proposal is truly  transformative  and exceptional._x000D_
 _x000D_
_x000D_
Panel Rating: _x000D_
_x000D_
X_ Highly Competitive_x000D_
_x000D_
_ Competitive_x000D_
_x000D_
_ Low Competitive_x000D_
_x000D_
_ Not Competitive_x000D_
_x000D_
The summary was read by/to the panel and the panel concurred that the summary_x000D_
accurately reflects the panel discussion._x000D_
</t>
  </si>
  <si>
    <t xml:space="preserve">In the context of the five review elements, please _x000D_
evaluate the strengths and weaknesses of the proposal with respect to intellectual merit._x000D_
_x000D_
This proposal casts a very wide net. Besides touching upon an very broad range of problems, it includes research questions at multiple levels of granularity: a few very low-level questions about understanding the complexity of a well-specified problem; and some dizzyingly high-level questions that are not yet within the orbit of computer science (such as understanding the biological mechanism for mutations)._x000D_
_x000D_
At the low-level end, the PIs will continue some recent investigations into the complexity of search problems, e.g., by studying the newly defined class PTFNP; by exploring the complexity of such problems as MINKOWSKI and BERTRAND (related to the well-known Minkowski theorem and Bertrand's postulate); by seeking strong lower bounds for finding fixed points of contractions maps in L-infinity. _x000D_
_x000D_
There are some mid-level questions, where the PIs haven't pinned down a specific goal yet. One is understanding whether the current large gaps between approximability and inapproximability results for TSP are because of differences in the level of logic required to express the constraints. Another such is to flesh out a theory of "input-approximate algorithms" where one seeks an algorithm that solves not the given input instance but some other "easy" instance epsilon-close to it._x000D_
_x000D_
Then there are several high-level questions. Besides the aforementioned one about mutations, there are questions about the complexity of computing prices in production economies (the PI's preliminary work suggests some hardness); questions about the (non)existence of game dynamics that converge to mixed Nash equilibria, and a different generalization of Nash equilibrium that the PIs have begun to explore; and some very high-level questions about the (human?) brain, in particular seeking a graph theory based generative model for the connectome._x000D_
_x000D_
Strengths_x000D_
+ There are a good number of low-level questions that are of fundamental importance in the complexity of search and of games. These could, on their own, make a very good small proposal. _x000D_
+ The mid-level questions are good jumping off points for larger explorations._x000D_
+ The PIs certainly have the credibility to propose very bold questions as they indeed do here._x000D_
_x000D_
Weaknesses_x000D_
- Perhaps the high-level questions are much too bold, even for such illustrious PIs._x000D_
- It seems unlikely that progress can be made on all of these fronts so quickly, with just two PIs._x000D_
_x000D_
_x000D_
_x000D_
In the context of the five review elements, please _x000D_
evaluate the strengths and weaknesses of the proposal with respect to broader impacts._x000D_
_x000D_
There is a high degree of interdisciplinarity to most of the research questions in the proposal._x000D_
_x000D_
The project will train two Ph.D. students at Columbia and there are plans to recruit undergraduate students through an appropriate program at Columbia._x000D_
_x000D_
The proposal addresses curriculum development only briefly and cursorily._x000D_
_x000D_
The two PIs have been trendsetters in computer science at many points in their long careers. The more high-level parts of this proposal have the potential to similarly set new agenda for computer science._x000D_
_x000D_
_x000D_
Please evaluate the strengths and _x000D_
weaknesses of the proposal with respect to any additional solicitation-specific review criteria, if _x000D_
applicable_x000D_
_x000D_
_x000D_
_x000D_
Summary Statement_x000D_
_x000D_
This proposal from two highly experienced PIs who have recently become colleagues at the same university is a rare mix of low-level, mid-level, and very high-level research questions. That said, the high-level questions feel way too broad for a four-year project with two PIs._x000D_
_x000D_
_x000D_
</t>
  </si>
  <si>
    <t xml:space="preserve">In the context of the five review elements, please _x000D_
evaluate the strengths and weaknesses of the proposal with respect to intellectual merit._x000D_
_x000D_
While not the standard approach to writing a proposal (in terms of the electicism pervasive throughout), this is a stunning proposal. The PIs are two of the most innovative and influential researchers in the field (especially when collaborating together), and they return to many of the key topics to which they have contributed in their long and distinguished careers, with many new insights, new innovative definitions, and initial ideas for moving forward on fundamental questions. Among the plethora of questions newly posed here, I particularly liked the notion of input approximation as a way to resolve issues like the SUM of SQUARE ROOTS, and the new notion of hardness being developed with the hope of providing better non-approximability results for the TSP. It would have been nice if some sense of the ideas present in the proof for d=2 of the black box lower bound for the question emerging from fixed points of monotone functions. It appears that one could have fashioned an excellent proposal out of a fraction of the themes touched on here (and maybe it would have been even better) but this approach certainly makes a compelling argument as well._x000D_
_x000D_
In the context of the five review elements, please _x000D_
evaluate the strengths and weaknesses of the proposal with respect to broader impacts._x000D_
_x000D_
The PIs have a long track record of influencing other disciplines (the interplay with economics flourishing now is due in large measure to their efforts). The PIs have both written expository pieces that have enabled the field to become a part of the wider scientific community, and they make clear the intention to continue this tradition. In addition, there is a detailed set of outreach, and engagement with undergraduate research that serves to enrich an even broader community._x000D_
_x000D_
Please evaluate the strengths and _x000D_
weaknesses of the proposal with respect to any additional solicitation-specific review criteria, if _x000D_
applicable_x000D_
_x000D_
_x000D_
_x000D_
Summary Statement_x000D_
_x000D_
This is a great proposal that was fascinating to read from beginning to end, and will contributed enormously, both in terms of its intellectual and broader impact merits._x000D_
_x000D_
</t>
  </si>
  <si>
    <t xml:space="preserve">In the context of the five review elements, please _x000D_
evaluate the strengths and weaknesses of the proposal with respect to intellectual merit._x000D_
_x000D_
The work outlined in the proposal will definitely advance knowledge_x000D_
within the realms of algorithms and computational complexity._x000D_
The two PIs have made seminal contributions to these two fields over_x000D_
the years. Indeed, the class TFNP was invented/discovered by the_x000D_
first PI._x000D_
What the PIs intend to do in the current proposal is flesh out the_x000D_
complexity class TFNP, in addition to studying selected brain-_x000D_
related problems. TFNP includes several fundamental problems_x000D_
such as factorization, finding the Nash equilibrium in games and_x000D_
so on._x000D_
_x000D_
The PIs have identified several research problems in their _x000D_
narrative. The problems are clearly explained and the PIs are_x000D_
clearly well-qualified to undertake the work. The resources that_x000D_
will be available to the PIs are more than adequate._x000D_
_x000D_
_x000D_
In the context of the five review elements, please _x000D_
evaluate the strengths and weaknesses of the proposal with respect to broader impacts._x000D_
_x000D_
Inasmuch as the proposed work is involved withe life sciences,_x000D_
in particular, modeling brain activity, studying brain prediction_x000D_
and finally evolution, there will be immediate social impact._x000D_
The work on computational complexity, will directly impact fields_x000D_
such as Algorithmic game theory._x000D_
_x000D_
The proposed ideas are well-reasoned and carefully thought out. The_x000D_
PIs have a clear plan to impact society in general and academe in _x000D_
particular on a number of fronts, including curriculum development,_x000D_
mentoring doctoral students and involving undergraduate students _x000D_
in their research._x000D_
_x000D_
_x000D_
Please evaluate the strengths and _x000D_
weaknesses of the proposal with respect to any additional solicitation-specific review criteria, if _x000D_
applicable_x000D_
_x000D_
From what I can see, there are no weaknesses as such in this proposal._x000D_
The strengths are many as outlined in other sections._x000D_
_x000D_
Summary Statement_x000D_
_x000D_
The work is top notch and deserves to be funded. The questions_x000D_
posed by the PIs are foundational and fundamental. They have_x000D_
significant expertise in the field and have made seminal contributions_x000D_
to the same. The work on TFNP and the work on life sciences are_x000D_
likely to have broad and immediate impact._x000D_
_x000D_
</t>
  </si>
  <si>
    <t xml:space="preserve">In the context of the five review elements, please _x000D_
evaluate the strengths and weaknesses of the proposal with respect to intellectual merit._x000D_
_x000D_
The PIs have listed a wide variety of highly interesting questions about the class of total functions, TFPN. In particular, they rightly observe that its subclasses PPP, PPA and CLS have not yet been studied in depth. (However, I disagree with their statement that TFPN is one of the "least understood chapters of Complexity." In particular, its subclass PPAD has been relentlessly explored over the last two decades by numerous researchers, particularly the PIs.)_x000D_
_x000D_
Their questions on investigating the relationship between efficiency and equality (fairness) in economic and AGT solution concepts -- are these conflicting goals or do they support each other -- are very well motivated and highly relevant today. Their question about the existence of polynomially computable continuous dynamics that converges to the Nash equilibria in all games is excellent. Their exploration of ML techniques in the presence of strategically altered data is interesting and well motivated._x000D_
_x000D_
The PI has done some outstanding work leading new insights on the process of evolution via game-theoretic techniques. He has recently moved on to the challenging task of understanding the brain and the two PIs plan on making this one of their central research themes._x000D_
_x000D_
In the context of the five review elements, please _x000D_
evaluate the strengths and weaknesses of the proposal with respect to broader impacts._x000D_
_x000D_
Both PIs have done outstanding inter-disciplinary work over their careers, but particularly over the last decade. Their currently proposed work is very much along these lines. Their work will not only have impact in theory and CS, but also areas like game theory, economics, biology and neuroscience._x000D_
_x000D_
Both PIs have both produced top-notch PhD students and postdocs and there is every reason to believe they will be successful in this activity in the future as well. They have taught frontier courses and will do so in the future as well. They are also well known for giving insightful talks._x000D_
_x000D_
Please evaluate the strengths and _x000D_
weaknesses of the proposal with respect to any additional solicitation-specific review criteria, if _x000D_
applicable_x000D_
_x000D_
_x000D_
_x000D_
Summary Statement_x000D_
_x000D_
The PIs are two of the senior-most researchers of our field, with a record of four decades of top-notch research. They are proposing a very rich collection of issues, questions and problems lying at the frontier of research in our field._x000D_
_x000D_
</t>
  </si>
  <si>
    <t>The PIs have in the past done research on many aspects of the theory of algorithms and complexity, very often in extremely productive cooperation.  They are proposing to renew their research collaboration in several new research areas.  They propose to explore complexity classes that generalize and unify well studied classes of total functions, and in particular investigate complexity questions pertaining to the highest of these classes, PPP and PPA, as well as on the weakest class CLS and on algorithms and lower bounds for contraction maps; they will also investigate  the complexity of an equilibrium argument based on Tarski's fixpoint theorem. In algorithmic game theory,  they will explore a new trade off between efficiency of equilibria and fairness, the complexity of computing prices in economies with production, and a new proposed algorithmic solution concept in games called the Markov-Conley chain. They also propose to explore certain interesting problems at the interface between algorithmic game theory and machine learning, related to classifying strategic points, incentivizing the providers of data for statistical inference, and using optimally the information learned about users in online advertisement auctions.  They plan to collaborate on extending recent work on computational models for long term memories and their associations in the human medial temporal lobe, and the ways that these may shed light into the problem of implementing language in cortex.  Finally, they will work on better understanding how non-accidental mutations and gene interactions can illuminate key open questions in Evolution._x000D_
_x000D_
Keywords: Algorithms; complexity classes; total functions; price of anarchy; game dynamics; learning in cortex.Elucidating some of the questions asked here would be significant progress in some important aspects of the theory of computation. Total functions are some of the most intriguing, elegant, and least studied complexity objects, and there has been a recent surge of interest in them. We believe that unifying their study, or making progress in specific subclasses, may yield insights of broader applicability and open new avenues for research. Looking into the trade off between efficiency and inequality in games will be informative in this tricky part of the Economics literature, and may help us better understand the trade offs in our societies.  The proposed MCC solution concept might become a tipping point in the way computational thinking affects Game Theory and Economics.  The proposed work on the interface between Game Theory and Machine Learning may help bring a little closer two young and  powerful algorithmic research traditions trying to capture different aspects of today's world.  The proposed work on computational models for memories and language aims to provide algorithmic intellectual tools to the study of what is arguably the most difficult problem in today's science: understanding the Brain.The interdisciplinary nature of this research is likely to bring computational concepts and tools to researchers in other sciences.  The PIs give many interdisciplinary talks  and write many review and expository papers and plan to similarly disseminate widely the results of the proposed research. They anticipate bringing results from this research to their classes. PhD and other students will engage with this research. Some of this research pertains to better understanding the ways the algorithms and the Internet affect our lives and society.</t>
  </si>
  <si>
    <t>1764032</t>
  </si>
  <si>
    <t>Srebro</t>
  </si>
  <si>
    <t xml:space="preserve"> Panel Summary       
 SUMMARY OF PROPOSED RESEARCH ACTIVITY_x000D_
_x000D_
Description : This proposal aims to investigate how deep neural networks (DNNs) work theoretically. Deep learning (DL) is an area that has recently attracted tremendous practical interest (also, progress and findings of DL appear weekly in the popular press news). Despite this turmoil, it is surprising how little is mathematically understood about why DNNs work. This proposal aims to provide foundations for DL. This is a challenging task. To that end, the PIs structure their approach through various (potentially) more technically manageable problems. In particular, they propose to analyze the performance of local search algorithms (e.g.  SGD) for specializations of DNNs that still lead to non-convex problems related to matrix factorization. Furthermore, the proposal aims to understand (through various lenses) the issue of over-parameterization and "implicit regularization" in DL. Finally, the PIs propose to study the interface between geometry, optimization, and DL, and they also want to study the performance of recurrent neural networks. This proposal is on the interface between theory and practice, and thus the proposed research has both a theoretical and a practical component with applications to areas such as natural language processing, speech recognition, and video classification._x000D_
_x000D_
 _x000D_
_x000D_
INTELLECTUAL MERIT_x000D_
_x000D_
Strengths_x000D_
_x000D_
+ The proposed research is potentially very transformative._x000D_
_x000D_
+ The PIs aim to theoretically investigate a practically very substantial problem._x000D_
_x000D_
+ The PIs have a great track record in working in both the mathematics of machine learning and in conducting top-notch empirical work. The PIs' team is very well qualified for conducting this research._x000D_
_x000D_
_x000D_
Weaknesses_x000D_
_x000D_
- The PIs could have given further details of how they plan to study each direction. However, it is well understood that in this field of study more experimentation and validation is required for formulating precise mathematical statements. _x000D_
_x000D_
_x000D_
_x000D_
_x000D_
BROADER IMPACTS_x000D_
_x000D_
Strengths_x000D_
_x000D_
+ The proposed research indicates a genuine connection and potential impact to important application areas, such as natural language processing, speech processing, and video classification tasks._x000D_
_x000D_
+ The PIs are working in connecting Deep Learning and high energy experimental physics at CERN._x000D_
_x000D_
+ The proposal contains various educational and outreach activities, which are also inclusive for underrepresented minorities._x000D_
_x000D_
_x000D_
Weaknesses_x000D_
_x000D_
No identifiable weaknesses._x000D_
_x000D_
_x000D_
_x000D_
ADDITIONAL REMARKS_x000D_
_x000D_
Data Management Plan: Very well articulated data management plan, software tools to be made freely available, detailed explanation of the datasets for NLP, speech processing, and video recognition tasks._x000D_
_x000D_
Postdoc Mentoring plan: Adequate. There will be one postdoc for two years, who will be the "gluing entity" between the PIs._x000D_
_x000D_
Results of prior support: The prior support section is detailed and clear._x000D_
 _x000D_
Suggestions to PI(s): The proposal should have included more details of how to carry out the research plan._x000D_
_x000D_
Justification for Panel Rating: The panel feels that this is a very promising direction and the team of these PIs has a great track record to conduct this research. 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</si>
  <si>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is a proposal to explore the still somewhat mysterious phenomenon of why deep neural networks, and particularly recurrent neural networks (which have state) seem to work so well.  The PIs have been working on this topic and this project would continue a productive existing  NSF IIS grant of Srebro and Salkhutdinov, including publications both in CS theory and in machine learning venues. The project includes theoretical work on optimizing networks.  They consider simplified models, including strictly linear networks which can be described using linear algebra and 'nice' natural classes of inputs, for which they can show that all minima are global minima, and/or that all saddles have sharp descent directions so that gradient descent finds a global minimum (Sec 1.1).  They would like to find similar results for residual networks, in which the functions at network nodes are described as the identity plus a small residual (Sec 1.2) and for two-layer non-linear networks (Sec 1.4).  They also will study an interesting phenomenon, the fact that increasing the parameters of the network (e.g. number of internal nodes) seems to improve optimization and generalizability (Sec 1.3).  The second section concerns generalizability.  Not only the architecture but also the optimization technique used to train the network appears to affect how well the results generalize to different data.  Again, increasing the number of hidden nodes seems to help, counterintuitively. They will explore this issue using a variety of experimental.  A major theoretical goal is finding a measure of the complexity of a model produced on the network, which can explain this phenomenon and hopefully analyzed theoretically. _x000D_
_x000D_
Strengths:_x000D_
_x000D_
- Good team; the new faculty member, Hardt, has a great record in theoretical CS_x000D_
- Very timely and important question_x000D_
- The counterintuitive phenomenon is very interesting_x000D_
- Nice mix of theoretical and experimental approaches_x000D_
- Collection of real datasets, mostly for recurrent networks, on which ideas can be tried out_x000D_
- Potential for publication in a variety of venues_x000D_
_x000D_
Weaknesses_x000D_
_x000D_
- Not clear that theory and practice will connect_x000D_
_x000D_
_x000D_
_x000D_
_x000D_
In the context of the five review elements, please _x000D_
evaluate the strengths and weaknesses of the proposal with respect to broader impacts._x000D_
_x000D_
PIs are all involved in educational and outreach activities.  They have organized the Fairness (FATML) workshop which has generated a lot of interest._x000D_
_x000D_
Please evaluate the strengths and _x000D_
weaknesses of the proposal with respect to any additional solicitation-specific review criteria, if _x000D_
applicable_x000D_
_x000D_
_x000D_
_x000D_
Summary Statement_x000D_
_x000D_
Important topic, a strong team addressing it, and a good combination of new theory, experimentation and validation in practice._x000D_
_x000D_
</t>
  </si>
  <si>
    <t xml:space="preserve">In the context of the five review elements, please _x000D_
evaluate the strengths and weaknesses of the proposal with respect to intellectual merit._x000D_
_x000D_
The work proposed aims to improve the theoretical understanding of deep learning, one of the key challenges in machine learning research.  To this end, they focus on three aspects:_x000D_
_x000D_
Optimization -- the broad question is to understand the success of SGD in finding the global minimum of the complex landscape of the deep learning optimization problem.  To this end, the PIs propose the following directions (a) take inspiration from matrix factorization, and first understand this simpler setting in which non-convexity arises, (b) understand the potential connection between "residual architectures" and the ease of the optimization (do such networks have no saddles apart from the global minimizer?), (c) understand the connection between over-parametrization and optimization in recurrent networks, (d) understand the broader question of the efficacy of local search, by considering simple two-layer feed-forward networks._x000D_
_x000D_
All of these questions are quite fundamental, and a "yes" answer to them would have significant implications on our understanding of deep learning. The PIs provide a rough intuition for why it might be reasonable to expect this. It's also possible that such results may hold under some additional assumptions._x000D_
_x000D_
Generalization -- the high level question is to explain the surprising generalization properties of networks trained with significantly more parameters than 'necessary'. The PIs have done some very interesting recent experiments on this topic, and propose to explore further. Their aim is to come up with a notion of "complexity" of a network that captures the generalization. Basic notions such as parameter counting/VC dimension are ruled out, and some related notions based on path-based as well as mixed norms of the weights are presented as candidates, along with experimental evidence. The PIs also propose training models so as to minimize such objectives. This would also validate the hypothesis that these complexity notions capture generalization._x000D_
_x000D_
Recurrent networks -- the PIs stress the importance of obtaining even a first-cut theory for recurrent nets. This is a well-known challenge, and the PIs propose extending approaches from earlier sections to RNNs._x000D_
_x000D_
Overall, the proposal targets some fundamental questions in deep learning and aims to obtain more theoretical insights.  _x000D_
_x000D_
Waknesses:_x000D_
The organization is slightly haphazard.  For instance, the discussion jumps a few times from feed-forward to recurrent networks without a clear motivation. Also, the questions on recurrent networks seem quite high-level, and the proposed directions need to be made more specific._x000D_
_x000D_
That said, the team is excellent, and all the PIs have been at the forefront of theory research on deep learning. They are well qualified, and also have good connections with practice -- an essential aspect of research on this topic._x000D_
_x000D_
In the context of the five review elements, please _x000D_
evaluate the strengths and weaknesses of the proposal with respect to broader impacts._x000D_
_x000D_
All the PIs have been organizing workshops, maintaining blogs and disseminating their research broadly in theory as well as applied venues. Given the popularity of deep learning, any insights generated will likely be disseminated well beyond regular academic circles. This already seems to be happening at some level, with the PIs giving public lectures, e.g., at the National Center for Women in Information Technology and at high schools._x000D_
_x000D_
Please evaluate the strengths and _x000D_
weaknesses of the proposal with respect to any additional solicitation-specific review criteria, if _x000D_
applicable_x000D_
_x000D_
_x000D_
_x000D_
Summary Statement_x000D_
_x000D_
Overall, the proposal targets some fundamental questions in deep learning and aims to obtain more theoretical insights. They explore various concrete questions in optimization and generalization in both feed-forward and recurrent networks. The PIs have a strong background in the area as well as a history of collaboration._x000D_
_x000D_
</t>
  </si>
  <si>
    <t xml:space="preserve">In the context of the five review elements, please _x000D_
evaluate the strengths and weaknesses of the proposal with respect to intellectual merit._x000D_
_x000D_
This proposal aims to advance the theoretical knowlegde in Deep Learning. This is a field of great practical importance that (almost entirely) lacks theoretical foundations. Despite the recent spate of theoretical results nothing too substantial has been understood so far. The PIs suggest to take baby steps by attacking questions in matrix factorization (instead of DNNs) and in recurrent neural networks. They have a very good plan, I do believe that research like this should be encouraged and funded, and the PIs (given their research record) are ideally suited for this task._x000D_
_x000D_
In the context of the five review elements, please _x000D_
evaluate the strengths and weaknesses of the proposal with respect to broader impacts._x000D_
_x000D_
strengths:_x000D_
_x000D_
+ transformative proposal_x000D_
_x000D_
+ the PIs have an _x001B_excellent research record in this field (also very good collaboration record). _x000D_
_x000D_
+ excellently articulated research plan. "Down-to-earth" plan for a difficult and important question in the interface of theory and practice. We do need to understand why deep learning works in practice and advance the knowledge in the field_x000D_
_x000D_
+ obvious broader impact _x000D_
_x000D_
weaknesses:_x000D_
_x000D_
none that I can see_x000D_
_x000D_
Please evaluate the strengths and _x000D_
weaknesses of the proposal with respect to any additional solicitation-specific review criteria, if _x000D_
applicable_x000D_
_x000D_
_x000D_
_x000D_
Summary Statement_x000D_
_x000D_
Excellent, transformative, and very well articulated proposal._x000D_
_x000D_
</t>
  </si>
  <si>
    <t xml:space="preserve">In the context of the five review elements, please _x000D_
evaluate the strengths and weaknesses of the proposal with respect to intellectual merit._x000D_
_x000D_
This a proposal that spans the frameworks of the algorithmic foundations community and the theoretical aspects of the machine learning community to outline an approach for gaining traction in understanding the remarkable practical success of deep learning. The first element is a framework, centered using certain matrix factorization problems as the test case in proving a basis for a non convex problem where (stochastic) local search can be shown that for certain class of subproblems, global optimality can be established. One possible candidate is for rank-constrained nuclear norm regularized problems ( building on recent success low rank psd recovery problems. As another example of this philosophy, the proposal outlines a special 2-layer feed forward network that they conjecture can be shown to have no bad local optima. _x000D_
_x000D_
The second theme was to try to capture the surprising generalization behavior of deep networks, and the aim is to better understand the role of the geometry in determining the generalization capacity. One central issue is to capture a complexity measure such as the path-norm that gives insights into this behavior. Finally, the proposal outlines questions aimed at shedding light on the performance of recurrent neural networks.  _x000D_
_x000D_
The PIs also outline four target application domains. Video classification, speech recognition, language modeling, reading comprehension with the aim of providing empirical validation as well._x000D_
_x000D_
In the context of the five review elements, please _x000D_
evaluate the strengths and weaknesses of the proposal with respect to broader impacts._x000D_
_x000D_
The broader impacts were well thought out in this proposal highlighti the central role that deep learning is playing currently in transfer,in a host of industries as well as a broad swath of scientific discovery. Furthermore there was substantial discussion of programs to do outreach to a broad cross section of students._x000D_
_x000D_
Please evaluate the strengths and _x000D_
weaknesses of the proposal with respect to any additional solicitation-specific review criteria, if _x000D_
applicable_x000D_
_x000D_
_x000D_
_x000D_
Summary Statement_x000D_
_x000D_
This is a very good proposal that spans theoretical issues within both the algorithmic foundations setting and machine learning communities._x000D_
_x000D_
</t>
  </si>
  <si>
    <t>We propose research toward a better understanding of optimization for deep learning that will lead to principled training methods that converge faster and avoid overfitting with less trial and error than is present in today's practice._x000D_
_x000D_
To guide us toward a better understanding of deep learning, we in part rely on analyzing matrix factorization models, which can be seen as simplified networks with linear transfer. These models already suggest non-convex training objectives that present challenges characteristic of deep neural networks. Extending our insights from these simplified models, we aim to develop a more principled approach to deep learning in general._x000D_
_x000D_
Our application emphasis is on recurrent neural networks, which are notoriously difficult to optimize and thus have much to gain from improved optimization approaches. We will evaluate our new optimization methods against four broad application areas, where deep and recurrent networks have demonstrated tremendous impact, including large-scale language modeling, text comprehension, speech recognition, and video classification tasks._x000D_
_x000D_
Keywords: Optimization for Deep Learning; Matrix Factorization; Spurious Local Minima; Implicit Regularization; Connections between Optimization and Learning; Recurrent Neural NetworksWe propose tackling fundamental challenges that will contribute to a more principled understanding of deep learning. Through transparent performance guarantees, such an understanding holds the promise of making deep learning more interpretable, predictable, and less error prone. Utilizing simplified models, one thrust involves understanding the global energy landscape - we have already obtained novel guarantees on lack of spurious local minima and even saddle points in certain situations. Another thrust involves understanding implicit regularization and its relationship to the choice of the optimization algorithm and the geometry for local search, which we argue plays a central role in deep learning. Based on these theoretical studies we will continue developing and applying practical training methods with improved learning performance.Large scale machine learning is fueling transformative societal impact, as well as enabling new types of scientific studies. Providing improved methods for training deep networks will have broad and significant impact in many disciplines. A better principled understanding is essential to making deep models more scrutable, reliable and transparent in several critical application domains. Providing a stronger mathematical foundation of deep learning can also bring together different research communities, namely the learning theory and mathematical optimization community together with the empirical learning community, and thus create broad synergies. The project will also provide training opportunities through access to PIs with diverse backgrounds and approaches.</t>
  </si>
  <si>
    <t>1764056</t>
  </si>
  <si>
    <t>Mahoney</t>
  </si>
  <si>
    <t xml:space="preserve"> Panel Summary       
 SUMMARY OF PROPOSED RESEARCH ACTIVITY_x000D_
_x000D_
Description : _x000D_
_x000D_
The proposal is to develop second order optimization methods (using curvature) in machine learning, including plans to study, implement, and apply to real data. While such methods have not yet been developed significantly in machine learning, they have largely taken over in scientific optimization. _x000D_
_x000D_
The goal of this proposal is to address many of the fundamental issues with second order methods, via the use of Randomized Numeric Linear Algebra (in which the PI is an expert), sampling and sketching techniques together with recently developed variance-reduction methods for second order optimization. The PI also proposes large scale implementations of these ideas and pushing them to software libraries._x000D_
_x000D_
INTELLECTUAL MERIT_x000D_
_x000D_
Strengths_x000D_
_x000D_
+ Lucid and well-reasoned description of explicit research directions._x000D_
+ The applicants have a strong track record on the subject, having developed some of the more promising optimization methods. The proposal is therefore highly likely to produce valuable results._x000D_
+ Potential for great impact on machine learning if successful_x000D_
+ Questions that are clearly worth exploring, and the applicants seem most qualified to do so._x000D_
_x000D_
Weaknesses_x000D_
_x000D_
- The theoretic research directions of the proposal are generic in nature, consisting of a description of various types of methods that are to be developed. There are no specific algorithmic structural insights or innovations to be pursued, nor specific theorems to be proved._x000D_
- The products of the work are therefore too indirect with respect to Algorithmic Foundations, but have everything to do with applied development of effective methods._x000D_
_x000D_
BROADER IMPACTS_x000D_
_x000D_
The broader impacts will mostly be felt indirectly through the increasing role of machine learning in everyday life._x000D_
_x000D_
Strengths_x000D_
_x000D_
+ The code and the data will be made publicly available, and could be of wide use (by researchers in quite diverse areas of science). _x000D_
+ Dissemination via the popular MMDS workshop run by the first PI._x000D_
_x000D_
ADDITIONAL REMARKS_x000D_
_x000D_
Research plan: The work plan and timeline is adequate. The duration and timeline is appropriate to the project scope. _x000D_
_x000D_
Collaboration plan: The PIs have a record of extensive collaboration. Future collaboration will be aided by the part-time appointment of the consultant at ICSI that includes travel funding. _x000D_
_x000D_
Data Management Plan: Intermediate outputs of algorithms will be archived and made available upon request, which is valuable for reproducibility. Software produced will be made publicly available. _x000D_
_x000D_
Results of prior support:  Three previous NSF awards are described in very broad terms, but no concrete output or impact stated. Only three publications listed._x000D_
_x000D_
Suggestions to PI(s): In the context of submitting to Algorithm Foundations, it would be essential to detail more the theoretical insights that are aimed to be uncovered, and perhaps asking to what extent that is likely to be possible. _x000D_
_x000D_
Justification for Panel Rating:_x000D_
_x000D_
Highly important questions to be addressed by just the right team, likely to produce valuable results with great potential. The proposal, however, involves little Algorithmic Foundations theory._x000D_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</si>
  <si>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TNSMITH</t>
  </si>
  <si>
    <t xml:space="preserve">In the context of the five review elements, please _x000D_
evaluate the strengths and weaknesses of the proposal with respect to intellectual merit._x000D_
_x000D_
The proposal studies second order methods in optimization, specifically in the context of deep learning. There is a lot of debate in the learning and optimization literature about first vs second order methods, as the PI points out. SGD and first order methods dominate DL practice, while second order methods have shown some recent promise (in works of the PI, in works of Bengio, and others)._x000D_
_x000D_
The goal of this proposal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Strengths:_x000D_
_x000D_
- The study of second order methods has led to some important insights in optimization in the context of ML. Thus making them faster and improving the 'reach' of these methods is an important direction._x000D_
_x000D_
- The proposed work blends theory with implementation in a nice way, and may lead to new challenges in both the areas._x000D_
_x000D_
Weaknesses:_x000D_
- Many of the directions proposed are considered quite standard in this area, and thus more details are necessary to make the argument that the PI will bring novel techniques to these problems._x000D_
_x000D_
- For many of the directions, it is not clear if new theory results will come out of the proposed work. It is quite hard to even reason about the generalization/convergence even for the basic first order methods, so it seems unlikely that second order methods would make it easier._x000D_
_x000D_
In the context of the five review elements, please _x000D_
evaluate the strengths and weaknesses of the proposal with respect to broader impacts._x000D_
_x000D_
The proposed work brings together a diverse group of researchers. The work would also result in implementations that could be of wide use (by researchers in quite diverse areas of science)._x000D_
_x000D_
The PI has a strong record of disseminating his work at the top venues in ML, data mining and theory. He also runs a workshop on Algorithms for Massive Data Sets, which is quite popular._x000D_
_x000D_
Please evaluate the strengths and _x000D_
weaknesses of the proposal with respect to any additional solicitation-specific review criteria, if _x000D_
applicable_x000D_
_x000D_
_x000D_
_x000D_
Summary Statement_x000D_
_x000D_
The proposal studies second order methods in optimization, specifically in the context of deep learning. The aim is to address many of the fundamental issues with second order methods, via the use of randomized NLA (in which the PI is an expert), sampling and sketching techniques together with recently developed variance-reduction methods for second order optimization. The PI also proposes large scale implementations of these ideas and pushing them to software._x000D_
_x000D_
</t>
  </si>
  <si>
    <t xml:space="preserve">In the context of the five review elements, please _x000D_
evaluate the strengths and weaknesses of the proposal with respect to intellectual merit._x000D_
_x000D_
The proposal is to develop second order (using curvature) optimization methods in machine learning, including study, implement, and apply to real data. While such methods have not yet been developed or significantly considered in ML, they have taken over scientific optimization. With greater focus on compute intensive optimization methods, driven by deep learning, the time may be ripe for introducing second order methods in learning. _x000D_
_x000D_
The proposal contains extensive and well-reasoned description of explicit research directions, both theoretical, empirical, and implementational. The theoretic ones are however primarily descriptions of methods to be developed, but not explicit objectives, plan of action, or hoped-for theorems._x000D_
_x000D_
The outcome of the project might have major impact on the practice of machine learning. The applicants have an extensive experience and publication list on the subject. The project is highly likely to produce good results, though it is unclear how it might advance theoretical aims. _x000D_
_x000D_
_x000D_
_x000D_
In the context of the five review elements, please _x000D_
evaluate the strengths and weaknesses of the proposal with respect to broader impacts._x000D_
_x000D_
The impact of intensive ML optimization is felt in all parts of society today. The propsal includes also plans for education at different levels and outreach. The code and the data will be made publicly available._x000D_
_x000D_
_x000D_
Please evaluate the strengths and _x000D_
weaknesses of the proposal with respect to any additional solicitation-specific review criteria, if _x000D_
applicable_x000D_
_x000D_
_x000D_
_x000D_
Summary Statement_x000D_
_x000D_
The proposal is to develop second order (using curvature) optimization methods in machine learning, including study, implement, and apply to real data. Could have major impact on machine learning. The applicants are highly qualified to lead the project. The theoretical aspects are however limited._x000D_
_x000D_
_x000D_
</t>
  </si>
  <si>
    <t xml:space="preserve">In the context of the five review elements, please _x000D_
evaluate the strengths and weaknesses of the proposal with respect to intellectual merit._x000D_
_x000D_
This proposal suggests to use second derivate information in machine learning and data analysis. This is an important research direction but I did not get convinced that it is well motivated._x000D_
_x000D_
In the context of the five review elements, please _x000D_
evaluate the strengths and weaknesses of the proposal with respect to broader impacts._x000D_
_x000D_
+ possibly transformative idea_x000D_
_x000D_
+ the PI has an excellent research record -- especially in related areas_x000D_
_x000D_
+ very good broader impact plan_x000D_
_x000D_
- not well motivated question_x000D_
_x000D_
Please evaluate the strengths and _x000D_
weaknesses of the proposal with respect to any additional solicitation-specific review criteria, if _x000D_
applicable_x000D_
_x000D_
_x000D_
_x000D_
Summary Statement_x000D_
_x000D_
I would suggest that the PI (who has an excellent research record in related fields) motivates the questions better and resubmits._x000D_
_x000D_
</t>
  </si>
  <si>
    <t xml:space="preserve">In the context of the five review elements, please _x000D_
evaluate the strengths and weaknesses of the proposal with respect to intellectual merit._x000D_
_x000D_
This is an interesting proposal aiming to tackle some of the more fundamental algorithmic questions at the core of optimization-based methods in machine learning, with a focus on second-order methods and stochastic second-order methods. And while there is a section devoted to theoretical advances to be attained there is absolutely no attempt to formulate concrete theorems to be proved and specific algorithmic structural insights or innovations to be pursued. As such e propsal reads more as a well considered summary of mathematical approaches to a collection of important issues in numerical optimization linked to fundamental machine learning rather than any sort of action plan for new work. In addition, for a medium proposal, it is definitely an anomaly in that it is in essence a single PI proposal with a side collaboration with a Canadian researcher to be supported as a consultant. Finally, the finding is overwhelmingly aimed to support four Ph.D. students at a time, when that exceeds in total the number of PhD students who have completed their studies under the PIs supervision over his career. This does not seem to be the natural source and level of funding, since the case is not made that the kind of theoretical results aimed to find need by algorithmic foundations._x000D_
_x000D_
In the context of the five review elements, please _x000D_
evaluate the strengths and weaknesses of the proposal with respect to broader impacts._x000D_
_x000D_
There is very limited title discussion of anything about broader impacts in the section headed with that title - dissemination is not broader impact. There is some discussion of student mentoring and the most significant element in this dimension is the role of theMMDS meetings._x000D_
_x000D_
Please evaluate the strengths and _x000D_
weaknesses of the proposal with respect to any additional solicitation-specific review criteria, if _x000D_
applicable_x000D_
_x000D_
_x000D_
_x000D_
Summary Statement_x000D_
_x000D_
This is a proposal by a strong researcher who has made many contributions to the area being considered, and has outlined in broad strokes an important range of issues to be considered, but given very little detail about the innovations in algorithmic foundations and the path to prove their effectiveness mathematically._x000D_
_x000D_
</t>
  </si>
  <si>
    <t>In many areas of scientific computing, machine learning, and data analysis, a major challenge to converting the large quantities of noisy data into useful and actionable knowledge is to develop good optimization algorithms that come with strong theoretical guarantees and that also perform well in practice. While methods that use second derivative information, i.e., second order methods, are common in scientific computing, methods that use only first derivative information, i.e., first order methods, and in particular stochastic first order methods such as stochastic gradient descent, are more common in data analysis and machine learning. _x000D_
Our primary goal is to study theoretically, implement practically, and apply to real data various stochastic and sub-sampled second order optimization methods. The time is ripe for a thorough reevaluation of these methods in light of the very different trade-offs and constraints imposed by modern data applications than have been important historically in scientific computing applications. We will evaluate existing methods as well as develop new methods appropriate for both convex as well as non-convex problems, and we will pay particular attention to exploiting ideas that have proven useful historically in scientific computing that are fruitful for data analysis and machine learning applications but that for various reasons have not achieved widespread use. Our main focus will be on developing the theoretical foundations for practical second order methods; and an important secondary focus will be on the detailed implementation and evaluation of these methods for state-of-the-art machine learning and scientific data analysis problems._x000D_
Key Words: Second order methods; sampling; Newton methods; sparsity-inducing norms; trust region methods; variance reduction; randomized linear algebraThe intellectual merit underlying the proposed work will have a two-fold focus: first, it will develop new mathematical and theoretical methods in order to understand the properties of second order and in particular stochastic second order optimization methods; and second, it will provide implementations of those algorithms on realistic data to determine how and where this new understanding can be exploited in real machine learning and data analysis applications. There are two key points that underlie this two-fold focus: first, there is often a theory-practice gap to providing implementable algorithms, and bridging this gap often requires the development of novel tools that are more-broadly applicable; and second, there are many techniques that have been used historically in linear algebra and scientific computing that have promise in data analysis and machine learning applications. Making these techniques useful in light of the demands of modern machine learning and data analysis problems requires rethinking foundational questions, and this will be an important part of the proposed work.This project will enhance interdisciplinary education in the area of large-scale optimization more generally than just the proposed research. In addition, it will facilitate the development of algorithmic methods for the extraction of knowledge from large genetic, medical, internet, financial, astronomical, and other scientific data sets. More generally, in parallel with the proposed work, we will focus on broader interdisciplinary educational opportunities. This will include both events such as the organization of future MMDS (Modern Massive Data Sets) Meetings, which cover similar themes as in the proposed research, as well as with the design of graduate and undergraduate courses (such as ones taught at Berkeley during Fall 2013, Spring of 2015, and the freshman-level class during the Spring of 2016). These and related courses will include the opportunity for research projects, including by students from underrepresented groups, that focus on bridging theoretical methods and real-world applications.</t>
  </si>
  <si>
    <t>1764063</t>
  </si>
  <si>
    <t>Wu</t>
  </si>
  <si>
    <t>17</t>
  </si>
  <si>
    <t xml:space="preserve"> Panel Summary       
 SUMMARY OF PROPOSED RESEARCH ACTIVITY_x000D_
_x000D_
Description : _x000D_
_x000D_
This proposal deals with the analysis of data sets that represent time-varying complex networks with multiple attributes. It goes beyond traditional network analysis by considering multi-relational data, and treating change points in trends._x000D_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current interest, with relevance in social networks, finance, etc. Evaluation is performed empirically on various publicly available datasets, and in some cases on synthetic data._x000D_
_x000D_
INTELLECTUAL MERIT_x000D_
_x000D_
Strengths_x000D_
_x000D_
These are topics with increasing importance, e.g. in social networks and data analysis. The PIs have published several of the main works that will be built on, implying significant likelihood of making progress on the proposed topics._x000D_
_x000D_
Weaknesses_x000D_
_x000D_
The main problem is that this proposal has very little to do with Algorithmic Foundation. The issues and methods raised are all statistical, with no consideration of resource consumption (time, memory) or other similar aspects that are the focus of algorithm design._x000D_
_x000D_
Additionally, while many valuable topics are raised, there are few specific research questions posed and little said about how they are to be solved, or how the methods will be evaluated or validated, beyond listing the data sets involved._x000D_
_x000D_
BROADER IMPACTS_x000D_
_x000D_
The broader impacts are mostly generic (importance of the applications; education and dissemination). One bright spot is the distribution of open source software. Plans to work with middle, high school and underrepresented students are also commendable, but no track record is given._x000D_
_x000D_
ADDITIONAL REMARKS_x000D_
_x000D_
Research plan: The extent, duration, and budget of the project is appropriate to the project plan. The work plan is barely adequate, listing only the project parts to be addressed in each year._x000D_
_x000D_
Collaboration plan: Collaboration plan is rudimentary, involving conferencing system for weekly meetings and quarterly teleconferencing milestone meetings. Annual site visits are mentioned, but not for how long._x000D_
_x000D_
Data Management Plan: The description is mostly generic but adequate._x000D_
_x000D_
Results of prior support:  Prior NSF is detailed, with generic descriptions of IM and BI. Publications are listed in detail, though only with the topics addressed rather than the outcomes._x000D_
 _x000D_
Suggestions to PI(s): Consider algorithmic and CS theoretic issues (in applications to Algorithmic Foundations), including algorithmic design techniques, analysis of resource needs, and computational requirements needed for dealing with large data sets. Also, provide more qualitative descriptions of how the work will be conducted. For Broader Impact, the panel was looking for at least one thing where the team was proposing something creative and/or of high impact. _x000D_
_x000D_
Justification for Panel Rating:_x000D_
_x000D_
Research that lies largely outside Algorithmic Foundations with no consideration of resource consumption and lack of explicit algorithm evaluation._x000D_
_x000D_
Panel Rating:_x000D_
_x000D_
_ Highly Competitive_x000D_
_x000D_
_ Competitive_x000D_
_x000D_
_ Low Competitive_x000D_
_x000D_
X_ Not Competitive_x000D_
_x000D_
The summary was read by/to the panel and the panel concurred that the summary accurately reflects the panel discussion._x000D_
</t>
  </si>
  <si>
    <t xml:space="preserve">NATIONAL SCIENCE FOUNDATION _x000D_
Alexandria, Virginia 22314 _x000D_
Direct For Computer &amp; Info Scie &amp; Enginr (CSE)_x000D_
Division of Computing and Communication Foundations (05010000)_x000D_
ALGORITHMIC FOUNDATIONS (7796)_x000D_
NSF 17-571 Computing and Communication Foundations (CCF): Core Programs_x000D_
Review Analysis: Standard Decline (NC) for proposal with low review scores_x000D_
_x000D_
AF: Medium: Collaborative Research: Fundamental Problems in High-Dimensional Data Analysis for Evolving Large-Scale Complex Networks_x000D_
_x000D_
L: 1764063 Wu, Wei Biao University of Chicago $  399,414_x000D_
N: 1763885 Cheng, Maggie NJIT $  398,685_x000D_
_x000D_
_x000D_
P180637 NC AF Medium Panel /  Dec 11-12 (9 panelists),_x000B_  on 12/12/2017, recommended as Not Competitive (G,G/F,G/F,F)_x000D_
Std competition rank 17 of 17 rated projects: 2 HC, 6 C, 8 LC, 1 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Tracy J. Kimbrel_x000D_
Cognisant Program Director  _x000D_
Wednesday, December 13, 2017_x000D_
_x000D_
_x000D_
_x000C__x000D_
</t>
  </si>
  <si>
    <t xml:space="preserve">In the context of the five review elements, please _x000D_
evaluate the strengths and weaknesses of the proposal with respect to intellectual merit._x000D_
_x000D_
In this proposal we consider networks as modeled by a set of nodes with a time series at each node.  Differences in the time series produces a covariance matrix, whose inverse defines (a complete?) weighted graph.  PI Wu has a lot of prior work on the statistical analyses of sets of time series, which this proposal seeks to leverage for network analysis. This is an interesting approach for large time-varying datasets such as stock prices, and for leveraging the behavior of node attributes over time to create additional structure in datasets that already have links.  Datasets where there is mainly an explicit link structure such as social media seem less amenable._x000D_
_x000D_
In addition, the work in Section 3.1.3 uses a standard graph representation and proposes work on tensor decomposition which is an element in some community detection algorithms._x000D_
_x000D_
Much of the proposed work follows the paradigm of assuming a model of how the data was generated, and then proving convergence of a statistical test under the assumption, which can cause trouble when real data fails to fit the model well. This has to be explored. _x000D_
_x000D_
Datasets to be used in experiments are described in Section 6. _x000D_
_x000D_
Strengths:_x000D_
_x000D_
- Good techniques with solid mathematical basis for analyzing large sets of time series._x000D_
_x000D_
Weaknessses:_x000D_
_x000D_
- Validation that real-world data follows any of the models would be good_x000D_
- Not clear how the explicit-link data will be used in most of the validation examples_x000D_
- No computational considerations for dealing with large data_x000D_
_x000D_
_x000D_
In the context of the five review elements, please _x000D_
evaluate the strengths and weaknesses of the proposal with respect to broader impacts._x000D_
_x000D_
Nothing out of the ordinary._x000D_
_x000D_
Please evaluate the strengths and _x000D_
weaknesses of the proposal with respect to any additional solicitation-specific review criteria, if _x000D_
applicable_x000D_
_x000D_
_x000D_
_x000D_
Summary Statement_x000D_
_x000D_
Leveraging time-varying states at nodes to provide additional structure to network problems is an interesting idea.  Some preliminary results on datasets would be good._x000D_
_x000D_
</t>
  </si>
  <si>
    <t xml:space="preserve">In the context of the five review elements, please _x000D_
evaluate the strengths and weaknesses of the proposal with respect to intellectual merit._x000D_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The methods proposed for network estimation build on earlier results (some by the PIs), but handle the non-stationary case. The high level outline, finding change points to segment the series and work with the segments, is quite natural, so I was not very convinced about the novelty relative to prior work. _x000D_
_x000D_
For community discovery, the PIs propose a method to "validate" the tensor approach that has been used for mixed membership. While this is a natural question, it seems to apply to a "static" graph context, unlike the other sections of the proposal. The proposal briefly discusses temporally dependent tensor data, but it didn't seem to be the central question. The section on relation-based community discovery is interesting in the dynamic graph context. However, given that many models have been proposed to detect influence via time series (e.g., in social networks), a contrast with prior art would be very helpful. The models proposed seem quite interesting._x000D_
_x000D_
For detecting change points in networks, the PIs propose to improve the state-of-the-art on change detection in high-dimensional time series. This is an ambitious goal, but the questions considered are quite specific. The connection to graphs seems a bit lost in this section._x000D_
_x000D_
The proposed work on graph similarity matching is very interesting. Looking for similar connection patterns arising in different portions of the networks at different times is a problem of possibly broad interest. The proposed method is to compute different time-varying features from different portions of the graph, and look for similarities under an appropriate distance. Clustering questions on this measure are also considered, which sound quite promising._x000D_
_x000D_
Overall, the project aims to bring new statistical time series techniques to dynamic graphs. This is an interesting broad direction, and the questions studied are fundamental.  The approaches proposed seem somewhat restrictive (both in terms of technical novelty and scope). The proposal would benefit from contrasting the proposed directions from existing work on these specific questions and more preliminary results._x000D_
_x000D_
The proposal is generally well-organized, except for a few portions (detailed above). _x000D_
_x000D_
The PIs have strong background in statistics and time series analysis. Their prior work on the topic is quite relevant to the questions discussed in the proposal._x000D_
_x000D_
Adequate resources are available to the PIs for carrying forth the proposed work._x000D_
_x000D_
In the context of the five review elements, please _x000D_
evaluate the strengths and weaknesses of the proposal with respect to broader impacts._x000D_
_x000D_
The PIs give a plan for incorporating research results into curricula. PI Cheng also plans to be involved in outreach activities with middle and high school students._x000D_
_x000D_
Please evaluate the strengths and _x000D_
weaknesses of the proposal with respect to any additional solicitation-specific review criteria, if _x000D_
applicable_x000D_
_x000D_
_x000D_
_x000D_
Summary Statement_x000D_
_x000D_
The goal of the proposal to develop a suite of tools for analyzing time-varying networks. This involves combining methods from statistical analyses of time series with graph theoretic approaches. The PIs discuss these techniques in the context of some classic problems in network analysis._x000D_
_x000D_
</t>
  </si>
  <si>
    <t xml:space="preserve">In the context of the five review elements, please _x000D_
evaluate the strengths and weaknesses of the proposal with respect to intellectual merit._x000D_
_x000D_
This proposal deals with the analysis of data sets that represent time-varying complex networks with multiple attributes. It goes beyond traditional network analysis by considering multi-relational data, and in treating change points where the trends change._x000D_
_x000D_
The specific topics considered include:_x000D_
a) latent network estimation:  Discovering the network from the statistical correlation between the nodes, as read from the non-zero entries in the precision matrix_x000D_
b) hidden community discovery: either detecting communities from the link structure, using tensor decomposition inference, or finding communities based on the information flow on the links, using time-varying regression model statistics._x000D_
c) change detection in networks: detecting when the trends in the data starts changing (such as being approximately piecewise-linear), possibly involving multi-dimensional change triggers_x000D_
d) graph similarity matching:  considering changes over time in the differences of the (logarithms) of the Fourier transforms of pairs of evolving graphs, and then using clustering and classification to larger sets of networks._x000D_
_x000D_
These are all problems of general topical interest._x000D_
_x000D_
Evaluation is performed empirically on various publicly available datasets, and in some cases on synthetic data._x000D_
_x000D_
The first PI has published extensively on the problems considered. The second PI has also worked on various related time-series problems. Together, they seem very able to perform the research planned, and successful conclusion of the project is highly likely considering that the topics are natural outgrowth of the PI's prior work._x000D_
_x000D_
One weakness of the proposal, as relating to the call, is that it is, as described, mostly statistical in nature. There is very little discussion of algorithmic issues, and none regarding complexity or lower bounds. The evaluation is only empirical and the link to algorithmic foundations seems tenuous._x000D_
_x000D_
Another weakness is that while the topics are very well described, there are few questions raised and little discussion about the possible directions that need to be examined. The technical ideas mentioned are generally about the possible statistical tests to apply. The plan of attack lacks detail._x000D_
_x000D_
_x000D_
In the context of the five review elements, please _x000D_
evaluate the strengths and weaknesses of the proposal with respect to broader impacts._x000D_
_x000D_
The broader impacts are largely due to indirect impacts of the research planned, e.g. in the application to marketing research and anomaly detection. There are also general plans to integrate the research into curriculum with multidisciplinary research experiences, and to distribute open source software._x000D_
_x000D_
_x000D_
Please evaluate the strengths and _x000D_
weaknesses of the proposal with respect to any additional solicitation-specific review criteria, if _x000D_
applicable_x000D_
_x000D_
_x000D_
_x000D_
Summary Statement_x000D_
_x000D_
Proposal for analysis of data sets that represent time-varying complex networks with multiple attributes, that goes beyond traditional network analysis by considering multi-relational data and in identifying points when trends change. These are natural and important topics that follow logically from the PI's previous work, which suggest high probability of success. The issues raised are however more statistical than relating to algorithmic foundations._x000D_
_x000D_
_x000D_
</t>
  </si>
  <si>
    <t xml:space="preserve">In the context of the five review elements, please _x000D_
evaluate the strengths and weaknesses of the proposal with respect to intellectual merit._x000D_
_x000D_
This proposal addresses a number network classification . and clustering issues from a statistical viewpoint. The senior PI has a distinguished publication record, and while not so many details are given, there is every reason to believe that strong results in statistics will result from this line of inquiry. However, what seems to be lacking in this proposal is any direct link (other than the questions being addressed) to the tools and theoretical frameworks that drive research in algorithmic foundations._x000D_
_x000D_
In the context of the five review elements, please _x000D_
evaluate the strengths and weaknesses of the proposal with respect to broader impacts._x000D_
_x000D_
There is only limited discussion of broader impact of this work on the broader research community in data science applications. Furthermore, there is discussed of the impact obtained (appropriately enough) to the integration of the material in undergraduate and graduate curricula._x000D_
_x000D_
Please evaluate the strengths and _x000D_
weaknesses of the proposal with respect to any additional solicitation-specific review criteria, if _x000D_
applicable_x000D_
_x000D_
_x000D_
_x000D_
Summary Statement_x000D_
_x000D_
This is a proposal whose directions do not seem to be well-aligned with the mission of the algorithmic foundations program within CISE. It would be more appropriate for a statistics program in DMS._x000D_
_x000D_
</t>
  </si>
  <si>
    <t>Overview: Most real-world networks are complex networks as the patterns of connection are neither  purely regular nor purely random,  and some of them are highly dynamic.   In searching for effective tools to study time-varying complex networks, two fundamental questions are raised: 1) Will the analytical methods that were proved successful for low-dimensional data still work for high-dimensional data generated by large-scale complex networks? 2) Are the research methods effective for &amp;#64257;xed networks adequate for the task of analyzing dynamic networks? New challenges come from the high-dimensionality    of data and the dynamics of link structure. The goal of this project is to develop fundamental analytical methods to address these questions, and bring signi&amp;#64257;cant breakthroughs in the methodology to address     the high-dimensional and time-varying characteristics of complex networks._x000D_
Keywords: Time Series, Tensor, Complex Networks, Change Point Detection, Community Detection, Similarity MeasureIntellectual Merit:  The proposed research in complex networks covers a set of four core research problems:  1) latent network estimation, 2) hidden community detection, 3) network-wide change detection,  and 4) network similarity matching. The four problems are fundamental and yet critical towards the understanding of the structural evolution of the network. The research will result in theoretical foundations underpinning complex network research, above which interesting applications can be developed. The research will contribute to not only the aforementioned subareas of complex network research but also  other areas where time series analysis is applied.  The intellectual merit of the project will be profound.  The team has strong background in theory and applications of high-dimensional time series analysis as  well as knowledge and experience in network research, and therefore is well suited for this effort.Broader Impacts:   The proposed research and education programs will provide signi&amp;#64257;cant bene&amp;#64257;ts to  both network science and data science research communities and practitioners from various industries     and sectors. The success of the project will advance social network research and bring the impact to a broader population. For instance, the integration of community detection and in&amp;#64258;uence propagation can bene&amp;#64257;t marketing research, and the misbehavior detection from online social networks can help mitigate crimes.  A series of training and education activities are planned to prepare the future workforce to face   the new challenges in the big data era.  This will be done through:  (1) the integration of research into      the curriculum, (2) the creation of a multidisciplinary research experience for students, and (3) the dis- semination of research results through online courses, seminars, and open source software. The eventual dissemination of research results to the larger community is done through presentations, publications,     and outreach activities. Dr. Wu will disseminate research results through teaching, invited seminars, conferences, and publications in leading journals, and interact with researchers from other disciplines     and provide assistance to students and researchers in other regions and countries on similar research    topics. Dr. Cheng will work with middle school and high school students through NJIT Pre-College Programs, and underrepresented students through REU projects and Summer Undergraduate Research Program.</t>
  </si>
  <si>
    <t>NSF 17-537</t>
  </si>
  <si>
    <t>CAR17-18</t>
  </si>
  <si>
    <t>1045 7926</t>
  </si>
  <si>
    <t>CO</t>
  </si>
  <si>
    <t>Steffen</t>
  </si>
  <si>
    <t>U of Colorado Denver</t>
  </si>
  <si>
    <t>V,F,F,F/P</t>
  </si>
  <si>
    <t>CAREER: Algorithms for Optimal Walks</t>
  </si>
  <si>
    <t>steffen.borgwardt@ucdenver.edu</t>
  </si>
  <si>
    <t>1045 7929</t>
  </si>
  <si>
    <t>Haitao</t>
  </si>
  <si>
    <t>E,V,G,G/F</t>
  </si>
  <si>
    <t>CAREER: Algorithms for Shortest Paths and Related Problems in Computational Geometry</t>
  </si>
  <si>
    <t>haitao.wang@usu.edu</t>
  </si>
  <si>
    <t>1045 7934</t>
  </si>
  <si>
    <t>Benjamin</t>
  </si>
  <si>
    <t>E,E/V,V,G,G</t>
  </si>
  <si>
    <t>CAREER: Scaling Computation via Massively Distributed Algorithms</t>
  </si>
  <si>
    <t>bmoseley@seas.wustl.edu</t>
  </si>
  <si>
    <t>Alberto</t>
  </si>
  <si>
    <t>E/V,V,V,V/G</t>
  </si>
  <si>
    <t>CAREER: Mixed-Integer Quadratic Optimization: Algorithms and Complexity</t>
  </si>
  <si>
    <t>delpia@wisc.edu</t>
  </si>
  <si>
    <t>WA</t>
  </si>
  <si>
    <t>Yin Tat</t>
  </si>
  <si>
    <t>U of Washington</t>
  </si>
  <si>
    <t>E,E,E/V,V/G</t>
  </si>
  <si>
    <t>CAREER: The Interplay between Combinatorial Optimization and Algorithmic Convex Geometry</t>
  </si>
  <si>
    <t>yintat@uw.edu</t>
  </si>
  <si>
    <t>Sungjin</t>
  </si>
  <si>
    <t>U of Cal - Merced</t>
  </si>
  <si>
    <t>V,V,V,G</t>
  </si>
  <si>
    <t>CAREER: New Algorithmic Foundations for Online Scheduling</t>
  </si>
  <si>
    <t>sim3@ucmerced.edu</t>
  </si>
  <si>
    <t>Aaron</t>
  </si>
  <si>
    <t>Stanford University</t>
  </si>
  <si>
    <t>E,V,V,V</t>
  </si>
  <si>
    <t>CAREER: Theory of Fast Graph Optimization</t>
  </si>
  <si>
    <t>sidford@stanford.edu</t>
  </si>
  <si>
    <t>1045 7927</t>
  </si>
  <si>
    <t>NY</t>
  </si>
  <si>
    <t>Omri</t>
  </si>
  <si>
    <t>Columbia University</t>
  </si>
  <si>
    <t>E,V,V,G</t>
  </si>
  <si>
    <t>CAREER: Information Theoretic Methods for Understanding Computation</t>
  </si>
  <si>
    <t>omri@cs.columbia.edu</t>
  </si>
  <si>
    <t>Karthekeyan</t>
  </si>
  <si>
    <t>U of Ill Urbana-Champaign</t>
  </si>
  <si>
    <t>E/V,V,V,G</t>
  </si>
  <si>
    <t>CAREER: Frontiers in the Algorithmic Theory of Cutting Planes</t>
  </si>
  <si>
    <t>karthe@illinois.edu</t>
  </si>
  <si>
    <t xml:space="preserve"> Francesco</t>
  </si>
  <si>
    <t>SUNY Stony Brook</t>
  </si>
  <si>
    <t>E,E,V,V</t>
  </si>
  <si>
    <t>CAREER: Hyperparameter-free Algorithms for Machine Learning</t>
  </si>
  <si>
    <t>francesco@cs.stonybrook.edu</t>
  </si>
  <si>
    <t>Justin</t>
  </si>
  <si>
    <t>MIT</t>
  </si>
  <si>
    <t>E,V,V/G,F</t>
  </si>
  <si>
    <t>CAREER: Structured Optimization for Geometric Problems</t>
  </si>
  <si>
    <t>jsolomon@mit.edu</t>
  </si>
  <si>
    <t>DC</t>
  </si>
  <si>
    <t>Georgetown University</t>
  </si>
  <si>
    <t>V,V,V,V/G</t>
  </si>
  <si>
    <t>CAREER: The Polynomial Method in Complexity and Cryptography</t>
  </si>
  <si>
    <t>jt1157@georgetown.edu</t>
  </si>
  <si>
    <t>Edgar</t>
  </si>
  <si>
    <t>G,G,G,F</t>
  </si>
  <si>
    <t>CAREER: Scalable algorithms for tensor networks</t>
  </si>
  <si>
    <t>solomon2@illinois.edu</t>
  </si>
  <si>
    <t>Meisam</t>
  </si>
  <si>
    <t>U of Southern California</t>
  </si>
  <si>
    <t>V,G,G,G,G,G/F,G/F,G/F,F</t>
  </si>
  <si>
    <t>CAREER: Large Scale Mixture Models: Theory, Algorithms, and Applications in Computational Biology</t>
  </si>
  <si>
    <t>razaviya@usc.edu</t>
  </si>
  <si>
    <t>1045 7933</t>
  </si>
  <si>
    <t>Craig</t>
  </si>
  <si>
    <t>U of Cal Riverside</t>
  </si>
  <si>
    <t>V,F,F,F</t>
  </si>
  <si>
    <t>CAREER: Addressing robustness in numerical simulation of nonlinear elastic solids through optimization integration and improved collision treatments</t>
  </si>
  <si>
    <t>craig@ucr.edu</t>
  </si>
  <si>
    <t>Shi</t>
  </si>
  <si>
    <t>SUNY Buffalo</t>
  </si>
  <si>
    <t>V,G,G,G/F</t>
  </si>
  <si>
    <t>CAREER: CCF: Approximate Scheduling Algorithms via Mathematical Relaxations</t>
  </si>
  <si>
    <t>shil@buffalo.edu</t>
  </si>
  <si>
    <t>Viswanath</t>
  </si>
  <si>
    <t>CAREER: New Mathematical Programming Techniques in Approximation and Online Algorithms</t>
  </si>
  <si>
    <t>viswa@umich.edu</t>
  </si>
  <si>
    <t>Debmalya</t>
  </si>
  <si>
    <t>Duke University</t>
  </si>
  <si>
    <t>E,E/V,V,V</t>
  </si>
  <si>
    <t>CAREER: New Directions in Graph Algorithms</t>
  </si>
  <si>
    <t>debmalya.panigrahi@gmail.com</t>
  </si>
  <si>
    <t>Michael</t>
  </si>
  <si>
    <t>Johns Hopkins University</t>
  </si>
  <si>
    <t>CAREER: Optimizing Distances: Compression and Network Design</t>
  </si>
  <si>
    <t>mdinitz@cs.jhu.edu</t>
  </si>
  <si>
    <t>Alina</t>
  </si>
  <si>
    <t>Boston University</t>
  </si>
  <si>
    <t>E,E/V,E/V,G</t>
  </si>
  <si>
    <t>CAREER: New Algorithms for Submodular Optimization</t>
  </si>
  <si>
    <t>aene@bu.edu</t>
  </si>
  <si>
    <t>1045 7926 9150</t>
  </si>
  <si>
    <t>Paul</t>
  </si>
  <si>
    <t>Brown University</t>
  </si>
  <si>
    <t>V,G,G/F,G/F</t>
  </si>
  <si>
    <t>CAREER: Sublinear Algorithms on Flaky Data</t>
  </si>
  <si>
    <t>pvaliant@gmail.com</t>
  </si>
  <si>
    <t>1045 7932</t>
  </si>
  <si>
    <t>Ruta</t>
  </si>
  <si>
    <t>E,V,V,V/G</t>
  </si>
  <si>
    <t>CAREER: Equilibrium Computation and Other Total Search Problems</t>
  </si>
  <si>
    <t>rutameht@illinois.edu</t>
  </si>
  <si>
    <t>Gillat</t>
  </si>
  <si>
    <t>E,V,V,V,V/G,G,G,G,G</t>
  </si>
  <si>
    <t>CAREER: Communication, Information, and Interactive Compression</t>
  </si>
  <si>
    <t>gillat.kol@gmail.com</t>
  </si>
  <si>
    <t>VA</t>
  </si>
  <si>
    <t>Sharath</t>
  </si>
  <si>
    <t>VA Polytechnic Inst &amp; St U</t>
  </si>
  <si>
    <t>E/V,V,V/G,G</t>
  </si>
  <si>
    <t>CAREER:Robust and Optimal Algorithms for Real-Time Pick-Up and Delivery Problems</t>
  </si>
  <si>
    <t>sharathr@vt.edu</t>
  </si>
  <si>
    <t>Moritz</t>
  </si>
  <si>
    <t>E,E,E,E/V</t>
  </si>
  <si>
    <t>CAREER: Stable Foundations for Reliable Machine Learning</t>
  </si>
  <si>
    <t xml:space="preserve"> hardt@eecs.berkeley.edu</t>
  </si>
  <si>
    <t>Jonathan</t>
  </si>
  <si>
    <t>CAREER:A Stable Foundation for Trustworthy Data Analysis</t>
  </si>
  <si>
    <t>jullman@ccs.neu.edu</t>
  </si>
  <si>
    <t>Pranjal</t>
  </si>
  <si>
    <t>Rutgers Univ New Brunswick</t>
  </si>
  <si>
    <t>V,G,G,G</t>
  </si>
  <si>
    <t>CAREER: Towards provably robust algorithms for unsupervised learning: A distribution-free approach</t>
  </si>
  <si>
    <t>pranjal.iitm@gmail.com</t>
  </si>
  <si>
    <t>Huy</t>
  </si>
  <si>
    <t>E,E/V,V,V/G</t>
  </si>
  <si>
    <t>CAREER: Faster and Smaller Sketches for Bigger Data</t>
  </si>
  <si>
    <t>hu.nguyen@neu.edu</t>
  </si>
  <si>
    <t>U of Texas Dallas</t>
  </si>
  <si>
    <t>CAREER:  AF: Giving Form to Data with a Geometric Scaffold</t>
  </si>
  <si>
    <t>Benjamin.Raichel@utdallas.edu</t>
  </si>
  <si>
    <t>Bernhard</t>
  </si>
  <si>
    <t>E,E,E,E/V,E/V,V,V,G</t>
  </si>
  <si>
    <t>CAREER: A Theory of Error Correction for Interactive Communication</t>
  </si>
  <si>
    <t>haeupler@cs.cmu.edu</t>
  </si>
  <si>
    <t>Ning</t>
  </si>
  <si>
    <t>Florida International Univ</t>
  </si>
  <si>
    <t>G,F,F,F</t>
  </si>
  <si>
    <t>CAREER: A Study of Some Problems in Boolean Function Analysis</t>
  </si>
  <si>
    <t>nxie@cs.fiu.edu</t>
  </si>
  <si>
    <t>Eric</t>
  </si>
  <si>
    <t>CAREER:Fundamental algorithms for data-limited problems</t>
  </si>
  <si>
    <t>ecprice@cs.utexas.edu</t>
  </si>
  <si>
    <t>Matthew</t>
  </si>
  <si>
    <t>U of Texas San Antonio</t>
  </si>
  <si>
    <t>V,G,G/F,F</t>
  </si>
  <si>
    <t>CAREER: A Modern Look at Visibility Problems</t>
  </si>
  <si>
    <t>MATTHEW.GIBSON@UTSA.EDU</t>
  </si>
  <si>
    <t>Periklis</t>
  </si>
  <si>
    <t>Rutgers U Newark</t>
  </si>
  <si>
    <t>CAREER: New directions in the foundations of heuristics in machine learning and constraint satisfaction</t>
  </si>
  <si>
    <t>Vasilis</t>
  </si>
  <si>
    <t>Drexel University</t>
  </si>
  <si>
    <t>CAREER: Optimal Mechanism Design without Monetary Transfers</t>
  </si>
  <si>
    <t>CAREER: Simulation and Design of Thin Objects Using Discrete Differential Geometry Algorithms</t>
  </si>
  <si>
    <t>evouga@cs.utexas.edu</t>
  </si>
  <si>
    <t>OR</t>
  </si>
  <si>
    <t>Amir</t>
  </si>
  <si>
    <t>Oregon State University</t>
  </si>
  <si>
    <t>CAREER: Mapping Problems in Computational Geometry and Topology</t>
  </si>
  <si>
    <t>nayyeria@eecs.oregonstate.edu</t>
  </si>
  <si>
    <t>1045 7934 9150</t>
  </si>
  <si>
    <t>Maxwell</t>
  </si>
  <si>
    <t>Mississippi State Univ</t>
  </si>
  <si>
    <t>E,G,G,G/F</t>
  </si>
  <si>
    <t>CAREER: How to Share a Channel with Friends and Foes: Algorithm Design and Validation for Contention Resolution</t>
  </si>
  <si>
    <t>maxwelly@outlook.com</t>
  </si>
  <si>
    <t>Aditya</t>
  </si>
  <si>
    <t>CAREER: Theoretical Machine Learning: Algorithms and Complexity</t>
  </si>
  <si>
    <t>bhaskara@cs.utah.edu</t>
  </si>
  <si>
    <t>1045 7929 9150</t>
  </si>
  <si>
    <t>Brittany</t>
  </si>
  <si>
    <t>Montana State University</t>
  </si>
  <si>
    <t>CAREER: Foundations and Applications of Statistics in TDA</t>
  </si>
  <si>
    <t>brittany@cs.montana.edu</t>
  </si>
  <si>
    <t>Nodari</t>
  </si>
  <si>
    <t>U of Hawaii</t>
  </si>
  <si>
    <t>CAREER: Locality-Conscious Parallel Algorithms</t>
  </si>
  <si>
    <t>nodari@hawaii.edu</t>
  </si>
  <si>
    <t>NSF 17-552</t>
  </si>
  <si>
    <t>05020000</t>
  </si>
  <si>
    <t>CRII FY18</t>
  </si>
  <si>
    <t>7495 8228</t>
  </si>
  <si>
    <t>IIS</t>
  </si>
  <si>
    <t>Anirudha</t>
  </si>
  <si>
    <t>E/V,E/V,E/V,G,G,G/F,F</t>
  </si>
  <si>
    <t>CRII: RI: Memory-efficient Representations for Robot Tasks: Lower Bounds and Scalable Algorithms</t>
  </si>
  <si>
    <t>ani.majumdar@princeton.edu</t>
  </si>
  <si>
    <t>FY18CRII</t>
  </si>
  <si>
    <t>7926 8228</t>
  </si>
  <si>
    <t>GA</t>
  </si>
  <si>
    <t>Weitian</t>
  </si>
  <si>
    <t>Ga. Southern Univ. R&amp;S Fdn</t>
  </si>
  <si>
    <t>G,G/F,F</t>
  </si>
  <si>
    <t>CRII: AF: Practical Privacy-preserving Mechanisms under Differential Privacy and Smoothed Analysis</t>
  </si>
  <si>
    <t>wtong@georgiasouthern.edu</t>
  </si>
  <si>
    <t>Kai</t>
  </si>
  <si>
    <t>G/F,F,F,F</t>
  </si>
  <si>
    <t>CRII: AF: fast maximum edge-weight clique solvers and their applications</t>
  </si>
  <si>
    <t>kwang@georgiasouthern.edu</t>
  </si>
  <si>
    <t>Yuan</t>
  </si>
  <si>
    <t>V,V/G,G</t>
  </si>
  <si>
    <t>CRII:AF: Data Oriented Multi-Arm Bandit Algorithms</t>
  </si>
  <si>
    <t>yzhoucs@indiana.edu</t>
  </si>
  <si>
    <t>7932 8228</t>
  </si>
  <si>
    <t>Jugal</t>
  </si>
  <si>
    <t>E/V,V,V</t>
  </si>
  <si>
    <t>CRII: AF: Strongly Polynomial Algorithms for Market Equilibria with Applications to Network Flows and Nash Social Welfare</t>
  </si>
  <si>
    <t>jugal@illinois.edu</t>
  </si>
  <si>
    <t>Hadi</t>
  </si>
  <si>
    <t>G,G,G</t>
  </si>
  <si>
    <t>CRII: AF: Theory and Algorithms for Two Classes of Optimization Problems: Multi-objective Binary Linear Programs and Single-objective Maximum Multiplicative Programs</t>
  </si>
  <si>
    <t>hcharkhgard@usf.edu</t>
  </si>
  <si>
    <t>Mayank</t>
  </si>
  <si>
    <t>CUNY Queens College</t>
  </si>
  <si>
    <t>V,V,V</t>
  </si>
  <si>
    <t>CRII: AF: RUI: Faster and Cache-Efficient Similarity Filters and Searches for Big Data</t>
  </si>
  <si>
    <t>Mayank.Goswami@qc.cuny.edu</t>
  </si>
  <si>
    <t>Tuo</t>
  </si>
  <si>
    <t>Georgia Tech Research Corp</t>
  </si>
  <si>
    <t>V,G,G,G,G,G,F</t>
  </si>
  <si>
    <t>CRII:RI Model-based Nonconvex Optimization for Efficient and Scalable Representation Learning from Massive Data</t>
  </si>
  <si>
    <t>tzhao80@gatech.edu</t>
  </si>
  <si>
    <t>7933 8228</t>
  </si>
  <si>
    <t>Ruoyu</t>
  </si>
  <si>
    <t>V,V/G,V/G</t>
  </si>
  <si>
    <t>CRII: AF: Towards Faster Algorithms for Large-scale Constrained Optimization</t>
  </si>
  <si>
    <t>ruoyus@illinois.edu</t>
  </si>
  <si>
    <t>7933 8228 9150</t>
  </si>
  <si>
    <t>Omer</t>
  </si>
  <si>
    <t>Oklahoma State University</t>
  </si>
  <si>
    <t>E/V,G,F</t>
  </si>
  <si>
    <t>CRII: AF: Generalized Deconvolution Algorithms for Coarse-Grained Simulations of Nonlinear Multiscale Systems</t>
  </si>
  <si>
    <t>osan@okstate.edu</t>
  </si>
  <si>
    <t>Rochester Inst of Tech</t>
  </si>
  <si>
    <t>V,G,G</t>
  </si>
  <si>
    <t>CRII: AF: Fair and Truthful Mechanisms for Sequential Matching Under Uncertainty</t>
  </si>
  <si>
    <t>hhvcs@rit.edu</t>
  </si>
  <si>
    <t>7927 8228</t>
  </si>
  <si>
    <t>E,E,E/V</t>
  </si>
  <si>
    <t>CRII:AF:Linear-Algebraic Pseudorandomness</t>
  </si>
  <si>
    <t>miforbes@illinois.edu</t>
  </si>
  <si>
    <t>Adolfo</t>
  </si>
  <si>
    <t>Arizona State University</t>
  </si>
  <si>
    <t>V/G,G,G/F</t>
  </si>
  <si>
    <t>CRII: AF: Robust Algorithmic Foundations for the Impartial Aggregation of Incomplete Ranking Data</t>
  </si>
  <si>
    <t>adres@asu.edu</t>
  </si>
  <si>
    <t>Shima</t>
  </si>
  <si>
    <t>Texas Engineering Exp Sta</t>
  </si>
  <si>
    <t>V,G,G/F</t>
  </si>
  <si>
    <t>CRII: AF:Bayesian Framework for Efficient Surrogate Modeling and Learning of Probabilistic Functions Based on Large Scale Monte Carlo Simulations</t>
  </si>
  <si>
    <t>shima.hm@tamu.edu</t>
  </si>
  <si>
    <t>CRII: AF: Practical Auction Design using the Deferred-Acceptance Framework</t>
  </si>
  <si>
    <t>Harsha</t>
  </si>
  <si>
    <t>Southern Methodist Univ</t>
  </si>
  <si>
    <t>V/G,G,F</t>
  </si>
  <si>
    <t>CRII:AF: Stochastic Programming Decomposition Model and Algorithm for Discrete-event Dynamic Systems</t>
  </si>
  <si>
    <t>harsha@smu.edu</t>
  </si>
  <si>
    <t>Lin</t>
  </si>
  <si>
    <t>U of Houston</t>
  </si>
  <si>
    <t>CRII: AF: Polynomial Time Approximation Schemes Subexponential in the Parameter</t>
  </si>
  <si>
    <t>lchen49@central.uh.edu</t>
  </si>
  <si>
    <t>7924 7926</t>
  </si>
  <si>
    <t>Anupam</t>
  </si>
  <si>
    <t>AF: Medium: Collaborative Research: Combinatorial Optimization for Uncertain Inputs</t>
  </si>
  <si>
    <t>anupamg@cs.cmu.edu</t>
  </si>
  <si>
    <t>1763293</t>
  </si>
  <si>
    <t>U of Cal Irvine</t>
  </si>
  <si>
    <t>AF: Medium: Algorithms for Real-World Networks</t>
  </si>
  <si>
    <t>goodrich@acm.org</t>
  </si>
  <si>
    <t>7924 7926 7932</t>
  </si>
  <si>
    <t>AARON</t>
  </si>
  <si>
    <t>E/V,E/V,V,G</t>
  </si>
  <si>
    <t>AF: MEDIUM: Collaborative Research: Foundations of Fair Data Analysis</t>
  </si>
  <si>
    <t>aaroth@cis.upenn.edu</t>
  </si>
  <si>
    <t>1763349</t>
  </si>
  <si>
    <t>Pai</t>
  </si>
  <si>
    <t>Mallesh</t>
  </si>
  <si>
    <t>AF: Medium: Collaborative Research: Foundations of Fair Data Analysis</t>
  </si>
  <si>
    <t>Mallesh.Pai@rice.edu</t>
  </si>
  <si>
    <t>7924 7926 7927</t>
  </si>
  <si>
    <t>AF: Medium: Collaborative Research: Exploiting Opportunities in Pseudorandomness</t>
  </si>
  <si>
    <t>omreing@stanford.edu</t>
  </si>
  <si>
    <t>1763299</t>
  </si>
  <si>
    <t>Vadhan</t>
  </si>
  <si>
    <t>Salil</t>
  </si>
  <si>
    <t>Harvard University</t>
  </si>
  <si>
    <t>AF: Medium: Collaborative Research:  Exploiting Opportunities in Pseudorandomness</t>
  </si>
  <si>
    <t>salil_vadhan@harvard.edu</t>
  </si>
  <si>
    <t>E,E/V,E/V,V</t>
  </si>
  <si>
    <t>AF: MEDIUM: Collaborative Research: Foundations of Adaptive Data Analysis</t>
  </si>
  <si>
    <t>1763191</t>
  </si>
  <si>
    <t>Zou</t>
  </si>
  <si>
    <t>James</t>
  </si>
  <si>
    <t>jamesz@stanford.edu</t>
  </si>
  <si>
    <t>1763665</t>
  </si>
  <si>
    <t>Dwork</t>
  </si>
  <si>
    <t>Cynthia</t>
  </si>
  <si>
    <t>AF: Medium: Collaborative Proposal: Foundations of Adaptive Data Analysis</t>
  </si>
  <si>
    <t>dwork@seas.harvard.edu</t>
  </si>
  <si>
    <t>1763786</t>
  </si>
  <si>
    <t>Smith</t>
  </si>
  <si>
    <t>Adam</t>
  </si>
  <si>
    <t>AF: Medium: Collaborative Research: Foundations of Adaptive Data Analysis</t>
  </si>
  <si>
    <t>ads22@bu.edu</t>
  </si>
  <si>
    <t>Kameshwar</t>
  </si>
  <si>
    <t>V,V/G,G/F,F</t>
  </si>
  <si>
    <t>AF: Medium: Collaborative Research: Algorithmic Challenges in Dynamic Two-sided Marketplaces</t>
  </si>
  <si>
    <t>kamesh@cs.duke.edu</t>
  </si>
  <si>
    <t>1763417</t>
  </si>
  <si>
    <t>Banerjee</t>
  </si>
  <si>
    <t>Siddhartha</t>
  </si>
  <si>
    <t>Cornell University</t>
  </si>
  <si>
    <t>sbanerjee@cornell.edu</t>
  </si>
  <si>
    <t>Atri</t>
  </si>
  <si>
    <t>V,G,G,F</t>
  </si>
  <si>
    <t>AF: Medium: Collaborative Research: Beyond Sparsity: Refined measures of complexity for linear algebra</t>
  </si>
  <si>
    <t>atri@buffalo.edu</t>
  </si>
  <si>
    <t>1763315</t>
  </si>
  <si>
    <t>Re</t>
  </si>
  <si>
    <t>Christopher</t>
  </si>
  <si>
    <t>chrismre@cs.stanford.edu</t>
  </si>
  <si>
    <t>AF: Medium: Collaborative Research: Dynamic data structures for vectors and graphs in sublinear memory</t>
  </si>
  <si>
    <t>1763504</t>
  </si>
  <si>
    <t>Nelson</t>
  </si>
  <si>
    <t>Jelani</t>
  </si>
  <si>
    <t>minilek@seas.harvard.edu</t>
  </si>
  <si>
    <t>7924 7926 7927 9150</t>
  </si>
  <si>
    <t>Qi</t>
  </si>
  <si>
    <t>U of Oklahoma</t>
  </si>
  <si>
    <t>V,V,F,F</t>
  </si>
  <si>
    <t>AF:Medium:Collaborative Research: Algorithms and Complexity of Polynomial Systems</t>
  </si>
  <si>
    <t>qcheng@ou.edu</t>
  </si>
  <si>
    <t>1763635</t>
  </si>
  <si>
    <t>Wan</t>
  </si>
  <si>
    <t>Daqing</t>
  </si>
  <si>
    <t>dwan@math.uci.edu</t>
  </si>
  <si>
    <t>1763644</t>
  </si>
  <si>
    <t>Gao</t>
  </si>
  <si>
    <t>Shuhong</t>
  </si>
  <si>
    <t>Clemson University</t>
  </si>
  <si>
    <t>AF:Medium:Collaborative Research:  Algorithms and Complexity of Polynomial Systems</t>
  </si>
  <si>
    <t>sgao@clemson.edu</t>
  </si>
  <si>
    <t>1763774</t>
  </si>
  <si>
    <t>Rojas</t>
  </si>
  <si>
    <t>J. Maurice</t>
  </si>
  <si>
    <t>Texas A&amp;M Main Campus</t>
  </si>
  <si>
    <t>rojas@math.tamu.edu</t>
  </si>
  <si>
    <t>7924 7933</t>
  </si>
  <si>
    <t>AF: Medium: Collaborative Research: Principled Numerical Methods for Tensor Computations</t>
  </si>
  <si>
    <t>dgleich@purdue.edu</t>
  </si>
  <si>
    <t>1763455</t>
  </si>
  <si>
    <t>Benson</t>
  </si>
  <si>
    <t>Austin</t>
  </si>
  <si>
    <t>arb@cs.cornell.edu</t>
  </si>
  <si>
    <t>7924 7929</t>
  </si>
  <si>
    <t>Guoning</t>
  </si>
  <si>
    <t>G,G,G/F,F</t>
  </si>
  <si>
    <t>AF: Medium: Collaborative Research: Structure of Time-dependent Hexahedral Meshes: Theory and Applications</t>
  </si>
  <si>
    <t>gchen16@uh.edu</t>
  </si>
  <si>
    <t>1763948</t>
  </si>
  <si>
    <t>Eugene</t>
  </si>
  <si>
    <t>AF:Medium: Collaborative Research: Structure of time-dependent hexahedral meshes: theory and applications</t>
  </si>
  <si>
    <t>zhange@eecs.oregonstate.edu</t>
  </si>
  <si>
    <t>7924 7926 7934</t>
  </si>
  <si>
    <t>AF: Medium: Sketching Algorithms for Learning Representations in Machine Learning</t>
  </si>
  <si>
    <t>dwoodruf@andrew.cmu.edu</t>
  </si>
  <si>
    <t>7924 7929 7934</t>
  </si>
  <si>
    <t>Erik</t>
  </si>
  <si>
    <t>AF: Medium: Collaborative Research: Algorithmic Frameworks for Motion Planning of Mobile Swarms</t>
  </si>
  <si>
    <t>edemaine@mit.edu</t>
  </si>
  <si>
    <t>1763521</t>
  </si>
  <si>
    <t>Hajiaghayi</t>
  </si>
  <si>
    <t>Mohammad</t>
  </si>
  <si>
    <t>hajiagha@cs.umd.edu</t>
  </si>
  <si>
    <t>7924 7926 7927 7932</t>
  </si>
  <si>
    <t>Christos</t>
  </si>
  <si>
    <t>E,E,E,V</t>
  </si>
  <si>
    <t>AF: Medium: Research in Algorithms and Complexity: Total Functions, Games, and the Brain</t>
  </si>
  <si>
    <t>christos@cs.berkeley.edu</t>
  </si>
  <si>
    <t>Nathan</t>
  </si>
  <si>
    <t>TTI-C</t>
  </si>
  <si>
    <t>AF: RI: Medium: Collaborative Research: Understanding and Improving Optimization in Deep and Recurrent Networks</t>
  </si>
  <si>
    <t>nati@ttic.edu</t>
  </si>
  <si>
    <t>1763562</t>
  </si>
  <si>
    <t>Salakhutdinov</t>
  </si>
  <si>
    <t>Ruslan</t>
  </si>
  <si>
    <t>rsalakhu@cs.cmu.edu</t>
  </si>
  <si>
    <t>1764033</t>
  </si>
  <si>
    <t>NSF 17-572</t>
  </si>
  <si>
    <t>FY18IIIMed</t>
  </si>
  <si>
    <t>7495 7924</t>
  </si>
  <si>
    <t>Internationl CompSci Inst</t>
  </si>
  <si>
    <t>V/G,G,G,G</t>
  </si>
  <si>
    <t>RI: Medium: Second Is Better Than First: Second Order Optimization for Machine Learning</t>
  </si>
  <si>
    <t>mmahoney@icsi.berkeley.edu</t>
  </si>
  <si>
    <t>Wei Biao</t>
  </si>
  <si>
    <t>University of Chicago</t>
  </si>
  <si>
    <t>G,G/F,G/F,F</t>
  </si>
  <si>
    <t>AF: Medium: Collaborative Research: Fundamental Problems in High-Dimensional Data Analysis for Evolving Large-Scale Complex Networks</t>
  </si>
  <si>
    <t>wbwu@galton.uchicago.edu</t>
  </si>
  <si>
    <t>1763885</t>
  </si>
  <si>
    <t>Maggie</t>
  </si>
  <si>
    <t>NJIT</t>
  </si>
  <si>
    <t>maggie.cheng@njit.edu</t>
  </si>
  <si>
    <t>AF CAREER/CRII Panel A</t>
  </si>
  <si>
    <t xml:space="preserve"> V,F,F,F/P</t>
  </si>
  <si>
    <t>31 rated projects: 3 HC, 12 C, 10 LC, 6 NC</t>
  </si>
  <si>
    <t>Faculty Early Career Development Program</t>
  </si>
  <si>
    <t>Jack Snoeyink</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</si>
  <si>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</si>
  <si>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</si>
  <si>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</si>
  <si>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</si>
  <si>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</si>
  <si>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</si>
  <si>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</si>
  <si>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</si>
  <si>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</si>
  <si>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</si>
  <si>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</si>
  <si>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</si>
  <si>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</si>
  <si>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</si>
  <si>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AF CAREER/CRII Panel B</t>
  </si>
  <si>
    <t xml:space="preserve"> E,V,V,G</t>
  </si>
  <si>
    <t>29 rated projects: 5 HC, 9 C, 11 LC, 4 NC</t>
  </si>
  <si>
    <t>Tracy J. Kimbrel</t>
  </si>
  <si>
    <t xml:space="preserve">omri@cs.columbia.edu      </t>
  </si>
  <si>
    <t xml:space="preserve"> E/V,V,V,G</t>
  </si>
  <si>
    <t xml:space="preserve">karthe@illinois.edu      </t>
  </si>
  <si>
    <t xml:space="preserve"> E,E,V,V</t>
  </si>
  <si>
    <t xml:space="preserve">francesco@cs.stonybrook.edu      </t>
  </si>
  <si>
    <t xml:space="preserve"> E,V,V/G,F</t>
  </si>
  <si>
    <t xml:space="preserve">jsolomon@mit.edu      </t>
  </si>
  <si>
    <t xml:space="preserve"> V,V,V,V/G</t>
  </si>
  <si>
    <t xml:space="preserve">jt1157@georgetown.edu      </t>
  </si>
  <si>
    <t xml:space="preserve"> G,G,G,F</t>
  </si>
  <si>
    <t xml:space="preserve">solomon2@illinois.edu      </t>
  </si>
  <si>
    <t xml:space="preserve"> G,G,G   ,F</t>
  </si>
  <si>
    <t>Comp Bio Career Virtual Panel</t>
  </si>
  <si>
    <t xml:space="preserve"> V    ,G/F,G/F,G/F</t>
  </si>
  <si>
    <t>5 rated projects: 1 HC, 2 C, 2 LC</t>
  </si>
  <si>
    <t xml:space="preserve">razaviya@usc.edu      </t>
  </si>
  <si>
    <t xml:space="preserve"> V,F,F,F</t>
  </si>
  <si>
    <t xml:space="preserve">craig@ucr.edu      </t>
  </si>
  <si>
    <t xml:space="preserve"> V,G,G,G/F</t>
  </si>
  <si>
    <t xml:space="preserve">shil@buffalo.edu      </t>
  </si>
  <si>
    <t xml:space="preserve">viswa@umich.edu      </t>
  </si>
  <si>
    <t xml:space="preserve"> E,E/V,V,V</t>
  </si>
  <si>
    <t xml:space="preserve">debmalya.panigrahi@gmail.com      </t>
  </si>
  <si>
    <t xml:space="preserve">mdinitz@cs.jhu.edu      </t>
  </si>
  <si>
    <t xml:space="preserve"> E,E/V,E/V,G</t>
  </si>
  <si>
    <t xml:space="preserve">aene@bu.edu      </t>
  </si>
  <si>
    <t xml:space="preserve"> V,G,G/F,G/F</t>
  </si>
  <si>
    <t xml:space="preserve">pvaliant@gmail.com      </t>
  </si>
  <si>
    <t xml:space="preserve"> E,V,V,V/G</t>
  </si>
  <si>
    <t xml:space="preserve">rutameht@illinois.edu      </t>
  </si>
  <si>
    <t>CIF CAREER IT-COMM Panel</t>
  </si>
  <si>
    <t xml:space="preserve"> V/G,G,G,G,G</t>
  </si>
  <si>
    <t>17 rated projects: 3 HC, 3 C, 7 LC, 4 NC</t>
  </si>
  <si>
    <t xml:space="preserve">gillat.kol@gmail.com      </t>
  </si>
  <si>
    <t xml:space="preserve"> E/V,V,V/G,G</t>
  </si>
  <si>
    <t xml:space="preserve">sharathr@vt.edu      </t>
  </si>
  <si>
    <t xml:space="preserve"> E,E,E,E/V</t>
  </si>
  <si>
    <t xml:space="preserve"> hardt@eecs.berkeley.edu      </t>
  </si>
  <si>
    <t xml:space="preserve">jullman@ccs.neu.edu      </t>
  </si>
  <si>
    <t xml:space="preserve"> V,G,G,G</t>
  </si>
  <si>
    <t xml:space="preserve">pranjal.iitm@gmail.com      </t>
  </si>
  <si>
    <t xml:space="preserve"> E,E/V,V,V/G</t>
  </si>
  <si>
    <t xml:space="preserve">hu.nguyen@neu.edu      </t>
  </si>
  <si>
    <t xml:space="preserve">Benjamin.Raichel@utdallas.edu      </t>
  </si>
  <si>
    <t xml:space="preserve"> E,E  ,V,V</t>
  </si>
  <si>
    <t xml:space="preserve"> E  ,E/V,E/V  ,G</t>
  </si>
  <si>
    <t xml:space="preserve">haeupler@cs.cmu.edu      </t>
  </si>
  <si>
    <t xml:space="preserve"> F</t>
  </si>
  <si>
    <t xml:space="preserve"> G,F,F</t>
  </si>
  <si>
    <t xml:space="preserve">nxie@cs.fiu.edu      </t>
  </si>
  <si>
    <t xml:space="preserve">ecprice@cs.utexas.edu      </t>
  </si>
  <si>
    <t xml:space="preserve"> V,G,G/F,F</t>
  </si>
  <si>
    <t xml:space="preserve">MATTHEW.GIBSON@UTSA.EDU      </t>
  </si>
  <si>
    <t xml:space="preserve">periklis.research@gmail.com      </t>
  </si>
  <si>
    <t xml:space="preserve">gkatz@drexel.edu      </t>
  </si>
  <si>
    <t xml:space="preserve">evouga@cs.utexas.edu      </t>
  </si>
  <si>
    <t xml:space="preserve">nayyeria@eecs.oregonstate.edu      </t>
  </si>
  <si>
    <t xml:space="preserve"> E,G,G,G/F</t>
  </si>
  <si>
    <t xml:space="preserve">maxwelly@outlook.com      </t>
  </si>
  <si>
    <t xml:space="preserve">bhaskara@cs.utah.edu      </t>
  </si>
  <si>
    <t xml:space="preserve">brittany@cs.montana.edu      </t>
  </si>
  <si>
    <t xml:space="preserve"> V,V/G,G,G/F</t>
  </si>
  <si>
    <t xml:space="preserve">nodari@hawaii.edu      </t>
  </si>
  <si>
    <t>CRII Robotics: Reid</t>
  </si>
  <si>
    <t xml:space="preserve"> E/V,E/V,E/V,G</t>
  </si>
  <si>
    <t>15 rated projects: 2 HC, 3 C, 10 LC</t>
  </si>
  <si>
    <t>Computer and Information Science and Engineering (CISE) Research Initiation Initiative</t>
  </si>
  <si>
    <t>Div Of Information &amp; Intelligent Systems</t>
  </si>
  <si>
    <t>Reid Simmons</t>
  </si>
  <si>
    <t xml:space="preserve">ani.majumdar@princeton.edu      </t>
  </si>
  <si>
    <t xml:space="preserve">wtong@georgiasouthern.edu      </t>
  </si>
  <si>
    <t xml:space="preserve"> G/F,F,F,F</t>
  </si>
  <si>
    <t xml:space="preserve">kwang@georgiasouthern.edu      </t>
  </si>
  <si>
    <t xml:space="preserve"> V,V/G,G</t>
  </si>
  <si>
    <t xml:space="preserve">yzhoucs@indiana.edu      </t>
  </si>
  <si>
    <t xml:space="preserve"> E/V,V,V</t>
  </si>
  <si>
    <t xml:space="preserve">jugal@illinois.edu      </t>
  </si>
  <si>
    <t xml:space="preserve"> G,G,G</t>
  </si>
  <si>
    <t xml:space="preserve">hcharkhgard@usf.edu      </t>
  </si>
  <si>
    <t xml:space="preserve"> V,V,V</t>
  </si>
  <si>
    <t xml:space="preserve">Mayank.Goswami@qc.cuny.edu      </t>
  </si>
  <si>
    <t>CRII- Weng-keen</t>
  </si>
  <si>
    <t xml:space="preserve"> V   ,G ,F</t>
  </si>
  <si>
    <t>21 rated projects , 7 C, 14 LC</t>
  </si>
  <si>
    <t xml:space="preserve"> G,G  ,G</t>
  </si>
  <si>
    <t>Weng-keen Wong</t>
  </si>
  <si>
    <t xml:space="preserve">tzhao80@gatech.edu      </t>
  </si>
  <si>
    <t xml:space="preserve"> V,V/G,V/G</t>
  </si>
  <si>
    <t xml:space="preserve">ruoyus@illinois.edu      </t>
  </si>
  <si>
    <t xml:space="preserve"> E/V,G,F</t>
  </si>
  <si>
    <t xml:space="preserve">osan@okstate.edu      </t>
  </si>
  <si>
    <t xml:space="preserve"> V,G,G</t>
  </si>
  <si>
    <t xml:space="preserve">hhvcs@rit.edu      </t>
  </si>
  <si>
    <t xml:space="preserve"> E,E,E/V</t>
  </si>
  <si>
    <t xml:space="preserve">miforbes@illinois.edu      </t>
  </si>
  <si>
    <t xml:space="preserve">adres@asu.edu      </t>
  </si>
  <si>
    <t xml:space="preserve"> V,G,G/F</t>
  </si>
  <si>
    <t xml:space="preserve">shima.hm@tamu.edu      </t>
  </si>
  <si>
    <t xml:space="preserve"> V/G,G,F</t>
  </si>
  <si>
    <t xml:space="preserve">harsha@smu.edu      </t>
  </si>
  <si>
    <t xml:space="preserve">lchen49@central.uh.edu      </t>
  </si>
  <si>
    <t>AF Medium Panel /  Dec 11-12</t>
  </si>
  <si>
    <t xml:space="preserve"> E/V,V,V,F</t>
  </si>
  <si>
    <t>17 rated projects: 2 HC, 6 C, 8 LC, 1 NC</t>
  </si>
  <si>
    <t xml:space="preserve">anupamg@cs.cmu.edu;viswa@umich.edu     </t>
  </si>
  <si>
    <t xml:space="preserve">goodrich@acm.org      </t>
  </si>
  <si>
    <t xml:space="preserve"> E/V,E/V,V,G</t>
  </si>
  <si>
    <t xml:space="preserve">aaroth@cis.upenn.edu;Mallesh.Pai@rice.edu     </t>
  </si>
  <si>
    <t xml:space="preserve">omreing@stanford.edu;salil_vadhan@harvard.edu     </t>
  </si>
  <si>
    <t xml:space="preserve"> E,E/V,E/V,V</t>
  </si>
  <si>
    <t xml:space="preserve">aaroth@cis.upenn.edu;jamesz@stanford.edu;dwork@seas.harvard.edu;ads22@bu.edu   </t>
  </si>
  <si>
    <t xml:space="preserve"> G/F</t>
  </si>
  <si>
    <t xml:space="preserve"> V,V/G ,F</t>
  </si>
  <si>
    <t xml:space="preserve">kamesh@cs.duke.edu;sbanerjee@cornell.edu     </t>
  </si>
  <si>
    <t xml:space="preserve"> V,G,G,F</t>
  </si>
  <si>
    <t xml:space="preserve">atri@buffalo.edu;chrismre@cs.stanford.edu     </t>
  </si>
  <si>
    <t xml:space="preserve">hu.nguyen@neu.edu;minilek@seas.harvard.edu     </t>
  </si>
  <si>
    <t xml:space="preserve"> V,V,F,F</t>
  </si>
  <si>
    <t xml:space="preserve">qcheng@ou.edu;dwan@math.uci.edu;sgao@clemson.edu;rojas@math.tamu.edu   </t>
  </si>
  <si>
    <t xml:space="preserve"> V,V/G ,G</t>
  </si>
  <si>
    <t xml:space="preserve">dgleich@purdue.edu;arb@cs.cornell.edu     </t>
  </si>
  <si>
    <t xml:space="preserve"> G,G,G/F,F</t>
  </si>
  <si>
    <t xml:space="preserve">gchen16@uh.edu;zhange@eecs.oregonstate.edu     </t>
  </si>
  <si>
    <t xml:space="preserve">dwoodruf@andrew.cmu.edu      </t>
  </si>
  <si>
    <t xml:space="preserve">edemaine@mit.edu;hajiagha@cs.umd.edu     </t>
  </si>
  <si>
    <t xml:space="preserve"> E</t>
  </si>
  <si>
    <t xml:space="preserve"> E,E,V</t>
  </si>
  <si>
    <t xml:space="preserve">christos@cs.berkeley.edu      </t>
  </si>
  <si>
    <t xml:space="preserve">nati@ttic.edu;rsalakhu@cs.cmu.edu; hardt@eecs.berkeley.edu    </t>
  </si>
  <si>
    <t xml:space="preserve"> V/G,G,G,G</t>
  </si>
  <si>
    <t>Information and Intelligent Systems (IIS): Core Programs</t>
  </si>
  <si>
    <t xml:space="preserve">mmahoney@icsi.berkeley.edu      </t>
  </si>
  <si>
    <t xml:space="preserve"> G,G/F,G/F,F</t>
  </si>
  <si>
    <t xml:space="preserve">wbwu@galton.uchicago.edu;maggie.cheng@njit.edu     </t>
  </si>
  <si>
    <t xml:space="preserve">Finland; Hungary      </t>
  </si>
  <si>
    <t xml:space="preserve">Czech Republic; Finland; Swaziland     </t>
  </si>
  <si>
    <t xml:space="preserve">France; Germany; Netherlands; United Kingdom    </t>
  </si>
  <si>
    <t xml:space="preserve">Israel; Japan      </t>
  </si>
  <si>
    <t xml:space="preserve">Hong Kong; United Kingdom; Western Europe     </t>
  </si>
  <si>
    <t>Pend</t>
  </si>
  <si>
    <t xml:space="preserve">Czech Republic; France; Italy; Japan    </t>
  </si>
  <si>
    <t xml:space="preserve">Worldwide       </t>
  </si>
  <si>
    <t xml:space="preserve">Sweden       </t>
  </si>
  <si>
    <t xml:space="preserve">India; Taiwan; Worldwide     </t>
  </si>
  <si>
    <t xml:space="preserve">China; France      </t>
  </si>
  <si>
    <t>1749315</t>
  </si>
  <si>
    <t>Yang</t>
  </si>
  <si>
    <t xml:space="preserve"> Panel Summary       
 The goal of this proposal is to develop optimization and learning algorithms that can provably take advantage of and adapt to the local geometric properties of the optimization problem to enjoy faster global convergence and more efficient implementation. Specifically, the PI proposes new optimization and learning algorithms that enjoy strong guarantees under a local relaxation of  strong-convexity, what the PI calls the HEB (Holderian-type error bound) condition. _x000D_
_x000D_
Strengths:_x000D_
-- The technical part is nicely presented with clearly defined goals and possible approaches._x000D_
-- The PI plans to explore applications of these algorithms in real-world, e.g., a collaboration with Alibaba._x000D_
 _x000D_
Weakness:_x000D_
-- While the HEB condition is a nice  natural relaxation of strong convexity, the overall agenda is not sufficiently broad for a CAREER proposal._x000D_
-- PI has already delivered a number of results in the machine learning literature leveraging the HEB condition, so the proposed work is somewhat incremental._x000D_
_x000D_
BROADER IMPACTS:_x000D_
The education and broader impact components are strong; they include outreach to high schools, tutorials and workshops at major conferences._x000D_
_x000D_
Summary:_x000D_
This is a good proposal leveraging a relaxed condition to solve optimization problems. The panelists felt that the proposed work is not sufficiently visionary for a CAREER proposal. _x000D_
_x000D_
PANEL RECOMMENDATION: Justification, including key strengths and critical weaknesses._x000D_
__Highly competitive (HC)_x000D_
__Competitive (C)_x000D_
_X_Low Competitive (LC)_x000D_
__Not Competitive (NC)_x000D_
 _x000D_
The summary was read to the panel and the panel concurred that the summary accurately reflects the panel discussion. 
</t>
  </si>
  <si>
    <t>P180136</t>
  </si>
  <si>
    <t xml:space="preserve"> RI: CAREER/ML: Wong</t>
  </si>
  <si>
    <t xml:space="preserve"> Panel Summary       
  A brief statement of what the proposal is about_x000D_
_x000D_
The PI proposes to research first-order fast convex optimization algorithms that use *local geometry* close to the optimum to achieve faster *global* convergence. This relaxes the strong convexity assumption into a local assumption about the geometry close to the optimum. _x000D_
_x000D_
Intellectual merit_x000D_
_x000D_
--Strengths_x000D_
_x000D_
The approach is very promising as it relaxes the rather strong condition of strong convexity and replaces it by something much more benign. This relaxed condition might be found in much broader function classes than strong convexity. The PI has a very strong track record making a successful execution likely. _x000D_
_x000D_
--Weaknesses_x000D_
_x000D_
The panel felt that the proposed research is not as innovative and that the PI plans to largely continue previous work. Also, the panel remarks that a closer comparison to the work on linear convergence under the PL condition [68] is necessary and some of the statements such as about 1/n^2 type rates in SLT are subject to rather strong assumptions and highly optimistic. More generally, there were concerns voiced about relevance and applicability given the strong assumptions required that are sometimes required. _x000D_
_x000D_
Educational activities, including integration of research and education _x000D_
--Strengths_x000D_
_x000D_
The PI plans to release the algorithm as open source making them available to a larger community._x000D_
_x000D_
--Weaknesses_x000D_
_x000D_
N/A_x000D_
_x000D_
Other broader impacts, including enhancing diversity_x000D_
_x000D_
--Strengths_x000D_
_x000D_
see above. The open source code could also have significant impact beyond the ML/Opt community. _x000D_
_x000D_
--Weaknesses_x000D_
_x000D_
N/A_x000D_
_x000D_
Department support letter_x000D_
_x000D_
present._x000D_
_x000D_
_x000D_
Data management plan_x000D_
_x000D_
appropriate._x000D_
_x000D_
Post-doctoral mentoring plan (if applicable)_x000D_
_x000D_
N/A_x000D_
_x000D_
Collaborations (if applicable)_x000D_
_x000D_
N/A_x000D_
_x000D_
Results of prior NSF research (if applicable)_x000D_
_x000D_
N/A_x000D_
_x000D_
Additional suggestions_x000D_
_x000D_
N/A_x000D_
_x000D_
Panel recommendation and justification, including brief statement of _x000D_
key strengths and/or critical weaknesses_x000D_
_x000D_
The proposed research is a very interesting extension of the PI previous work. The panel felt however that the proposal lacks slightly in innovation and PI missed to discuss important references. _x000D_
_x000D_
Ranking (check one)_x000D_
__  Highly Competitive_x000D_
__  Competitive_x000D_
_X_  Low Competitive_x000D_
__  Not Competitive _x000D_
_x000D_
The summary was read by the panel, and the panel concurred that the summary accurately reflects the panel discussion._x000D_
</t>
  </si>
  <si>
    <t>Proposal ID: IIS - 1749315_x000D_
Title: "CAREER: Locally Adaptive Learning and Optimization with Faster Global Convergence"_x000D_
PI: Tianbao Yang_x000D_
_x000D_
This proposal was reviewed in a Robust Intelligence panel (P180136). This was a panel that took place on Oct 26-27, 2017 and the panel had 19 proposals. The project was discussed and a panel summary was prepared by the panel. The project received reviews from 3 panelists with self-rated expertise 1, 2 and 2 (on a 1-3 scale, with 1 the highest expertise). The reviewers scored the proposal E/V, V and G/F respectively. There was also an ad hoc reviewer who gave the proposal a V. The panel rated the proposal Low Competitive (LC). _x000D_
_x000D_
The status of the conflicts of interest for all panelists is recorded in the Review Record. The panelists declared their conflicts of interest, were not assigned conflicted proposals for review, did not have access to other reviews for the conflicted proposals via the Interactive Panel System, and left the meeting during both the evaluation and when final ranking discussions involving the conflicted proposals took place._x000D_
_x000D_
The Robust Intelligence panel consisted of highly qualified Artificial Intelligence and Machine Learning researchers. _x000D_
_x000D_
Summary_x000D_
This proposal aims to develop new optimization algorithms for learning that can take advantage of the local sharpness of the optimization surface, characterized by the Holderian-type error bound (HEB) condition, with the intent to develop algorithms with faster global convergence, efficient implementation and wider applicability to real-world problems. The specific goals of the PI include:_x000D_
1) Developing novel deterministic, stochastic and online optimization algorithms based on the HEB condition_x000D_
2) Develop new theories of regularized Empirical Risk Minimization for statistical learning_x000D_
3) Applying (1) and (2) to novel applications in machine learning_x000D_
_x000D_
_x000D_
Intellectual Merit_x000D_
_x000D_
There was a general consensus that the central idea of the proposal -- using local sharpness characterized by the HEB -- was a promising direction. The panelists also found the PI's track record to be very strong._x000D_
_x000D_
However, there were two key weaknesses that the panelists pointed out. First, the use of the HEB condition has been previously explored by others and by the PI himself. As such, the proposed work is an extension of the PI's previous research on the topic. Panelists viewed the proposal as not very innovative and incremental. The PI seems to be "turning the crank" on his meta-algorithm to investigate another research direction. Second, all the reviewers wanted the PI to provide more details on the proposed research plan as the PI spends much of the text describing the problem and his past work. Specifically, they wanted the PI to do a better job articulating what challenges were left to overcome and how he would do so._x000D_
_x000D_
One panelist gave a score of E/V. The panel took this panelist's views into account during the discussion. After discussing the proposal, this panelist agreed with the assessment that the proposed work seemed incremental and agreed with the Low Competitive rating._x000D_
_x000D_
Broader Impact_x000D_
Optimization is a large part of machine learning and this proposal would have a far-reaching impact. The HEB condition seems to be more widely applicable than strong convexity. Consequently, the methods from this proposal could potentially lead to new application domains for optimization and learning._x000D_
_x000D_
Educational Plan and Outreach_x000D_
Panelists appreciated the open source release of the algorithm but they felt that the other aspects of the education plan were very standard._x000D_
_x000D_
Budget_x000D_
1.0 month PI summer salary/yr_x000D_
1 grad student at 50% RA and 1 grad student at 25% RA for all years_x000D_
~$2000 domestic travel /yr_x000D_
~$3000 international travel/yr_x000D_
_x000D_
Recommendation_x000D_
This proposal is incremental and needs more details on the proposed research. As such, I recommend declining the proposal in its present form._x000D_
_x000D_
Weng-Keen Wong, Program Director _x000D_
IIS/Robust Intelligence</t>
  </si>
  <si>
    <t>ZP1005922</t>
  </si>
  <si>
    <t>Allen-Zhu</t>
  </si>
  <si>
    <t>zeyuan@csail.mit.edu</t>
  </si>
  <si>
    <t xml:space="preserve">In the context of the five review elements, please _x000D_
evaluate the strengths and weaknesses of the proposal with respect to intellectual merit._x000D_
_x000D_
Intellectual merit._x000D_
_x000D_
1. I view the potential of this project as huge. (STRENGTH)_x000D_
_x000D_
The HEB condition is relatively new notion but is capable of explaining many machine learning tasks that we have not fully understood so far. If enough effort is invested into this project, the resulting bulk of works in 5 years could be a very great mini-textbook covering all aspects of HEB (e.g. in online setting, stochastic setting, etc). This can certainly benefit researchers within and across relevant fields._x000D_
_x000D_
2. Creativity and Originality. (WEAKNESS)_x000D_
_x000D_
Prof. Yang is one of the main authors pushing this new, potentially transformative HEB notion in the past 2 years. However, the techniques for proving convergence theorems under the HEB notion (in his published works + this proposal) have not fully surprised me and may not be considered very "creative"._x000D_
_x000D_
3. The proposal is very well-planed (STRENGTH)_x000D_
_x000D_
Prof. Yang gave quite a number of detailed directions in this proposal and *each* of them, if succeeded, could result in a very descent paper into ICML/NIPS. _x000D_
_x000D_
4. The team is one of the most qualified ones in the world to work on this problem. (STRENGTH)_x000D_
_x000D_
Prof. Yang and his close collaborator Prof. Lin are technically very strong and among the best researchers on mathematical optimization to work on this project. This is why I would also recommend them to not only conduct research in this area, but also write a mini-textbook to benefit others._x000D_
_x000D_
5. Adequate resources available to PI (NO COMMENT)_x000D_
_x000D_
Not much resources are needed besides human resources since this is a mostly-theoretical project. Based on his past collaborations, Prof. Yang has shown access to good students and collaborators._x000D_
_x000D_
In the context of the five review elements, please _x000D_
evaluate the strengths and weaknesses of the proposal with respect to broader impacts._x000D_
_x000D_
Broader Impacts_x000D_
_x000D_
The potential of this project can be potentially big in terms of (Broader Impacts). If executed properly, new algorithms based on this new HEB notion can touch lots of sub-areas of CS and give faster and self-adaptive algorithms. _x000D_
_x000D_
Prof. Yang also has access to researchers (e.g. Rong Jin) in industrial labs, and has demonstrated the ability to transform theory into practice._x000D_
_x000D_
Please evaluate the strengths and _x000D_
weaknesses of the proposal with respect to any additional solicitation-specific review criteria, if _x000D_
applicable_x000D_
_x000D_
Prof. Yang also gave detailed and concrete educational proposals to hit high school students and under-represented people. I am not sure how this is related to the NSF Career grant, but Prof. Yang seems to have put lots of serious thinking into it. This deserves some support from NSF._x000D_
_x000D_
Summary Statement_x000D_
_x000D_
Overall, this proposal is surrounding a new HEB notion (mostly) for convex functions, and regarding promising results (in mathematical optimization) one can potentially prove under HEB. Such results can give new algorithms and explanations to various important tasks in machine learning._x000D_
_x000D_
The main weakness is that the proofs and the final theorems one can potentially show (based on my reading of the proposal) may not be very surprising in the end. It is mostly generalizations (in all different directions) of existing tools. _x000D_
_x000D_
Of course, I cannot rule out the possibility of finding something really surprising in the end: there may be something generalizations that seem trivial, but require very new insights._x000D_
_x000D_
</t>
  </si>
  <si>
    <t xml:space="preserve">In the context of the five review elements, please _x000D_
evaluate the strengths and weaknesses of the proposal with respect to intellectual merit._x000D_
_x000D_
The goal of this proposal is to develop optimization and learning algorithms that can provably take advantage of and adapt to the local geometric properties of the optimization problem to enjoy faster global convergence, wider applications, and efficient implementations. _x000D_
_x000D_
Specifically, the PI proposes new optimization and learning algorithms that enjoy strong guarantees under a certain local relaxation of  strong-convexity, namely the so-called HEB condition  (Holderian-type error bound), which captures the local sharpness of the objective function in Euclidean and non-Euclidean spaces. The PI has already produced preliminary results in this direction and proposes to further deepen that research._x000D_
_x000D_
_x000D_
In the context of the five review elements, please _x000D_
evaluate the strengths and weaknesses of the proposal with respect to broader impacts._x000D_
_x000D_
The education and broader impact components are strong (they include outreach to high schools, tutorials and workshops at major conferences)._x000D_
_x000D_
Please evaluate the strengths and _x000D_
weaknesses of the proposal with respect to any additional solicitation-specific review criteria, if _x000D_
applicable_x000D_
_x000D_
_x000D_
_x000D_
Summary Statement_x000D_
_x000D_
The goal of this proposal is to develop optimization and learning algorithms that can provably take advantage of and adapt to the local geometric properties of the optimization problem._x000D_
_x000D_
Pros_x000D_
-- The technical part is nicely presented with clearly defined goals and possible approaches._x000D_
-- The education&amp;broader impact component is strong (includes outreach to high schools, tutorials and workshops at major conferences)._x000D_
_x000D_
Cons_x000D_
-- The proposed research agenda is somewhat narrow for a CAREER proposal; it is all centered around one single condition, the so-called HEB (Holderian-type error bound), which captures the local sharpness of the objective function in Euclidean and non-Euclidean spaces. _x000D_
_x000D_
_x000D_
</t>
  </si>
  <si>
    <t>YP1005925</t>
  </si>
  <si>
    <t>banerjee42@gmail.com</t>
  </si>
  <si>
    <t xml:space="preserve">In the context of the five review elements, please _x000D_
evaluate the strengths and weaknesses of the proposal with respect to intellectual merit._x000D_
_x000D_
--Strengths_x000D_
_x000D_
+ The PI plans to make systematic advances on the design and analysis of optimization algorithms based on the HEB condition_x000D_
_x000D_
+ In the context of deterministic and stochastic optimization, the PI plans to extend existing methods, such as ADMM, adagrad, SVRG, one pass, to the setting of HEB optimization_x000D_
_x000D_
+ For optimization, the PI plans to explore algorithms which can be efficient without knowing the HEB constants_x000D_
_x000D_
+ The PI plans to extend existing convergence results for ERM to consider functions which satisfy the HEB condition_x000D_
_x000D_
+ The PI has a strong track record on the theme of the proposal and well qualified to carry out the research_x000D_
_x000D_
--Weaknesses_x000D_
_x000D_
- The discussion under 'novel applications' do discuss interesting directions, but lacks details. Similarly, the empirical evaluation plan lacks details._x000D_
_x000D_
- Couple of small details which could have strengthened the presentation:_x000D_
HEB is close to KL condition, which is being actively studied, comparing the work plan with this development will be important;_x000D_
when discussing 1/n^2 type rates in SLT, its important to note that such results are currently achievable under (strong) assumptions about the problem;_x000D_
examples of HEB functions which are not strongly convex and are/can be used in mainstream machine learning will be instructive._x000D_
_x000D_
_x000D_
In the context of the five review elements, please _x000D_
evaluate the strengths and weaknesses of the proposal with respect to broader impacts._x000D_
_x000D_
--Strengths_x000D_
_x000D_
+ The PI has a track record of mentoring high school students and undergrads, and plans on continuing to do so_x000D_
_x000D_
+ The PI has a track record of research dissemination based on tutorials, and plans on continuing to do so_x000D_
_x000D_
_x000D_
--Weaknesses_x000D_
_x000D_
- The plans for educational activities are somewhat standard_x000D_
_x000D_
Please evaluate the strengths and _x000D_
weaknesses of the proposal with respect to any additional solicitation-specific review criteria, if _x000D_
applicable_x000D_
_x000D_
_x000D_
_x000D_
Summary Statement_x000D_
_x000D_
_x000D_
The PI plans to generalize a family of optimization and statistical learning theory results to a broad family of loss functions which satisfy the HEB condition. The research plan looks strong, the PI has a commendable track record and is well qualified to carry out the research._x000D_
_x000D_
_x000D_
</t>
  </si>
  <si>
    <t xml:space="preserve">In the context of the five review elements, please _x000D_
evaluate the strengths and weaknesses of the proposal with respect to intellectual merit._x000D_
_x000D_
The objective of the proposal is to develop intelligent optimization and learning algorithms that can leverage and adapt to the local geometric properties of the optimization problem to enjoy faster global convergence, wider applications and efficient implementation. Overall the objective is certainly interesting and could lead to progress in optimization algorithms. However, most of the proposed research agenda is building upon the so-called HEB (Holderian-type error bound), which captures the local sharpness of the objective function in Euclidean and non-Euclidean spaces -- this condition is certainly more general that local strong convexity and holds for a larger family of functions. The PI has already delivered a number of results using the HEB condition in the past and now proposes to leverage this condition in order to design algorithms for a number of problems in deterministic, stochastic, and online optimization, empirical risk minimization for statistical learning, and also in a number of machine learning and big data problems. Most of the proposed research agenda is theoretical, with a small applied component evaluating the methods in real data._x000D_
_x000D_
The overall agenda does not feel sufficiently broad for a CAREER proposal. The HEB condition is a relaxation of strong convexity that seems to characterize local sharpness, but it is unclear whether it will revolutionize optimization. The PI has already delivered a number of results in the optimization and machine learning literature leveraging this condition, so the proposed work feels a bit incremental. I can see this work resulting in a number of publishable results, but the proposal seems to lack the vision that one would expect from a CAREER proposal._x000D_
_x000D_
In the context of the five review elements, please _x000D_
evaluate the strengths and weaknesses of the proposal with respect to broader impacts._x000D_
_x000D_
The broader impacts of the proposed work are reasonable but not outstanding. I am not convinced that the proposed research will make a strong impact in optimization, especially since a serious evaluation component of the proposed theoretical research is not part of the proposal. The educational component of the proposal is reasonable, but is mostly focused around relatively straight-forward activities that most faculty is involved in. The outreach to high schools is an interesting component of the proposal._x000D_
_x000D_
Please evaluate the strengths and _x000D_
weaknesses of the proposal with respect to any additional solicitation-specific review criteria, if _x000D_
applicable_x000D_
_x000D_
See discussion above._x000D_
_x000D_
Summary Statement_x000D_
_x000D_
A good proposal leveraging a relaxed condition to solve optimization problems. It is not sufficiently visionary for a CAREER proposal. Relatively standard broader impacts._x000D_
_x000D_
</t>
  </si>
  <si>
    <t>UK0919368</t>
  </si>
  <si>
    <t>Feldman</t>
  </si>
  <si>
    <t>vitaly.edu@gmail.com</t>
  </si>
  <si>
    <t xml:space="preserve">In the context of the five review elements, please _x000D_
evaluate the strengths and weaknesses of the proposal with respect to intellectual merit._x000D_
_x000D_
This proposal focuses on designing optimization algorithms that can exploit a certain "sharpness" of the objective function near the optimum. The condition is referred to as HEB and measures the growth of function near the optimum. The PI has showed several algorithms that can exploit this condition. The proposal aims to extend the applications to many different settings in optimization and learning. The proposal also mentions a plethora of related issues (such adaptivity to unknown parameters) that the PI plans to investigate._x000D_
It appears that this condition can often be used as a substitute for strong convexity (which implies the condition with parameter \theta=1/2). Most notably the condition is local and hence substantially weaker. This proposal aims to give algorithms that exploit this condition and also to understand which learning problems give rise to optimization problems satisfying this condition._x000D_
_x000D_
_x000D_
The PI has a strong track record in this area and is well-positioned to pursue the proposed research._x000D_
_x000D_
In the context of the five review elements, please _x000D_
evaluate the strengths and weaknesses of the proposal with respect to broader impacts._x000D_
_x000D_
Broader educational impact is standard and adequate._x000D_
_x000D_
Please evaluate the strengths and _x000D_
weaknesses of the proposal with respect to any additional solicitation-specific review criteria, if _x000D_
applicable_x000D_
_x000D_
_x000D_
_x000D_
Summary Statement_x000D_
_x000D_
I consider this research direction to be fundamental and potentially practically useful. The downside is that the basic idea has already been explored and the main thrust seems relatively incremental. Therefore it seems unlikely to be have substantial additional impact on theory or practice of ML._x000D_
_x000D_
</t>
  </si>
  <si>
    <t xml:space="preserve">In the context of the five review elements, please _x000D_
evaluate the strengths and weaknesses of the proposal with respect to intellectual merit._x000D_
_x000D_
_x000D_
This project seeks to develop intelligent optimization and learning algorithms that can  adapt to the local sharpness of the optimization problem to give faster global convergence, efficient implementation and wider applications.  The main research directions are: _x000D_
_x000D_
(i) develop new optimization algorithms and statistical learning theories with fast convergence adaptive to the local properties of (empirical) risk minimization_x000D_
problems_x000D_
_x000D_
(ii) investigate novel applications in machine learning and big data analytics_x000D_
_x000D_
(iii) develop  software that can be easily employed by non-optimization_x000D_
experts to solve various learning problems_x000D_
_x000D_
_x000D_
Strengths:_x000D_
1. This proposal seeks to develop new locally adaptive optimization algorithms and analysis of locally adaptive learning theories that can improve the state of the art optimization in machine learning. The overarching theme is designing algorithms with convergence adaptive to the local sharpness  of the optimization problem (e.g., the larger the sharpness the faster the convergence)._x000D_
_x000D_
2. The proposal is technically detailed and the PI has done significant prior work and is ideally suited for this research._x000D_
_x000D_
3. Explores applications of these algorithms in real-world, e.g.,  collaboration with Alibaba._x000D_
_x000D_
Weaknesses:_x000D_
_x000D_
1.	The proposal is somewhat dense which makes it difficult to read, especially for a non-expert._x000D_
_x000D_
_x000D_
In the context of the five review elements, please _x000D_
evaluate the strengths and weaknesses of the proposal with respect to broader impacts._x000D_
_x000D_
Strengths:_x000D_
_x000D_
1.  The proposal seeks to improve convergence rate of optimization algorithms in machine learning which can have a lot of applications in various domains. _x000D_
_x000D_
2.	The education plan is strong with various components such as developing courses, mentoring students, outreach activities to high school students and women in CS, and research dissemination._x000D_
_x000D_
Weaknesses:_x000D_
1.  None._x000D_
_x000D_
_x000D_
Please evaluate the strengths and _x000D_
weaknesses of the proposal with respect to any additional solicitation-specific review criteria, if _x000D_
applicable_x000D_
_x000D_
The proposal integrates education and research very well._x000D_
_x000D_
Summary Statement_x000D_
_x000D_
This looks like a strong proposal in machine learning optimization. The PI has lot of background and experience to carry out this research which can have an impact._x000D_
_x000D_
</t>
  </si>
  <si>
    <t>KH0956530</t>
  </si>
  <si>
    <t>Pokutta</t>
  </si>
  <si>
    <t>sebastian.pokutta@isye.gatech.edu</t>
  </si>
  <si>
    <t xml:space="preserve">In the context of the five review elements, please _x000D_
evaluate the strengths and weaknesses of the proposal with respect to intellectual merit._x000D_
_x000D_
The PI proposes to research first-order convex optimization algorithms that use local geometry information to achieve better global convergence. The "local sharpness" to be used for this purpose are H÷lder-type Error Bound conditions (HEB); simplified one might want to think of those as _local_ strong convexity that should help to achieve faster _global_ convergence. The PI then proposes to essentially HEB-ify a wide range of convex optimization methods including deterministic and stochastic variants. The main tool seems to be an iterative restarting technique: run a basic algorithm A for time t_k adjust parameters as a function of the HEB condition and its associated parameter theta_k. The proposal is well-written and outlines the problems of interest reasonably clear. I would have wished for slightly more detail on the research plan and a little less on the state-of-the-art and the PIs previous work. The PI is well-qualified to execute the research and likely to succeed, however at the same time one might wonder to what extent the proposed research is incremental as it basically seems to follow a certain template of (clever) restarts for a wider class of algorithms._x000D_
_x000D_
The IM of proposal can be essentially reduced to the HEB-ification of various optimization methods (and its applications). I believe the approach of going to local sharpness measures and deriving global fast rates is the main component in terms of IM. Overall, I like the proposed approach and the PI has already demonstrated that it works and has produced several top-tier publications from this. _x000D_
_x000D_
At the core of the HEB-ification approach is the restarting technique of Algorithm 1 and it seems to serve as a general template to turn an algorithm not locally adapative yet into one that is. This template has been used by the PI before and while this gives strong indications that the PI will be successful I cannot help but get the impression that now in a next step the PI wants to apply the same template over and over again to other algorithms: deterministic optimization algorithms, stochastic optimization algorithms (such as e.g., AdaGrad and SVRG), online optimization, etc. While potentially producing important results, it might not be as innovative. The evaluation of the actual innovation and novelty compared to the PIs previous work - is it incremental or is the preliminary work merely a preparation for this proposal - is complicated by the fact that the PI spends rather little time on exactly explaining in detail what the proposed research plan is and where the challenges lie. _x000D_
_x000D_
I believe this is a strong proposal with the concern the mentioned above. _x000D_
_x000D_
_x000D_
In the context of the five review elements, please _x000D_
evaluate the strengths and weaknesses of the proposal with respect to broader impacts._x000D_
_x000D_
The BI of the proposal follows the regular pattern of student education and top-tier dissemination of the results. Notable is the planned development of open source tools that might allow a wider audience to benefit from those algorithms. I also believe that the proposed research could bridge the gap between fast methods in the strong convex case and slower methods in the general convex case. This is especially important as more and more real-world problem solving approaches have to solve continous optimization problems at their core and, as pointed out by the PI, the strong convexity assumption can be restrictive here so that a broader applicable class of algorithms is welcomed._x000D_
_x000D_
Please evaluate the strengths and _x000D_
weaknesses of the proposal with respect to any additional solicitation-specific review criteria, if _x000D_
applicable_x000D_
_x000D_
_x000D_
_x000D_
Summary Statement_x000D_
_x000D_
I believe this is a strong proposal with the concern the mentioned above._x000D_
_x000D_
</t>
  </si>
  <si>
    <t xml:space="preserve">In the context of the five review elements, please _x000D_
evaluate the strengths and weaknesses of the proposal with respect to intellectual merit._x000D_
_x000D_
I found it hard to evaluate the intellectual merit of this proposal. I am not an expert on convex optimization, so I do not know how general the proposed problem is. The PI did not spend a lot of time justifying why the class of HEB problems is natural/general/relevant. I also did not understand why this is the key bottleneck that needs to be overcome in this area of research._x000D_
_x000D_
In the context of the five review elements, please _x000D_
evaluate the strengths and weaknesses of the proposal with respect to broader impacts._x000D_
_x000D_
The PI has a strong publication record in Machine learning related conferences. The PI has a track record of good mentorship for high school and undergraduate students. The PI has given many talks and tutorials at various venues._x000D_
_x000D_
_x000D_
Please evaluate the strengths and _x000D_
weaknesses of the proposal with respect to any additional solicitation-specific review criteria, if _x000D_
applicable_x000D_
_x000D_
_x000D_
_x000D_
Summary Statement_x000D_
_x000D_
I will hold my opinion on this one until I hear what other reviewers have to say._x000D_
_x000D_
</t>
  </si>
  <si>
    <t>wwong</t>
  </si>
  <si>
    <t>AF not making an award either</t>
  </si>
  <si>
    <t>This proposal was co-reviewed by AF and RI and both programs gave it a Low Competitive rating. RI will not be making an award and neither will AF.</t>
  </si>
  <si>
    <t>1755679</t>
  </si>
  <si>
    <t>FANG</t>
  </si>
  <si>
    <t>JDONLON</t>
  </si>
  <si>
    <t xml:space="preserve"> Panel Summary       
 Description: The proposal focuses on extending the existing framework of Stackelberg security games to include the prospect of the leader being able to define the game itself by establishing the framework for the later moves. This is an interesting extension existing framework on Stackelberg games and has the potential to have broad impact outside computer science in a number of practical applications.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 _x000D_
_x000D_
However, the panel was concerned that the main product of this proposal is not theorems and proofs but rather optimization techniques that are not core to AF and hence this proposal is not appropriate for funding from AF._x000D_
_x000D_
Intellectual Merit:_x000D_
_x000D_
Strengths_x000D_
+ Stackelberg games have received a lot of attention in the past decade, and are one of the most successfully applied games in the field of algorithmic game theory. Looking at two-stage games of this type is a natural next step. _x000D_
+ The PI is very qualified since she has worked a lot on standard Stackelberg games; looking at two-stage games is also a natural step for the PI. _x000D_
+ The questions proposed are reasonable for the length of time given. _x000D_
+ It is likely that this project will at least result in some efficient algorithms for specific applications of two-stage games. _x000D_
+ The specific research directions are relatively concrete. _x000D_
+ Quantifying how the game structure affects the quality of equilibrium solutions is a deep and important question, even for relatively simple games._x000D_
+ The relation to prior work should be framed as a strength as this is an extension of the PIs prior work in the area. The PI does a good job of showing how the proposal goes beyond these works. _x000D_
+ The plan is very well formalized and the research streams are related but not in a way that would prevent failure in one of them from bringing down all the others. There is a clear and well designed set of measures to evaluate the research motivated by real world applications. _x000D_
_x000D_
Weaknesses_x000D_
- For other types of games, questions like "design a game structure so that the price of anarchy is small" are known to be intractable. That said, the PI plans to look at specific types of simpler games, so these questions may be tractable for such instances. _x000D_
_x000D_
- It would be nice to see more details on how the PI plans to develop algorithms for optimizing the follower's payoff function. _x000D_
_x000D_
- Most of the proposed work is in optimization and heuristics. For a proposal in CCF, one would expect to see the main products of the research being theorems and proofs, as well as theoretical insights, but these do not seem to be the main emphasis. _x000D_
_x000D_
Broader Impact:_x000D_
_x000D_
Strengths_x000D_
+ Stackelberg games have been applied many times in the real-world. The PI plans to deploy their results and algorithms in real applications, and has collaboration letters. _x000D_
_x000D_
+ There are sufficient resources to execute the proposal. The PI has also established impressive relations with a number of outside parties that will help ensure the success of the research plan. _x000D_
 _x000D_
+ The broader impacts are indeed potentially transformative as they will enable the modeling and solving of a larger class of games that more closely follow the instances that are observed in the real world. _x000D_
_x000D_
+ The PI is involved in mentoring female students, and is involved in mentoring K-12 students. _x000D_
_x000D_
Weaknesses_x000D_
- _x000D_
_x000D_
Solicitation-specific criteria:_x000D_
_x000D_
- Unfortunately, the proposal does not explicitly show how this proposal will help to generate the ideas to propel her career forward, and explain the larger picture (within her research) that it is leading to. It is not hard to guess an outline of what this might be, but details would be very helpful. _x000D_
_x000D_
Data Management Plan:  The data management plan is adequate and the PI has experience deploying software in the real world._x000D_
_x000D_
Collaboration Plan: The PI has done an outstanding job of securing commitments to cooperate from all the stakeholders necessary to carry out the broader impacts proposed in the research plan. _x000D_
_x000D_
What is bold, exciting, high risk/reward, or potentially transformative? This proposal extends the work of the PI in an important direction.  The extension of Stackleberg games to include 2-stage games will increase the scope and applicability of the techniques.  The PI has an excellent track record of broader impacts and working with outside parties._x000D_
_x000D_
Suggestions to PI: There are suggestions above which include fleshing out the specifics of why this fits into a CRII a bit more formally._x000D_
_x000D_
Justification for Panel Rating:  The panel was concerned that the main product of this proposal is not theorems and proofs but rather optimization techniques that are not core to AF.  This proposal mixes in a little bit of theory but the main thrust of the proposal is applications and application specific solutions. Therefore the AF panel did not think that this was appropriate for funding from the program in Algorithmic Foundations. _x000D_
_x000D_
_x000D_
Panel Rating:_x000D_
_ Highly Competitive_x000D_
_ Competitive_x000D_
_ Low Competitive_x000D_
X Not Competitive_x000D_
_x000D_
The summary was read by/to the panel and the panel concurred that the summary accurately reflects the panel discussion._x000D_
</t>
  </si>
  <si>
    <t>P180334</t>
  </si>
  <si>
    <t xml:space="preserve"> CRII HLT and AI</t>
  </si>
  <si>
    <t xml:space="preserve"> Panel Summary       
  The proposal outlines strategy design in a novel two-layered Stackleberg game. The proposed game extends two-layer games and Stackleberg games (leader-follower games). The goal is to design theory for optimizing the leader?s action space, the follower?s payoff function, and combining them. Moreover, the PI plans to deploy the theory in real world applications. _x000D_
_x000D_
_x000D_
INTELLECTUAL MERIT_x000D_
_x000D_
--Strengths_x000D_
- The proposed extension to the game theory for Stackelberg games is interesting and novel and appears to have relevance to security applications._x000D_
- The PI is very well qualified for this task._x000D_
_x000D_
_x000D_
--Weaknesses_x000D_
- The proposal mainly addresses designing theoretical foundations for the proposed game, but there is no detailed outline of the theoretical theorems or a clear path of how those will be achieved. _x000D_
- The proposal does not specify how the proposed theory will be deployed in real world applications, and how those will be evaluated. _x000D_
- One question that remains unclear is why one should use the two-layer Stackleberg games the proposed decision making applications? What is the benefit of using game theory in comparison with other ways to optimize the decision making process (e.g., Markov Decision Processes or Reinforcement Learning)? _x000D_
_x000D_
BROADER IMPACTS, INCLUDING ENHANCING DIVERSITY_x000D_
--Strengths_x000D_
- The PI has a good track record of deploying theoretical foundations to real world applications._x000D_
- The PI actively interacts with K-12 students. _x000D_
_x000D_
--Weaknesses_x000D_
- There is no clear plan how these games will be deployed in real world applications.  _x000D_
_x000D_
_x000D_
ADDITIONAL REVIEW CRITERIA:_x000D_
_x000D_
-- Is the research appropriate for the proposed duration?_x000D_
It appears overly-ambitious for a two-year project to both develop novel theory for two-layer Stackelberg games and demonstrate applicability to real-world problems._x000D_
_x000D_
-- Does the project have potential to produce sufficient preliminary results to serve as the basis for future competitive research proposals?_x000D_
Yes._x000D_
_x000D_
-- Are the activities necessary and critical steps for the PI to achieve research independence?_x000D_
Yes._x000D_
_x000D_
DEPARTMENT SUPPORT LETTER: _x000D_
Strong_x000D_
_x000D_
_x000D_
DATA MANAGEMENT PLAN: _x000D_
The panel expected to see specific procedures for data release that maximize value to the community. _x000D_
_x000D_
POST-DOCTORAL MENTORING PLAN (if applicable): _x000D_
N/A_x000D_
_x000D_
_x000D_
COLLABORATIONS (if applicable): _x000D_
Multiple collaboration letters, but the proposal did not outline the details of the collaboration plan with the respective organizations e.g., WWF. _x000D_
_x000D_
PANEL RECOMMENDATION AND JUSTIFICATION, INCLUDING BRIEF STATEMENT OF KEY STRENGTHS AND/OR CRITICAL WEAKNESSES	_x000D_
_x000D_
The proposal outlines a novel game design, called two-layer Stackleberg games. It introduces the theory and proposes to deploy in real world applications. The proposal does not outline the detailed plan on how to apply these games in real world applications, and the deployment seems overly ambitious for the purpose of this project. Moreover, the proposal does not convince the reviewers why using the proposed game theory would achieve better results compared to other decision making models such as MDPs or Reinforcement learning. _x000D_
_x000D_
_x000D_
Ranking (check one)_x000D_
__ Highly Competitive_x000D_
__ Competitive_x000D_
_x_ Low Competitive_x000D_
__ Not Competitive_x000D_
_x000D_
The summary was read by the panel, and the panel concurred that the summary accurately reflects the panel discussion._x000D_
</t>
  </si>
  <si>
    <t>NATIONAL SCIENCE FOUNDATION _x000D_
Directorate for Computer and Information Science and Engineering (CISE) _x000D_
Division of Information and Intelligent Systems (IIS) _x000D_
_x000D_
Review Analysis Recommendation: DECLINE_x000D_
_x000D_
PROPOSAL: _x000D_
CRII: RI: Strategy Design in Two-Layered Stackelberg Games _x000D_
1755679 FANG, FEI: Carnegie Mellon University_x000D_
_x000D_
Submitted to NSF 17-552: 08/09/17_x000D_
Requested support: $175,000 / 24 mo / Start: 01/01/2018_x000D_
_x000D_
PANELS (2): _x000D_
_x000D_
P180334 CRII HLT and AI: _x000D_
Panel Recc: Low Competitive (14 proj: 3 HC, 1 C, 9 LC, 1 NC)_x000D_
P180209 AF CAREER/CRII Panel B_x000D_
Panel Recc: Not Competitive (rk 9 of 29 proj: 5 HC, 9 C, 11 LC, 4 NC)_x000D_
_x000D_
Reviews: E,V/G,G,G,F_x000D_
_x000D_
_x000D_
PROJECT SUMMARY: _x000D_
This project focuses on a particular class of computational game theory called Stackelberg games, which encode a kind of leader-follower paradigm wherein the terms of the game are pre-established and the game theory is primarily concerned with anticipating the move (e.g., bid, quantity) that will be made by the leader and the reaction move of the follower. This project proposes theory and application related to new extension to this class of games, to allow for scenarios in which the leader defines the terms of the game itself by establishing the framework for the later moves. This is referred to in the proposal as two-layer Stackelberg games._x000D_
_x000D_
ANALYSIS_x000D_
The project was originally submitted to CCF Algorithmic Foundations (AF), but appearing to name RI in the title of the proposal.  CCF confirmed with the PI that it had been misdirected and transferred it to RI for review (correspondence uploaded as a diary note).  However, the AF program agreed that the proposal contains potentially relevant claims in the theoretical computer science elements of algorithmic game theory and agreed to co-review the proposal.  Two panels (AF and RI) considered the reviews of five experts.  The AF panel found the proposal to be "Not Competitive" due to a lack sufficient depth and plans for the theoretical claims.  The RI panel found the proposal to be "Low Competitive" due mainly to a lack of specificity about how this game-theoretic approach would apply to the proposed problems, and a lack of consideration of better-established decision making models that have traditionally been applied to the identified domains, including reinforcement learning (RL) and Markov decision processes (MDP)._x000D_
_x000D_
OUTLYING REVIEW(S)_x000D_
_x000D_
One of the reviewers, Mattei, rated the proposal E, primarily based on his interest in the potential new theoretical direction. The reviewer also praised the proposal's presentation style and expressed confidence in the PI's abilities to perform the research.  However, the overall judgement of both the AF and the RI panels was that the proposal lacked sufficient detail about the needed theoretical work.  Despite this outlying reviewer's interest in the potential application of two-layered Stackelberg games to security, the panels were not satisfied with the proposal's consideration of existing alternative approaches in those domains.  In spite of this reviewer's interest in the new directions, it was clear to each panel that the PI will need to more fully develop the ideas in one or both of the areas of theory and application.  _x000D_
_x000D_
RECOMMENDATION: _x000D_
_x000D_
As Program Director, I evaluated this proposal for funding in light of its intellectual merit and broader impacts relative to the goals of the program, taking into account the reviews and ratings, and the panel discussions/summaries from both panels. This proposal was short on both theoretical claims and on a details providing a convincing plan for application demonstrating RI relevance.  The proposed extension to this area of game theory does potentially apply to security scenarios.  However, the proposal's technical plans failed to convince reviewers of either its applied or theoretical merits.  I recommend that this project be DECLINED. _x000D_
_x000D_
_x000D_
James Donlon, Program Director _x000D_
Robust Intelligence</t>
  </si>
  <si>
    <t>KMINOR</t>
  </si>
  <si>
    <t xml:space="preserve">In the context of the five review elements, please _x000D_
evaluate the strengths and weaknesses of the proposal with respect to intellectual merit._x000D_
_x000D_
The PI intends to study Two-Layered Stackelberg Games. These are games in which the first player (the leader) can choose both the structure of the game (within some limitations) as well as their own strategy, while the second player (the follower) is only able to choose their strategy after the leader does. One can in general reduce these to standard Stackelberg games; the PI is mostly intending to study specific important versions of such games, analyze how changing the game structure changes the outcomes, and develop efficient algorithms for specific applications, as the PI has done in the past for one-stage Stackelberg games._x000D_
_x000D_
Strengths:_x000D_
_x000D_
+ Stackelberg games have received a lot of attention in the past decade, and are one of the most successfully applied games in the field of algorithmic game theory. Looking at two-stage games of this type is a natural next step._x000D_
_x000D_
+ The PI is very qualified since she has worked a lot on standard Stackelberg games; looking at two-stage games is also a natural step for the PI. The questions proposed are reasonable for the length of time given; they may lead to a great research direction, or just end up with some nice papers. It is likely that this project will at least result in some efficient algorithms for specific applications of two-stage games. The specific research directions are relatively concrete._x000D_
_x000D_
+ Quantifying how the game structure affects the quality of equilibrium solutions is a deep and important question, even for relatively simple games._x000D_
_x000D_
Weaknesses:_x000D_
_x000D_
- For other types of games, questions like "design a game structure so that the price of anarchy is small" are known to be intractable. That said, the PI plans to look at specific types of simpler games, so these questions may be tractable for such instances._x000D_
_x000D_
- Although the PI mentions mechanism design, she does not mention the work on bundling and pricing, where the leader (seller) decides which goods to bring to the market, how to bundle them, and how to price them, with the followers (buyers) deciding which goods to buy. This is often done with full knowledge of the buyer information. This is quite similar to the type of questions the PI is asking, although the type of "operational" strategies that a leader has in such a game is quite different from the ones the PI is intending to study._x000D_
_x000D_
- It would be nice to see more details on how the PI plans to develop algorithms for optimizing the follower's payoff function._x000D_
_x000D_
- Most of the proposed work is in optimization and heuristics. For a proposal in CCF, one would expect to see the main products of the research being theorems and proofs, as well as theoretical insights, but these do not seem to be the main emphasis._x000D_
_x000D_
In the context of the five review elements, please _x000D_
evaluate the strengths and weaknesses of the proposal with respect to broader impacts._x000D_
_x000D_
Strengths:_x000D_
_x000D_
+ Stackelberg games have been applied many times in the real-world. The PI plans to deploy their results and algorithms in real applications, and has collaboration letters._x000D_
_x000D_
+ The PI is involved in mentoring female students, and is involved in mentoring K-12 students._x000D_
_x000D_
Please evaluate the strengths and _x000D_
weaknesses of the proposal with respect to any additional solicitation-specific review criteria, if _x000D_
applicable_x000D_
_x000D_
_x000D_
_x000D_
Summary Statement_x000D_
_x000D_
A qualified PI working on an important topic. It would be good to see more details about the possible approaches._x000D_
_x000D_
_x000D_
</t>
  </si>
  <si>
    <t>UB0978446</t>
  </si>
  <si>
    <t>Finlayson</t>
  </si>
  <si>
    <t>markaf@fiu.edu</t>
  </si>
  <si>
    <t xml:space="preserve">In the context of the five review elements, please _x000D_
evaluate the strengths and weaknesses of the proposal with respect to intellectual merit._x000D_
_x000D_
--A brief statement of what the proposal is about:_x000D_
The proposal proposes to study design of two-layered Stackelberg games (2LSGs), namely, a game where one player (the leader) first designs the game and commits to a strategy, followed by the second player(the follower) deciding on a strategy, resulting in a certain payoff. In particular, the work proposed focuses on the game design stage and integrating this into the significant work on the strategy optimization aspects._x000D_
_x000D_
--Strengths:_x000D_
In general the motivation of the work is quite strong. There are clear missing pieces in the study of 2LSGs, and this research proposes to address them. The general approach of splitting the work into three tasks is good._x000D_
_x000D_
--Weaknesses:_x000D_
My main complaint about the proposal is it does not go into any detail about the specific results, in terms of theorems, generalization frameworks, and results, that are expected. This leaves me with only a very abstract idea of what will happen during the project. It is unclear where the focus will be: will the project focus on two-layer SSEs (2LSSEs) only? Or both 2LSSEs specifically and 2LSGs more generally? Relatedly, the proposal says that tools will be built and the results evaluated in applications, but the detailed form of these tools, applications, and evaluations was not specified in any detail._x000D_
_x000D_
Another concern is whether the proposed scope is appropriate for the budget and timeline. The proposal describes support for only part of a single graduate student, and yet there are three overlapping tasks, with multiple subtasks each. The proposal indicates undergraduates will be engaged, but there doesn't seem to be any money to support this. The budget justification is no help in understanding this. How much does a graduate student cost at CMU? What's the tuition? Where will the remainder of the support come from? The budget justification does not provide the expected level of detail for these questions. The budget includes unexplained items, such as $11k for "other direct costs"._x000D_
_x000D_
Finally, there are brief mentions of collaborations with external entities, but the nature and form of these collaboration is not described at all. How will these collaborators be engaged? What are they bringing to the table?_x000D_
_x000D_
In the context of the five review elements, please _x000D_
evaluate the strengths and weaknesses of the proposal with respect to broader impacts._x000D_
_x000D_
--Strengths:_x000D_
The potential applications of 2LSSEs is a strong point for the broader impacts. There are applications in many areas of critical interest, especially conservation and anti-poaching._x000D_
_x000D_
--Weaknesses:_x000D_
Unfortunately, the impressive potential of these applications is undercut by the lack of detail. What will the tools like that the project will create? How will the researcher collaborate with the external partners? While I know who the WWF is, and can infer who WCS is, I don't know who Rimba is, and the collaboration letter from Sunway is unexplained. How will these results be evaluated, specifically? _x000D_
_x000D_
Further, the proposal discusses broadening participation as a potential broader impact, but again does not give any detail or concrete plans, leaving me unconvinced that this will actually happen. The PI claims a history of "many activities" supporting diversity, but this involves mentoring only a single undergraduate female student, and a single lecture at the WECode conference, plus unspecified numerous informal interactions encouraging women to go into CS. I wonder whether it is justified calling such a limited set "many activities."_x000D_
_x000D_
--Adequacy of Data Management Plan_x000D_
The DMP is inadequate. The data and code will be stored on private servers, and public results only on transient laboratory and departmental website, and retention is promised only for 7 years. This is not enough time. Public software repositiores are mentioned, but no specific ones: I assume something like Github? If so, this is also inadquate. Who knows how long they wil be around. Further, the PI proposes to hold the data under lock and key because of its sensitivity, and release it to those who request it, but only if the data does not contain "sensitive informaiton" and only if the requests "do not lead to security concerns". This is vague and unclear. I would have liked to see specific procedures for data release that maximize value to the community. If the data is sensitive, why can't it be deidentified for release? The DMP makes no mention of the tools. _x000D_
_x000D_
--Adequacy of Postdoctoral Mentoring Plan (if applicable)_x000D_
n/a_x000D_
_x000D_
_x000D_
Please evaluate the strengths and _x000D_
weaknesses of the proposal with respect to any additional solicitation-specific review criteria, if _x000D_
applicable_x000D_
_x000D_
--Is the research appropriate for the proposed duration?_x000D_
Perhaps Not. Only part of a graduate student is proposed, and yet there is a lot of work to do._x000D_
_x000D_
--Does the project have potential to produce sufficient preliminary results to serve as the basis for future competitive research proposals?_x000D_
Yes. The project clearly proposes to make an important forward step that will generate a lot of preliminary results on which the PI can build in the future._x000D_
_x000D_
--Are the activities necessary and critical steps for the PI to achieve research independence?_x000D_
Yes. This work is the next logical step to the work done by the PI before._x000D_
_x000D_
--Strength of Department Letter_x000D_
The letter is quite strong, and covers the points of eligibility clearly and in detail._x000D_
_x000D_
Summary Statement_x000D_
_x000D_
--Justification of your rating, including a brief statement of the proposal's key strengths and/or critical weaknesses_x000D_
_x000D_
While the broad motivation and potential impact of the proposal are strong (for both intellectual merit and broader impacts), it lacks enough detail to be convincing. This is so at every step of the proposal: the expected form of intermediate and final results, specific steps that will be taken, what the tools will look like, how the evaluations will be performed, and how the applications will be effected, and how diversity will be encouraged. The collaborations, budget, and match of resources to the scope of work are especially vague._x000D_
_x000D_
</t>
  </si>
  <si>
    <t>SW0997324</t>
  </si>
  <si>
    <t>Hajishirzi</t>
  </si>
  <si>
    <t>hannaneh@cs.washington.edu</t>
  </si>
  <si>
    <t xml:space="preserve">In the context of the five review elements, please _x000D_
evaluate the strengths and weaknesses of the proposal with respect to intellectual merit._x000D_
_x000D_
A brief statement of what the proposal is about:_x000D_
This proposal introduces a new game called two-layered Stackleberg games that extends two-layer games and Stackleberg games. The proposal aims for design models and the theoretical aspects of designing the games through optimizing the leader's action space, the follower's payoff function, and combining these two._x000D_
_x000D_
Strengths: _x000D_
The PI is well qualified for this task. _x000D_
The proposed game model will advance the game theory area by introducing a new game that potentially can be helpful in industry. _x000D_
Weakness: _x000D_
The application domain that the PI is introducing can also be modeled with a reinforcement learning and Markov decision processes framework. How the proposed game theory model is compared with an MDP setup? _x000D_
The deployment methodology and the evaluation strategy for the applications are not so clear. _x000D_
In terms of the theoretical breakthrough, there are no proposals in what theorems or theoretical foundations will be explored._x000D_
_x000D_
In the context of the five review elements, please _x000D_
evaluate the strengths and weaknesses of the proposal with respect to broader impacts._x000D_
_x000D_
Broad impact: _x000D_
--Strengths:_x000D_
- The proposed project if successful could be helpful in real world applications._x000D_
- The PI is very active in mentoring female K-12 students through US computing Olympiad team._x000D_
- The PI is active in supporting diversity in STEM._x000D_
_x000D_
_x000D_
Please evaluate the strengths and _x000D_
weaknesses of the proposal with respect to any additional solicitation-specific review criteria, if _x000D_
applicable_x000D_
_x000D_
Solicitation: _x000D_
Is the research appropriate for the proposed duration?_x000D_
Yes._x000D_
_x000D_
Does the project have potential to produce sufficient preliminary results to serve as the basis for future competitive research proposals?_x000D_
Yes._x000D_
_x000D_
Are the activities necessary and critical steps for the PI to achieve research independence?_x000D_
The activities are necessary. _x000D_
_x000D_
Strength of Department Letter_x000D_
The department letter is strong_x000D_
_x000D_
_x000D_
_x000D_
Summary Statement_x000D_
_x000D_
The proposed project aims for designing a new game strategy that extends two game categories: multi-layered games and Stackelberg games. The proposed model sounds novel, and if successful would be helpful the build the PI's career. The application of the proposed model to real-world applications seems a bit unclear. Also, why real-world applications should use these games compared to other decision making models such as MDPs. _x000D_
_x000D_
_x000D_
_x000D_
</t>
  </si>
  <si>
    <t xml:space="preserve">In the context of the five review elements, please _x000D_
evaluate the strengths and weaknesses of the proposal with respect to intellectual merit._x000D_
_x000D_
1. What is the potential for the proposed activity to advance knowledge and understanding within its own field or across different fields (Intellectual Merit)? _x000D_
_x000D_
The proposal focuses on extending the existing framework of Stackelberg security games to include the prospect of the leader being able to define the game itself by establishing the framework for the later moves.  This is an interesting and important to the existing framework on Stackelberg games and has the potential to have broad impact outside computer science in a number of practical applications._x000D_
_x000D_
2. To what extent do the proposed activities suggest and explore creative, original, or potentially transformative concepts?_x000D_
_x000D_
The proposed activities are a strict generalization of much current research in the area and have the potential to allow for the modeling and solving of new and unique types of games._x000D_
_x000D_
3. Is the plan for carrying out the proposed activities well-reasoned, well-organized, and based on a sound rationale? Does the plan incorporate a mechanism to assess success?_x000D_
_x000D_
The plan is very well formalized and the research streams are related but not in a way that would prevent failure in one of them from bringing down all the others.  There is a clear and well designed set of measure to evaluate the research motivated by real world applications._x000D_
_x000D_
4. How well qualified is the individual, team, or institution to conduct the proposed activities?_x000D_
_x000D_
The PI is very well qualified having published extensively in the are over the last years.  In addition the PI has extensive experience translating research to impact with all of the identified partners._x000D_
_x000D_
5. Are there adequate resources available to the PI (either at the home institution or through collaborations) to carry out the proposed activities?_x000D_
_x000D_
There are sufficient resources to execute the proposal.  The PI has also established impressive relations with a number of outside parties that will help ensure the success of the research plan._x000D_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 (Broader Impacts)?_x000D_
_x000D_
Stackelberg games have been used extensively in many real world applications over the last decade.  The PI has been involved in these efforts and in bringing the benefits of this research to a number of communities and areas._x000D_
_x000D_
2. To what extent do the proposed activities suggest and explore creative, original, or potentially transformative concepts?_x000D_
_x000D_
The broader impacts are indeed potentially transformative as they will enable the modeling and solving of a larger class of games that more closely follow the instances that are observed in the real world._x000D_
_x000D_
3. Is the plan for carrying out the proposed activities well-reasoned, well-organized, and based on a sound rationale? Does the plan incorporate a mechanism to assess success?_x000D_
_x000D_
There is a clear plan in place to evaluate the success of the project.  There is a well reasoned path to the broader impacts._x000D_
_x000D_
4. How well qualified is the individual, team, or institution to conduct the proposed activities?_x000D_
_x000D_
The PI is very well suited as she has worked with many of the groups necessary to fully realized the broader impacts in the past._x000D_
_x000D_
5. Are there adequate resources available to the PI (either at the home institution or through collaborations) to carry out the proposed activities?_x000D_
_x000D_
The PI has done an outstanding job of securing commitments to cooperate from all the stakeholders necessary to carry out the broader impacts proposed in the research plan._x000D_
_x000D_
Please evaluate the strengths and _x000D_
weaknesses of the proposal with respect to any additional solicitation-specific review criteria, if _x000D_
applicable_x000D_
_x000D_
_x000D_
_x000D_
Summary Statement_x000D_
_x000D_
An extremely strong proposal that identifies interesting and important extensions to the exiting use of Stackelberg games to the security domain.  The plan is well formed and the PI has a track record of accomplishments in this domain.  The broader impacts are well stated and potentially very impactful and the PI has established relationships with many NGOs who will help bring this to fruition._x000D_
_x000D_
_x000D_
</t>
  </si>
  <si>
    <t xml:space="preserve">In the context of the five review elements, please _x000D_
evaluate the strengths and weaknesses of the proposal with respect to intellectual merit._x000D_
_x000D_
The author proposes a program to study 2 stage stackleberg games.  In the first stage the committing agents chooses a game to play (pure-strategy), and in the second the committing agent chooses a strategy, which is then responded to by the second player.  This is mostly motivated by security games, where the first agent first must commit to facility locations, or a set of resources._x000D_
_x000D_
The proposal lays out two attacks: _x000D_
_x000D_
1) restrict the design space of the committer to a) a small support of strategies; b) choosing strategy supports from several disjoint sets; and c) choosing a set of resources.  The latter two of these will first be studied in the security game context.  The goal of this part of the proposal is designing fast algorithms / heuristics for the problem.  Though, it is also proposed to study a) theoretically as well.  _x000D_
_x000D_
2) allows the committer, for some cost, to modify the payments of the other agent.  The goal is to use quadratic programs to study properties of the solutions with the goal of greatly speeding up computation.  _x000D_
_x000D_
The PI also proposes studying the difference between the best and worst choices in the first round in several instances.  I am not sure why this is interesting in worst-case examples; but it might show the power of the approach in real-world settings.  _x000D_
_x000D_
_x000D_
The actives are novel and creative, but not transformative.  The plan is well thought out.  _x000D_
_x000D_
The PI is very well qualified.  She has tons of experience in security games and will be adequately resourced._x000D_
_x000D_
An additional note: the proposal's tone is a little defensive about two prior works in this area.  Instead I see this as a strength, saying the other people also feel this is an interesting area.  The PI does a good job of showing how the proposal goes beyond these works._x000D_
_x000D_
_x000D_
In the context of the five review elements, please _x000D_
evaluate the strengths and weaknesses of the proposal with respect to broader impacts._x000D_
_x000D_
This proposal, if successful with have applications to real security games: affecting security and environmental sustainability, conservation agencies, national security agencies, and law regulators who aim to protect wildlife, forest, fish etc._x000D_
Additionally, the PI has a history of supporting diversity in STEM through a variety of programs: WeCode, Hour of Code, and additional outreach activities. _x000D_
_x000D_
_x000D_
Please evaluate the strengths and _x000D_
weaknesses of the proposal with respect to any additional solicitation-specific review criteria, if _x000D_
applicable_x000D_
_x000D_
Unfortunately, the proposal makes no effort to explicitly show how this proposal will help to generate the ideas to propel her career forward, and explain the larger picture (within her research) that it is leading to.  It is not hard to guess an outline of what this might be, but details would be very helpful._x000D_
_x000D_
Summary Statement_x000D_
_x000D_
The proposal is well-scoped.  It addresses an interesting problem by a leader of the field.  It is well motivated by broader impacts.  Unfortunately, it does not explicitly address how this fits into the PIs longer term research goals._x000D_
_x000D_
Moreover, for an Algorithmic Foundations CRII, the theoretical directions need to be more fleshed out._x000D_
_x000D_
</t>
  </si>
  <si>
    <t>Stackelberg games (also called leader-follower games) have received increasing interest given its wide applications in power control, spectrum management, security and environmental sustainability domains. The structure of the game is critical in determining the outcome of the game. When the leader is capable of designing the game structure before playing the game, the design of the game structure is of the same importance as the choice of strategy to play in the game. For example, the strategic interaction between the rangers and the poachers can be considered as a Stackelberg game. Rangers? daily patrols often start from and end with patrol posts which cannot be moved frequently. Therefore, the locations of the patrol posts determine the action space of the rangers in the game. An unwise selection of locations would lead to a huge disadvantage for the rangers, and they cannot achieve a high payoff even if they use the optimal patrol strategy. Similar challenges exist in various domains ranging from pollution inspection, illegal logging prevention to flight protection, where the leader can design the game structure by either defining the action space or the payoff functions before playing the game. However, existing work on Stackelberg games has mostly focused on analyzing the equilibrium or computing the optimal strategy for the leader given a game structure, ignoring the leader?s capability of designing the game structure. The problem of game structure design coupled with strategy selection is under-explored. Solving the problem is challenging especially when the design space is large as the computation of optimal strategy is often hard by itself and the relation between the game structure and the leader?s optimal strategy is often embedded in a non-convex form.The goal of proposed research is to tackle the problem of strategy design in two-layered Stackelberg games where the leader can first modify the game structure within a given design space in the first layer, and then play the game against the follower by deploying a mixed strategy in the second layer. The central hypothesis of the proposed work is that we can simultaneously optimize the choice of the game structure and the leader's strategy efficiently. The intellectual merit of the proposed research rests in a solution for designing optimal strategies for the leader in two-layered Stackelberg games. Specifically, this proposal will develop(1) a framework to analyze the impact of game structure on the leader's optimal strategy and expected payoff in Stackelberg games,(2) mathematical models for the optimization problem in two-layered Stackelberg games,(3) rigorous analyses of the properties of the leader's optimal strategy,(4) algorithms that can handle a large and even infinite set of choices for the leader in the first layer and compute the leader's optimal or near-optimalstrategies efficiently. The proposed research is part of a larger plan to analyze the equilibrium of general two-layered games where all players can take actions to jointly determine the game structure.By combining the design of the game structure and the computation of equilibrium, the proposed research opens up new challenges and leads to new lines of research. In addition, the proposed research can lead to significant impact in security and environmental sustainability domains. In collaboration with several non-government organizations, we plan to apply the results of the proposed research to wildlife conservation and forest protection domains to improve the efficiency of law enforcement. We plan to not only publish our results in relevant conferences and journals but also to promote the tools resulted from the proposed research among practitioners in the environmental conservation community. The goals of the proposed project are in line with the PI's interests in the computation for social good, i.e., providing computational tools that can deliver benefits to the society now or in the near future. The PI also participates in many activities to promote diversity in STEM and to improve science communication. The PI will encourage engagement of undergraduate student in minority groups in the proposed research by sharing the PI's research experience in cross-cultural environments.</t>
  </si>
  <si>
    <t>CAREER 18</t>
  </si>
  <si>
    <t>1045 7495</t>
  </si>
  <si>
    <t>Tianbao</t>
  </si>
  <si>
    <t>University of Iowa</t>
  </si>
  <si>
    <t>E/V,V,V,V/G,G,G,G/F</t>
  </si>
  <si>
    <t>Pending, PM recommends decline</t>
  </si>
  <si>
    <t>CAREER: Locally Adaptive Learning and Optimization with Faster Global Convergence</t>
  </si>
  <si>
    <t>tianbao-yang@uiowa.edu</t>
  </si>
  <si>
    <t>DECL</t>
  </si>
  <si>
    <t>FEI</t>
  </si>
  <si>
    <t>E,V/G,G,G,F</t>
  </si>
  <si>
    <t>Decline, DDConcurred</t>
  </si>
  <si>
    <t>CRII: RI: Strategy Design in Two-Layered Stackelberg Games</t>
  </si>
  <si>
    <t>feifang@cmu.edu</t>
  </si>
  <si>
    <t>RI: CAREER/ML: Wong</t>
  </si>
  <si>
    <t xml:space="preserve"> E/V,V    ,G/F</t>
  </si>
  <si>
    <t>19 rated projects: 2 HC, 6 C, 10 LC, 1 NC</t>
  </si>
  <si>
    <t xml:space="preserve"> V/G,G,G</t>
  </si>
  <si>
    <t xml:space="preserve">tianbao-yang@uiowa.edu      </t>
  </si>
  <si>
    <t xml:space="preserve"> E,V/G,G</t>
  </si>
  <si>
    <t>CRII HLT and AI</t>
  </si>
  <si>
    <t xml:space="preserve"> G,F</t>
  </si>
  <si>
    <t>14 rated projects: 3 HC, 1 C, 9 LC, 1 NC</t>
  </si>
  <si>
    <t>James Donlon</t>
  </si>
  <si>
    <t xml:space="preserve">feifang@cmu.edu      </t>
  </si>
  <si>
    <t>https://collaboration.inside.nsf.gov/cise/pdonboarding/Shared Documents/RoboRA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</si>
</sst>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303">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ill>
        <patternFill>
          <fgColor indexed="64"/>
          <bgColor rgb="FFFBC3AF" tint="0.54997405926694543"/>
        </patternFill>
      </fill>
    </dxf>
    <dxf>
      <border>
        <top style="thin">
          <color auto="1"/>
        </top>
      </border>
    </dxf>
    <dxf>
      <fill>
        <patternFill>
          <fgColor indexed="64"/>
          <bgColor rgb="FFEBF5CD"/>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auto="1"/>
        <name val="Calibri"/>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302"/>
      <tableStyleElement type="headerRow" dxfId="301"/>
      <tableStyleElement type="totalRow" dxfId="300"/>
      <tableStyleElement type="firstRowStripe" dxfId="299"/>
    </tableStyle>
    <tableStyle name="OmitTableStyle" pivot="0" count="6">
      <tableStyleElement type="wholeTable" dxfId="298"/>
      <tableStyleElement type="headerRow" dxfId="297"/>
      <tableStyleElement type="totalRow" dxfId="296"/>
      <tableStyleElement type="firstColumn" dxfId="295"/>
      <tableStyleElement type="lastColumn" dxfId="294"/>
      <tableStyleElement type="firstRowStripe" dxfId="293"/>
    </tableStyle>
    <tableStyle name="TableFall" pivot="0" count="4">
      <tableStyleElement type="wholeTable" dxfId="292"/>
      <tableStyleElement type="headerRow" dxfId="291"/>
      <tableStyleElement type="totalRow" dxfId="290"/>
      <tableStyleElement type="firstRowStripe" dxfId="289"/>
    </tableStyle>
    <tableStyle name="TableStyleMedium3 2" pivot="0" count="7">
      <tableStyleElement type="wholeTable" dxfId="288"/>
      <tableStyleElement type="headerRow" dxfId="287"/>
      <tableStyleElement type="totalRow" dxfId="286"/>
      <tableStyleElement type="firstColumn" dxfId="285"/>
      <tableStyleElement type="lastColumn" dxfId="284"/>
      <tableStyleElement type="firstRowStripe" dxfId="283"/>
      <tableStyleElement type="firstColumnStripe" dxfId="282"/>
    </tableStyle>
    <tableStyle name="TableStyleMedium7 2" pivot="0" count="7">
      <tableStyleElement type="wholeTable" dxfId="281"/>
      <tableStyleElement type="headerRow" dxfId="280"/>
      <tableStyleElement type="totalRow" dxfId="279"/>
      <tableStyleElement type="firstColumn" dxfId="278"/>
      <tableStyleElement type="lastColumn" dxfId="277"/>
      <tableStyleElement type="firstRowStripe" dxfId="276"/>
      <tableStyleElement type="firstColumnStripe" dxfId="275"/>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882118"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13</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288471</xdr:colOff>
          <xdr:row>5</xdr:row>
          <xdr:rowOff>59871</xdr:rowOff>
        </xdr:from>
        <xdr:to>
          <xdr:col>8</xdr:col>
          <xdr:colOff>152400</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7</xdr:row>
          <xdr:rowOff>38100</xdr:rowOff>
        </xdr:from>
        <xdr:to>
          <xdr:col>8</xdr:col>
          <xdr:colOff>163286</xdr:colOff>
          <xdr:row>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absolute">
    <xdr:from>
      <xdr:col>4</xdr:col>
      <xdr:colOff>954141</xdr:colOff>
      <xdr:row>0</xdr:row>
      <xdr:rowOff>0</xdr:rowOff>
    </xdr:from>
    <xdr:to>
      <xdr:col>7</xdr:col>
      <xdr:colOff>251733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359884"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2.475538194441" createdVersion="6" refreshedVersion="6" minRefreshableVersion="3" recordCount="22">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10-02T16:59: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2"/>
    </cacheField>
    <cacheField name="RecRkMin" numFmtId="2">
      <sharedItems containsSemiMixedTypes="0" containsString="0" containsNumber="1" minValue="-0.99999998999999995" maxValue="4"/>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Awd RAt.docm"/>
        <s v="Decline RAt.docm"/>
        <m/>
        <s v="Std Decline RAt.docm"/>
        <s v="Awd RAt.docx" u="1"/>
        <s v="templateFilename_RAt.docx" u="1"/>
        <s v="Std Decline RAt.docx" u="1"/>
        <s v="Decline RAt.docx"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8"/>
    </cacheField>
    <cacheField name="Nunmkd" numFmtId="0">
      <sharedItems containsString="0" containsBlank="1" containsNumber="1" containsInteger="1" minValue="0" maxValue="8"/>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8"/>
    </cacheField>
    <cacheField name="avg_score" numFmtId="2">
      <sharedItems containsSemiMixedTypes="0" containsString="0" containsNumber="1" minValue="4.5" maxValue="8.5"/>
    </cacheField>
    <cacheField name="maxScore" numFmtId="0">
      <sharedItems containsSemiMixedTypes="0" containsString="0" containsNumber="1" containsInteger="1" minValue="5" maxValue="9"/>
    </cacheField>
    <cacheField name="allReviews" numFmtId="0">
      <sharedItems/>
    </cacheField>
    <cacheField name="last_rev_date" numFmtId="165">
      <sharedItems containsSemiMixedTypes="0" containsNonDate="0" containsDate="1" containsString="0" minDate="2000-01-01T00:00:00" maxDate="2017-12-10T23:21:00"/>
    </cacheField>
    <cacheField name="rqst_tot" numFmtId="166">
      <sharedItems containsSemiMixedTypes="0" containsString="0" containsNumber="1" containsInteger="1" minValue="839097" maxValue="99999999"/>
    </cacheField>
    <cacheField name="budg_tot" numFmtId="166">
      <sharedItems containsSemiMixedTypes="0" containsString="0" containsNumber="1" containsInteger="1" minValue="839097"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9-02T00:00:00"/>
    </cacheField>
    <cacheField name="rqst_mnth_cnt" numFmtId="0">
      <sharedItems containsSemiMixedTypes="0" containsString="0" containsNumber="1" containsInteger="1" minValue="36" maxValue="48"/>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2-06T00:26:00"/>
    </cacheField>
    <cacheField name="panl_id0" numFmtId="0">
      <sharedItems/>
    </cacheField>
    <cacheField name="RCOM_TXT0" numFmtId="0">
      <sharedItems/>
    </cacheField>
    <cacheField name="rank0" numFmtId="0">
      <sharedItems containsString="0" containsBlank="1" containsNumber="1" containsInteger="1" minValue="1" maxValue="99"/>
    </cacheField>
    <cacheField name="panl_name0" numFmtId="0">
      <sharedItems/>
    </cacheField>
    <cacheField name="panl_end0" numFmtId="165">
      <sharedItems containsSemiMixedTypes="0" containsNonDate="0" containsDate="1" containsString="0" minDate="2000-01-01T00:00:00" maxDate="2017-12-09T00:00:00"/>
    </cacheField>
    <cacheField name="revs0" numFmtId="0">
      <sharedItems/>
    </cacheField>
    <cacheField name="PanlString0" numFmtId="0">
      <sharedItems/>
    </cacheField>
    <cacheField name="pnlst0" numFmtId="0">
      <sharedItems containsSemiMixedTypes="0" containsString="0" containsNumber="1" containsInteger="1" minValue="0" maxValue="10"/>
    </cacheField>
    <cacheField name="confl0" numFmtId="0">
      <sharedItems containsString="0" containsBlank="1" containsNumber="1" containsInteger="1" minValue="0" maxValue="4"/>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17-12-15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9"/>
    </cacheField>
    <cacheField name="confl1" numFmtId="0">
      <sharedItems containsString="0" containsBlank="1" containsNumber="1" containsInteger="1" minValue="0" maxValue="1"/>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397158" maxValue="99999999"/>
    </cacheField>
    <cacheField name="b0tot" numFmtId="166">
      <sharedItems containsSemiMixedTypes="0" containsString="0" containsNumber="1" containsInteger="1" minValue="397158" maxValue="99999999"/>
    </cacheField>
    <cacheField name="PRC0" numFmtId="0">
      <sharedItems containsBlank="1"/>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150000" maxValue="99999999"/>
    </cacheField>
    <cacheField name="b1tot" numFmtId="166">
      <sharedItems containsString="0" containsBlank="1" containsNumber="1" containsInteger="1" minValue="150000"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386998" maxValue="99999999"/>
    </cacheField>
    <cacheField name="b2tot" numFmtId="166">
      <sharedItems containsString="0" containsBlank="1" containsNumber="1" containsInteger="1" minValue="386998"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3T11:19:13"/>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3.486845601852" createdVersion="6" refreshedVersion="6"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041Y" u="1"/>
        <s v="1139" u="1"/>
        <s v="7796" u="1"/>
        <s v="1253" u="1"/>
        <s v="9150" u="1"/>
        <s v="8078"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5" u="1"/>
        <n v="2020" u="1"/>
        <n v="2018" u="1"/>
        <n v="2021" u="1"/>
        <n v="2019"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20T16:38:00"/>
    <s v="NSF 17-571"/>
    <s v="05010000"/>
    <s v="7798"/>
    <s v="NEW"/>
    <s v="PEND"/>
    <s v="4110"/>
    <s v="FY18MEDCTX"/>
    <s v="NAMLA"/>
    <m/>
    <n v="1"/>
    <n v="1.01"/>
    <s v="HC"/>
    <m/>
    <m/>
    <x v="1"/>
    <s v="RA 1762299 Dillig"/>
    <m/>
    <m/>
    <s v="Nina Amla"/>
    <s v="Cognizant Program Director"/>
    <s v="eJ"/>
    <s v="isil@cs.utexas.edu"/>
    <s v="PIs@"/>
    <s v="CCF"/>
    <s v="1762299"/>
    <n v="4"/>
    <n v="4"/>
    <m/>
    <s v=""/>
    <n v="8"/>
    <n v="8.5"/>
    <n v="9"/>
    <s v="E,E,E/V,E/V"/>
    <d v="2017-12-05T08:29:00"/>
    <n v="1200000"/>
    <n v="1200000"/>
    <n v="0"/>
    <d v="2018-09-01T00:00:00"/>
    <n v="48"/>
    <s v="SHF: Medium: Collaborative Research: Computer-Aided Programming for Data Science"/>
    <m/>
    <m/>
    <m/>
    <s v="P180456"/>
    <s v="Highly Competitive"/>
    <n v="1"/>
    <s v="SHF FY18 FM/PL Medium Panel"/>
    <d v="2017-12-08T00:00:00"/>
    <s v=" E,E,E/V,E/V"/>
    <s v="21 rated projects: 1 HC, 8 C, 11 LC, 1 NC"/>
    <n v="10"/>
    <n v="1"/>
    <m/>
    <m/>
    <m/>
    <m/>
    <m/>
    <m/>
    <m/>
    <m/>
    <m/>
    <m/>
    <m/>
    <m/>
    <m/>
    <m/>
    <m/>
    <m/>
    <m/>
    <m/>
    <s v="1762299"/>
    <s v="Dillig"/>
    <s v="Isil"/>
    <s v="U of Texas Austin"/>
    <n v="1050000"/>
    <n v="1050000"/>
    <m/>
    <s v="1762363"/>
    <s v="Goncalves Martins"/>
    <s v="Ruben"/>
    <s v="Carnegie Mellon University"/>
    <n v="150000"/>
    <n v="150000"/>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isil@cs.utexas.edu"/>
    <s v="isil@cs.utexas.edu;rubenm@andrew.cmu.edu     "/>
  </r>
  <r>
    <m/>
    <d v="2017-09-27T10:37:00"/>
    <s v="NSF 17-571"/>
    <s v="05010000"/>
    <s v="7798"/>
    <s v="NEW"/>
    <s v="PEND"/>
    <s v="4110"/>
    <s v="FY18MEDCTX"/>
    <s v="NAMLA"/>
    <m/>
    <n v="1"/>
    <n v="2.02"/>
    <s v="C"/>
    <m/>
    <m/>
    <x v="1"/>
    <s v="RA 1763514 Alur"/>
    <m/>
    <m/>
    <s v="Nina Amla"/>
    <s v="Cognizant Program Director"/>
    <s v="eJ"/>
    <s v="alur@cis.upenn.edu"/>
    <s v="PIs@"/>
    <s v="CCF"/>
    <s v="1763514"/>
    <n v="4"/>
    <n v="4"/>
    <m/>
    <s v=""/>
    <n v="6"/>
    <n v="7"/>
    <n v="9"/>
    <s v="E,V,V/G,V/G"/>
    <d v="2017-12-07T10:21:00"/>
    <n v="1200000"/>
    <n v="1200000"/>
    <n v="0"/>
    <d v="2018-07-01T00:00:00"/>
    <n v="48"/>
    <s v="CCF: Medium: Enabling Real-Time Quantitative Decision Making over Streaming Data"/>
    <n v="1"/>
    <s v=" V/G"/>
    <d v="2017-12-06T00:26:00"/>
    <s v="P180456"/>
    <s v="Competitive"/>
    <n v="2"/>
    <s v="SHF FY18 FM/PL Medium Panel"/>
    <d v="2017-12-08T00:00:00"/>
    <s v=" E,V,V/G"/>
    <s v="21 rated projects: 1 HC, 8 C, 11 LC, 1 NC"/>
    <n v="10"/>
    <n v="1"/>
    <m/>
    <m/>
    <m/>
    <m/>
    <m/>
    <m/>
    <m/>
    <m/>
    <m/>
    <m/>
    <m/>
    <m/>
    <m/>
    <m/>
    <m/>
    <m/>
    <m/>
    <m/>
    <s v="1763514"/>
    <s v="Alur"/>
    <s v="Rajeev"/>
    <s v="U of Pennsylvania"/>
    <n v="1200000"/>
    <n v="1200000"/>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alur@cis.upenn.edu"/>
    <s v="alur@cis.upenn.edu      "/>
  </r>
  <r>
    <m/>
    <d v="2017-09-27T16:22:00"/>
    <s v="NSF 17-571"/>
    <s v="05010000"/>
    <s v="7798"/>
    <s v="NEW"/>
    <s v="PEND"/>
    <s v="4110"/>
    <s v="FY18MEDCTX"/>
    <s v="NAMLA"/>
    <m/>
    <n v="1"/>
    <n v="2.02"/>
    <s v="C"/>
    <m/>
    <m/>
    <x v="1"/>
    <s v="RA 1763957 D'Antoni"/>
    <m/>
    <m/>
    <s v="Nina Amla"/>
    <s v="Cognizant Program Director"/>
    <s v="eJ"/>
    <s v="loris@cs.wisc.edu"/>
    <s v="PIs@"/>
    <s v="CCF"/>
    <s v="1763957"/>
    <n v="4"/>
    <n v="4"/>
    <m/>
    <s v=""/>
    <n v="6"/>
    <n v="7.75"/>
    <n v="9"/>
    <s v="E,E,V,V/G"/>
    <d v="2017-12-07T08:45:00"/>
    <n v="1199996"/>
    <n v="1199996"/>
    <n v="0"/>
    <d v="2018-09-01T00:00:00"/>
    <n v="48"/>
    <s v="SHF: Medium: Collaborative research: Combining Formal and Data-Driven Methods for Scaling and Expanding Automatic Feedback in Data Science Education"/>
    <m/>
    <m/>
    <m/>
    <s v="P180456"/>
    <s v="Competitive"/>
    <n v="2"/>
    <s v="SHF FY18 FM/PL Medium Panel"/>
    <d v="2017-12-08T00:00:00"/>
    <s v=" E,E,V,V/G"/>
    <s v="21 rated projects: 1 HC, 8 C, 11 LC, 1 NC"/>
    <n v="10"/>
    <m/>
    <m/>
    <m/>
    <m/>
    <m/>
    <m/>
    <m/>
    <m/>
    <m/>
    <m/>
    <m/>
    <m/>
    <m/>
    <m/>
    <m/>
    <m/>
    <m/>
    <m/>
    <m/>
    <s v="1763957"/>
    <s v="D'Antoni"/>
    <s v="Loris"/>
    <s v="U of Wisconsin Madison"/>
    <n v="600000"/>
    <n v="600000"/>
    <s v="7924 8206"/>
    <s v="1763577"/>
    <s v="Hartmann"/>
    <s v="Bjoern"/>
    <s v="U of Cal Berkeley"/>
    <n v="599996"/>
    <n v="599996"/>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loris@cs.wisc.edu"/>
    <s v="loris@cs.wisc.edu;bjoern@eecs.berkeley.edu     "/>
  </r>
  <r>
    <m/>
    <d v="2017-09-27T16:55:00"/>
    <s v="NSF 17-571"/>
    <s v="05010000"/>
    <s v="7798"/>
    <s v="NEW"/>
    <s v="PEND"/>
    <s v="4110"/>
    <s v="FY18MEDCTX"/>
    <s v="NAMLA"/>
    <m/>
    <n v="1"/>
    <n v="2.0499999999999998"/>
    <s v="C"/>
    <m/>
    <m/>
    <x v="1"/>
    <s v="RA 1764018 Chaudhuri"/>
    <m/>
    <m/>
    <s v="Nina Amla"/>
    <s v="Cognizant Program Director"/>
    <s v="eJ"/>
    <s v="swarat@rice.edu"/>
    <s v="PIs@"/>
    <s v="CCF"/>
    <s v="1764018"/>
    <n v="4"/>
    <n v="4"/>
    <m/>
    <s v=""/>
    <n v="6"/>
    <n v="6.75"/>
    <n v="8"/>
    <s v="E/V,V,V/G,V/G"/>
    <d v="2017-12-07T08:46:00"/>
    <n v="1200000"/>
    <n v="1200000"/>
    <n v="0"/>
    <d v="2018-08-01T00:00:00"/>
    <n v="36"/>
    <s v="SHF: Medium: Guiding Formal Methods with Discovered Knowledge"/>
    <m/>
    <m/>
    <m/>
    <s v="P180456"/>
    <s v="Competitive"/>
    <n v="5"/>
    <s v="SHF FY18 FM/PL Medium Panel"/>
    <d v="2017-12-08T00:00:00"/>
    <s v=" E/V,V,V/G,V/G"/>
    <s v="21 rated projects: 1 HC, 8 C, 11 LC, 1 NC"/>
    <n v="10"/>
    <n v="1"/>
    <m/>
    <m/>
    <m/>
    <m/>
    <m/>
    <m/>
    <m/>
    <m/>
    <m/>
    <m/>
    <m/>
    <m/>
    <m/>
    <m/>
    <m/>
    <m/>
    <m/>
    <m/>
    <s v="1764018"/>
    <s v="Chaudhuri"/>
    <s v="Swarat"/>
    <s v="William Marsh Rice Univ"/>
    <n v="1200000"/>
    <n v="1200000"/>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warat@rice.edu"/>
    <s v="swarat@rice.edu      "/>
  </r>
  <r>
    <m/>
    <d v="2017-09-26T22:36:00"/>
    <s v="NSF 17-571"/>
    <s v="05010000"/>
    <s v="7798"/>
    <s v="NEW"/>
    <s v="PEND"/>
    <s v="4110"/>
    <s v="FY18MEDCTX"/>
    <s v="NAMLA"/>
    <m/>
    <n v="1"/>
    <n v="2.08"/>
    <s v="C"/>
    <m/>
    <m/>
    <x v="1"/>
    <s v="RA 1763442 Myers"/>
    <m/>
    <m/>
    <s v="Nina Amla"/>
    <s v="Cognizant Program Director"/>
    <s v="eJ"/>
    <s v="myers@ece.utah.edu"/>
    <s v="PIs@"/>
    <s v="CCF"/>
    <s v="1763442"/>
    <n v="4"/>
    <n v="4"/>
    <m/>
    <s v="Y"/>
    <n v="3"/>
    <n v="6.25"/>
    <n v="8"/>
    <s v="E/V,V,V,F"/>
    <d v="2017-12-08T08:17:00"/>
    <n v="1199739"/>
    <n v="1199739"/>
    <n v="0"/>
    <d v="2018-04-01T00:00:00"/>
    <n v="48"/>
    <s v="SHF:Medium:Collaborative Research: An Efficient Framework for the Probabilistic Verification of Safety-Critical Systems"/>
    <n v="1"/>
    <s v=" E/V"/>
    <d v="2017-12-05T10:33:00"/>
    <s v="P180456"/>
    <s v="Competitive"/>
    <n v="8"/>
    <s v="SHF FY18 FM/PL Medium Panel"/>
    <d v="2017-12-08T00:00:00"/>
    <s v=" V,V,F"/>
    <s v="21 rated projects: 1 HC, 8 C, 11 LC, 1 NC"/>
    <n v="10"/>
    <m/>
    <m/>
    <m/>
    <m/>
    <m/>
    <m/>
    <m/>
    <m/>
    <m/>
    <m/>
    <m/>
    <m/>
    <m/>
    <m/>
    <m/>
    <m/>
    <m/>
    <m/>
    <m/>
    <s v="1763442"/>
    <s v="Myers"/>
    <s v="Chris"/>
    <s v="University of Utah"/>
    <n v="397158"/>
    <n v="397158"/>
    <s v="7924 8206"/>
    <s v="1763334"/>
    <s v="Zheng"/>
    <s v="Hao"/>
    <s v="U of South Florida"/>
    <n v="400086"/>
    <n v="400086"/>
    <s v="7924 8206"/>
    <s v="1763433"/>
    <s v="Zhang"/>
    <s v="Zhen"/>
    <s v="Utah State University"/>
    <n v="402495"/>
    <n v="402495"/>
    <s v="7924 8206"/>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myers@ece.utah.edu"/>
    <s v="myers@ece.utah.edu;zheng@cse.usf.edu;zhen.zhang@usu.edu    "/>
  </r>
  <r>
    <m/>
    <d v="2017-09-26T16:06:00"/>
    <s v="NSF 17-571"/>
    <s v="05010000"/>
    <s v="7798"/>
    <s v="NEW"/>
    <s v="PEND"/>
    <s v="4110"/>
    <s v="FY18MEDCTX"/>
    <s v="NAMLA"/>
    <m/>
    <n v="1"/>
    <n v="3"/>
    <s v="LC"/>
    <m/>
    <m/>
    <x v="1"/>
    <s v="RA 1763384 Kincaid"/>
    <m/>
    <m/>
    <s v="Nina Amla"/>
    <s v="Cognizant Program Director"/>
    <s v="eJ"/>
    <s v="zkincaid@cs.princeton.edu"/>
    <s v="PIs@"/>
    <s v="CCF"/>
    <s v="1763384"/>
    <n v="4"/>
    <n v="4"/>
    <m/>
    <s v=""/>
    <n v="5"/>
    <n v="5.75"/>
    <n v="7"/>
    <s v="V,V/G,G,G"/>
    <d v="2017-12-03T23:28:00"/>
    <n v="1200000"/>
    <n v="1200000"/>
    <n v="0"/>
    <d v="2018-07-01T00:00:00"/>
    <n v="48"/>
    <s v="SHF: Medium: Collaborative Research: Algebraic Program-Analysis Techniques for Invariant Synthesis"/>
    <m/>
    <m/>
    <m/>
    <s v="P180456"/>
    <s v="Low Competitive"/>
    <m/>
    <s v="SHF FY18 FM/PL Medium Panel"/>
    <d v="2017-12-08T00:00:00"/>
    <s v=" V,V/G,G,G"/>
    <s v="21 rated projects: 1 HC, 8 C, 11 LC, 1 NC"/>
    <n v="10"/>
    <n v="2"/>
    <m/>
    <m/>
    <m/>
    <m/>
    <m/>
    <m/>
    <m/>
    <m/>
    <m/>
    <m/>
    <m/>
    <m/>
    <m/>
    <m/>
    <m/>
    <m/>
    <m/>
    <m/>
    <s v="1763384"/>
    <s v="Kincaid"/>
    <s v="Zachary"/>
    <s v="Princeton University"/>
    <n v="600000"/>
    <n v="600000"/>
    <m/>
    <s v="1763170"/>
    <s v="Reps"/>
    <s v="Thomas"/>
    <s v="U of Wisconsin Madison"/>
    <n v="600000"/>
    <n v="600000"/>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zkincaid@cs.princeton.edu"/>
    <s v="zkincaid@cs.princeton.edu;reps@cs.wisc.edu     "/>
  </r>
  <r>
    <m/>
    <d v="2017-09-27T10:44:00"/>
    <s v="NSF 17-571"/>
    <s v="05010000"/>
    <s v="7798"/>
    <s v="NEW"/>
    <s v="PEND"/>
    <s v="4110"/>
    <s v="FY18MEDCTX"/>
    <s v="NAMLA"/>
    <m/>
    <n v="1"/>
    <n v="3"/>
    <s v="LC"/>
    <m/>
    <m/>
    <x v="1"/>
    <s v="RA 1763518 Foster"/>
    <m/>
    <m/>
    <s v="Nina Amla"/>
    <s v="Cognizant Program Director"/>
    <s v="eJ"/>
    <s v="jfoster@cs.umd.edu"/>
    <s v="PIs@"/>
    <s v="CCF"/>
    <s v="1763518"/>
    <n v="4"/>
    <n v="4"/>
    <m/>
    <s v=""/>
    <n v="3"/>
    <n v="4.5"/>
    <n v="6"/>
    <s v="V/G,G,G/F,F"/>
    <d v="2017-12-07T13:32:00"/>
    <n v="1199734"/>
    <n v="1199734"/>
    <n v="0"/>
    <d v="2018-07-01T00:00:00"/>
    <n v="36"/>
    <s v="SHF: Medium: Collaborative Research: Scalable Program Synthesis for Object-Oriented Languages"/>
    <m/>
    <m/>
    <m/>
    <s v="P180456"/>
    <s v="Low Competitive"/>
    <m/>
    <s v="SHF FY18 FM/PL Medium Panel"/>
    <d v="2017-12-08T00:00:00"/>
    <s v=" V/G,G,G/F,F"/>
    <s v="21 rated projects: 1 HC, 8 C, 11 LC, 1 NC"/>
    <n v="10"/>
    <n v="2"/>
    <m/>
    <m/>
    <m/>
    <m/>
    <m/>
    <m/>
    <m/>
    <m/>
    <m/>
    <m/>
    <m/>
    <m/>
    <m/>
    <m/>
    <m/>
    <m/>
    <m/>
    <m/>
    <s v="1763518"/>
    <s v="Foster"/>
    <s v="Jeffrey"/>
    <s v="U of MD College Park"/>
    <n v="427810"/>
    <n v="427810"/>
    <s v="7924 8206"/>
    <s v="1763472"/>
    <s v="Nguyen"/>
    <s v="ThanhVu"/>
    <s v="U of Nebraska-Lincoln"/>
    <n v="384926"/>
    <n v="384926"/>
    <s v="7924 8206"/>
    <s v="1763556"/>
    <s v="Qiu"/>
    <s v="Xiaokang"/>
    <s v="Purdue University"/>
    <n v="386998"/>
    <n v="386998"/>
    <s v="7924 8206"/>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jfoster@cs.umd.edu"/>
    <s v="jfoster@cs.umd.edu;tnguyen@unl.edu;xkqiu@purdue.edu    "/>
  </r>
  <r>
    <m/>
    <d v="2017-09-27T15:11:00"/>
    <s v="NSF 17-571"/>
    <s v="05010000"/>
    <s v="7798"/>
    <s v="NEW"/>
    <s v="PEND"/>
    <s v="4110"/>
    <s v="FY18MEDCTX"/>
    <s v="NAMLA"/>
    <m/>
    <n v="1"/>
    <n v="3"/>
    <s v="LC"/>
    <m/>
    <m/>
    <x v="1"/>
    <s v="RA 1763833 Basu"/>
    <m/>
    <m/>
    <s v="Nina Amla"/>
    <s v="Cognizant Program Director"/>
    <s v="eJ"/>
    <s v="sbasu@cs.iastate.edu"/>
    <s v="PIs@"/>
    <s v="CCF"/>
    <s v="1763833"/>
    <n v="4"/>
    <n v="4"/>
    <m/>
    <s v=""/>
    <n v="3"/>
    <n v="4.5"/>
    <n v="6"/>
    <s v="V/G,G,G/F,F"/>
    <d v="2017-12-08T09:34:00"/>
    <n v="1199943"/>
    <n v="1199943"/>
    <n v="0"/>
    <d v="2018-08-01T00:00:00"/>
    <n v="48"/>
    <s v="SHF: Medium: Collaborative Research: Representing and Reasoning with Qualitative Multi-Stakeholder Preferences"/>
    <n v="1"/>
    <s v=" V/G"/>
    <d v="2017-11-26T21:50:00"/>
    <s v="P180456"/>
    <s v="Low Competitive"/>
    <m/>
    <s v="SHF FY18 FM/PL Medium Panel"/>
    <d v="2017-12-08T00:00:00"/>
    <s v=" G,G/F,F"/>
    <s v="21 rated projects: 1 HC, 8 C, 11 LC, 1 NC"/>
    <n v="10"/>
    <m/>
    <m/>
    <m/>
    <m/>
    <m/>
    <m/>
    <m/>
    <m/>
    <m/>
    <m/>
    <m/>
    <m/>
    <m/>
    <m/>
    <m/>
    <m/>
    <m/>
    <m/>
    <m/>
    <s v="1763833"/>
    <s v="Basu"/>
    <s v="Samik"/>
    <s v="Iowa State University"/>
    <n v="520907"/>
    <n v="520907"/>
    <s v="7924 8206"/>
    <s v="1763792"/>
    <s v="Honavar"/>
    <s v="Vasant"/>
    <s v="PA St U University Park"/>
    <n v="679036"/>
    <n v="679036"/>
    <s v="7924 8206"/>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basu@cs.iastate.edu"/>
    <s v="sbasu@cs.iastate.edu;vhonavar@ist.psu.edu     "/>
  </r>
  <r>
    <m/>
    <d v="2017-09-27T16:28:00"/>
    <s v="NSF 17-571"/>
    <s v="05010000"/>
    <s v="7798"/>
    <s v="NEW"/>
    <s v="PEND"/>
    <s v="4110"/>
    <s v="FY18MEDCTX"/>
    <s v="NAMLA"/>
    <m/>
    <n v="1"/>
    <n v="3"/>
    <s v="LC"/>
    <m/>
    <m/>
    <x v="1"/>
    <s v="RA 1763967 Sistla"/>
    <m/>
    <m/>
    <s v="Nina Amla"/>
    <s v="Cognizant Program Director"/>
    <s v="eJ"/>
    <s v="sistla@cs.uic.edu"/>
    <s v="PIs@"/>
    <s v="CCF"/>
    <s v="1763967"/>
    <n v="3"/>
    <n v="3"/>
    <m/>
    <s v=""/>
    <n v="5"/>
    <n v="6"/>
    <n v="8"/>
    <s v="E/V,G,G"/>
    <d v="2017-12-08T04:27:00"/>
    <n v="1199993"/>
    <n v="1199993"/>
    <n v="0"/>
    <d v="2018-08-15T00:00:00"/>
    <n v="36"/>
    <s v="SHF: Medium: Assuring Safety of Physical Systems Controlled Through Soft Computing"/>
    <m/>
    <m/>
    <m/>
    <s v="P180456"/>
    <s v="Low Competitive"/>
    <m/>
    <s v="SHF FY18 FM/PL Medium Panel"/>
    <d v="2017-12-08T00:00:00"/>
    <s v=" E/V,G,G"/>
    <s v="21 rated projects: 1 HC, 8 C, 11 LC, 1 NC"/>
    <n v="10"/>
    <m/>
    <m/>
    <m/>
    <m/>
    <m/>
    <m/>
    <m/>
    <m/>
    <m/>
    <m/>
    <m/>
    <m/>
    <m/>
    <m/>
    <m/>
    <m/>
    <m/>
    <m/>
    <m/>
    <s v="1763967"/>
    <s v="Sistla"/>
    <s v="Aravinda"/>
    <s v="U of Illinois Chicago"/>
    <n v="1199993"/>
    <n v="1199993"/>
    <s v="7924 8206"/>
    <m/>
    <m/>
    <m/>
    <m/>
    <m/>
    <m/>
    <m/>
    <m/>
    <m/>
    <m/>
    <m/>
    <m/>
    <m/>
    <m/>
    <m/>
    <m/>
    <m/>
    <m/>
    <m/>
    <m/>
    <m/>
    <m/>
    <m/>
    <m/>
    <m/>
    <m/>
    <m/>
    <m/>
    <m/>
    <m/>
    <m/>
    <m/>
    <m/>
    <m/>
    <m/>
    <m/>
    <m/>
    <m/>
    <m/>
    <m/>
    <m/>
    <m/>
    <s v="Computing and Communication Foundations (CCF): Core Programs"/>
    <s v="Division of Computing and Communication Foundations"/>
    <s v="SOFTWARE &amp; HARDWARE FOUNDATION"/>
    <s v="Nina Amla"/>
    <s v="Pending, Review Package Produced"/>
    <s v="New Project"/>
    <s v="Research Grants-Not Elsewh Cla"/>
    <s v="CSE"/>
    <s v="Direct For Computer &amp; Info Scie &amp; Enginr"/>
    <d v="2017-12-13T11:19:13"/>
    <s v="sistla@cs.uic.edu"/>
    <s v="sistla@cs.uic.edu      "/>
  </r>
  <r>
    <m/>
    <d v="2017-09-26T16:51:00"/>
    <s v="NSF 17-571"/>
    <s v="05010000"/>
    <s v="7798"/>
    <s v="NEW"/>
    <s v="PEND"/>
    <s v="4110"/>
    <s v="FY18MEDCTX"/>
    <s v="ABANERJ"/>
    <m/>
    <n v="1"/>
    <n v="2.04"/>
    <s v="C"/>
    <m/>
    <m/>
    <x v="2"/>
    <s v="Awd  1763399 Shao"/>
    <m/>
    <m/>
    <s v="Anindya Banerjee"/>
    <s v="Cognizant Program Director"/>
    <s v="eJ"/>
    <s v="shao@cs.yale.edu"/>
    <s v="PIs@"/>
    <s v="CCF"/>
    <s v="1763399"/>
    <n v="4"/>
    <n v="4"/>
    <m/>
    <s v=""/>
    <n v="7"/>
    <n v="7"/>
    <n v="7"/>
    <s v="V,V,V,V"/>
    <d v="2017-12-08T09:38:00"/>
    <n v="901435"/>
    <n v="901435"/>
    <n v="0"/>
    <d v="2018-06-01T00:00:00"/>
    <n v="42"/>
    <s v="SHF: Medium: DeepSEA: A Language for Programming and Synthesizing Certified Software"/>
    <m/>
    <m/>
    <m/>
    <s v="P180456"/>
    <s v="Competitive"/>
    <n v="4"/>
    <s v="SHF FY18 FM/PL Medium Panel"/>
    <d v="2017-12-08T00:00:00"/>
    <s v=" V,V,V,V"/>
    <s v="21 rated projects: 1 HC, 8 C, 11 LC, 1 NC"/>
    <n v="10"/>
    <m/>
    <m/>
    <m/>
    <m/>
    <m/>
    <m/>
    <m/>
    <m/>
    <m/>
    <m/>
    <m/>
    <m/>
    <m/>
    <m/>
    <m/>
    <m/>
    <m/>
    <m/>
    <m/>
    <s v="1763399"/>
    <s v="Shao"/>
    <s v="Zhong"/>
    <s v="Yale University"/>
    <n v="901435"/>
    <n v="901435"/>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hao@cs.yale.edu"/>
    <s v="shao@cs.yale.edu      "/>
  </r>
  <r>
    <m/>
    <d v="2017-09-27T16:03:00"/>
    <s v="NSF 17-571"/>
    <s v="05010000"/>
    <s v="7798"/>
    <s v="NEW"/>
    <s v="PEND"/>
    <s v="4110"/>
    <s v="FY18MEDCTX"/>
    <s v="ABANERJ"/>
    <m/>
    <n v="1"/>
    <n v="2.0499999999999998"/>
    <s v="C"/>
    <m/>
    <m/>
    <x v="2"/>
    <s v="Awd  1763922 Tobin-Hochstadt"/>
    <m/>
    <m/>
    <s v="Anindya Banerjee"/>
    <s v="Cognizant Program Director"/>
    <s v="eJ"/>
    <s v="samth@cs.indiana.edu"/>
    <s v="PIs@"/>
    <s v="CCF"/>
    <s v="1763922"/>
    <n v="4"/>
    <n v="4"/>
    <m/>
    <s v=""/>
    <n v="5"/>
    <n v="6.5"/>
    <n v="9"/>
    <s v="E,V,G,G"/>
    <d v="2017-12-08T11:10:00"/>
    <n v="1192054"/>
    <n v="1192054"/>
    <n v="0"/>
    <d v="2018-07-01T00:00:00"/>
    <n v="36"/>
    <s v="SHF: MEDIUM: Performant Sound Gradual Typing"/>
    <m/>
    <m/>
    <m/>
    <s v="P180456"/>
    <s v="Competitive"/>
    <n v="5"/>
    <s v="SHF FY18 FM/PL Medium Panel"/>
    <d v="2017-12-08T00:00:00"/>
    <s v=" E,V,G,G"/>
    <s v="21 rated projects: 1 HC, 8 C, 11 LC, 1 NC"/>
    <n v="10"/>
    <m/>
    <m/>
    <m/>
    <m/>
    <m/>
    <m/>
    <m/>
    <m/>
    <m/>
    <m/>
    <m/>
    <m/>
    <m/>
    <m/>
    <m/>
    <m/>
    <m/>
    <m/>
    <m/>
    <s v="1763922"/>
    <s v="Tobin-Hochstadt"/>
    <s v="Sam"/>
    <s v="Indiana University"/>
    <n v="1192054"/>
    <n v="1192054"/>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amth@cs.indiana.edu"/>
    <s v="samth@cs.indiana.edu      "/>
  </r>
  <r>
    <m/>
    <d v="2017-09-22T15:15:00"/>
    <s v="NSF 17-571"/>
    <s v="05010000"/>
    <s v="7798"/>
    <s v="NEW"/>
    <s v="PEND"/>
    <s v="4110"/>
    <s v="FY18MEDCTX"/>
    <s v="ABANERJ"/>
    <m/>
    <n v="1"/>
    <n v="2.0699999999999998"/>
    <s v="C"/>
    <m/>
    <m/>
    <x v="3"/>
    <s v="Decline  1762907 Felleisen"/>
    <m/>
    <m/>
    <s v="Anindya Banerjee"/>
    <s v="Cognizant Program Director"/>
    <s v="eJ"/>
    <s v="matthias@ccs.neu.edu"/>
    <s v="PIs@"/>
    <s v="CCF"/>
    <s v="1762907"/>
    <n v="4"/>
    <n v="4"/>
    <m/>
    <s v=""/>
    <n v="5"/>
    <n v="6"/>
    <n v="7"/>
    <s v="V,V,G,G"/>
    <d v="2017-12-08T11:07:00"/>
    <n v="1181269"/>
    <n v="1181269"/>
    <n v="0"/>
    <d v="2018-07-01T00:00:00"/>
    <n v="36"/>
    <s v="SHF: Medium: Broadening the Scope DSL Development"/>
    <m/>
    <m/>
    <m/>
    <s v="P180456"/>
    <s v="Competitive"/>
    <n v="7"/>
    <s v="SHF FY18 FM/PL Medium Panel"/>
    <d v="2017-12-08T00:00:00"/>
    <s v=" V,V,G,G"/>
    <s v="21 rated projects: 1 HC, 8 C, 11 LC, 1 NC"/>
    <n v="10"/>
    <m/>
    <m/>
    <m/>
    <m/>
    <m/>
    <m/>
    <m/>
    <m/>
    <m/>
    <m/>
    <m/>
    <m/>
    <m/>
    <m/>
    <m/>
    <m/>
    <m/>
    <m/>
    <m/>
    <s v="1762907"/>
    <s v="Felleisen"/>
    <s v="Matthias"/>
    <s v="Northeastern University"/>
    <n v="1181269"/>
    <n v="1181269"/>
    <m/>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atthias@ccs.neu.edu"/>
    <s v="matthias@ccs.neu.edu      "/>
  </r>
  <r>
    <m/>
    <d v="2017-09-27T15:00:00"/>
    <s v="NSF 17-571"/>
    <s v="05010000"/>
    <s v="7798"/>
    <s v="NEW"/>
    <s v="PEND"/>
    <s v="4110"/>
    <s v="FY18MEDCTX"/>
    <s v="ABANERJ"/>
    <m/>
    <n v="2"/>
    <n v="2.0699999999999998"/>
    <s v="C"/>
    <m/>
    <m/>
    <x v="4"/>
    <s v="RA 1763814 Jhala"/>
    <m/>
    <m/>
    <s v="Anindya Banerjee"/>
    <s v="Cognizant Program Director"/>
    <s v="eJ"/>
    <s v="jhala@cs.ucsd.edu"/>
    <s v="PIs@"/>
    <s v="CCF"/>
    <s v="1763814"/>
    <n v="8"/>
    <n v="8"/>
    <m/>
    <s v=""/>
    <n v="5"/>
    <n v="7.25"/>
    <n v="9"/>
    <s v="E,E,E,E,V/G,V/G,G,G"/>
    <d v="2017-12-10T23:21:00"/>
    <n v="1200000"/>
    <n v="1200000"/>
    <n v="0"/>
    <d v="2018-07-01T00:00:00"/>
    <n v="48"/>
    <s v="SHF: Medium: Collaborative Research: Program Analytics: Using Trace Data for Localization, Explanation and Synthesis"/>
    <m/>
    <m/>
    <m/>
    <s v="P180456"/>
    <s v="Competitive"/>
    <n v="7"/>
    <s v="SHF FY18 FM/PL Medium Panel"/>
    <d v="2017-12-08T00:00:00"/>
    <s v=" E ,V/G,V/G,G"/>
    <s v="21 rated projects: 1 HC, 8 C, 11 LC, 1 NC"/>
    <n v="10"/>
    <n v="2"/>
    <s v="P180578"/>
    <m/>
    <m/>
    <s v="SHF Medium SE Panel"/>
    <d v="2017-12-14T00:00:00"/>
    <s v=" E,E ,E   ,G"/>
    <s v="No rated projects"/>
    <n v="9"/>
    <n v="1"/>
    <m/>
    <m/>
    <m/>
    <m/>
    <m/>
    <m/>
    <m/>
    <m/>
    <m/>
    <s v="1763814"/>
    <s v="Jhala"/>
    <s v="Ranjit"/>
    <s v="U of Cal San Diego"/>
    <n v="900000"/>
    <n v="900000"/>
    <s v="7924 7943"/>
    <s v="1763674"/>
    <s v="Weimer"/>
    <s v="Westley"/>
    <s v="University of Michigan"/>
    <n v="300000"/>
    <n v="3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jhala@cs.ucsd.edu"/>
    <s v="jhala@cs.ucsd.edu;weimerw@umich.edu     "/>
  </r>
  <r>
    <m/>
    <d v="2017-09-26T17:21:00"/>
    <s v="NSF 17-571"/>
    <s v="05010000"/>
    <s v="7798"/>
    <s v="NEW"/>
    <s v="PEND"/>
    <s v="4110"/>
    <s v="FY18MEDCTX"/>
    <s v="ABANERJ"/>
    <m/>
    <n v="1"/>
    <n v="3"/>
    <s v="LC"/>
    <m/>
    <m/>
    <x v="5"/>
    <s v="Std Decline  1763415 Moss"/>
    <m/>
    <m/>
    <s v="Anindya Banerjee"/>
    <s v="Cognizant Program Director"/>
    <s v="eJ"/>
    <s v="moss@cs.umass.edu"/>
    <s v="PIs@"/>
    <s v="CCF"/>
    <s v="1763415"/>
    <n v="4"/>
    <n v="4"/>
    <m/>
    <s v=""/>
    <n v="4"/>
    <n v="4.75"/>
    <n v="5"/>
    <s v="G,G,G,G/F"/>
    <d v="2017-12-03T21:47:00"/>
    <n v="1199719"/>
    <n v="1199719"/>
    <n v="0"/>
    <d v="2018-07-01T00:00:00"/>
    <n v="48"/>
    <s v="SHF:Medium:Verified State-of-the-Art Concurrent Memory Management for Managed Languages on Modern Processors"/>
    <m/>
    <m/>
    <m/>
    <s v="P180456"/>
    <s v="Low Competitive"/>
    <m/>
    <s v="SHF FY18 FM/PL Medium Panel"/>
    <d v="2017-12-08T00:00:00"/>
    <s v=" G,G,G,G/F"/>
    <s v="21 rated projects: 1 HC, 8 C, 11 LC, 1 NC"/>
    <n v="10"/>
    <m/>
    <m/>
    <m/>
    <m/>
    <m/>
    <m/>
    <m/>
    <m/>
    <m/>
    <m/>
    <m/>
    <m/>
    <m/>
    <m/>
    <m/>
    <m/>
    <m/>
    <m/>
    <m/>
    <s v="1763415"/>
    <s v="Moss"/>
    <s v="J. Eliot"/>
    <s v="U of Massachusetts Amherst"/>
    <n v="1199719"/>
    <n v="1199719"/>
    <m/>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oss@cs.umass.edu"/>
    <s v="moss@cs.umass.edu      "/>
  </r>
  <r>
    <m/>
    <d v="2017-09-27T13:09:00"/>
    <s v="NSF 17-571"/>
    <s v="05010000"/>
    <s v="7798"/>
    <s v="NEW"/>
    <s v="PEND"/>
    <s v="4110"/>
    <s v="FY18MEDCTX"/>
    <s v="ABANERJ"/>
    <m/>
    <n v="1"/>
    <n v="3"/>
    <s v="LC"/>
    <m/>
    <m/>
    <x v="5"/>
    <s v="Std Decline  1763646 Strout"/>
    <m/>
    <m/>
    <s v="Anindya Banerjee"/>
    <s v="Cognizant Program Director"/>
    <s v="eJ"/>
    <s v="mstrout@cs.arizona.edu"/>
    <s v="PIs@"/>
    <s v="CCF"/>
    <s v="1763646"/>
    <n v="4"/>
    <n v="4"/>
    <m/>
    <s v=""/>
    <n v="5"/>
    <n v="5.5"/>
    <n v="6"/>
    <s v="V/G,V/G,G,G"/>
    <d v="2017-12-07T15:35:00"/>
    <n v="1231999"/>
    <n v="1231999"/>
    <n v="0"/>
    <d v="2018-07-01T00:00:00"/>
    <n v="36"/>
    <s v="SHF: Medium: Bringing Science Up To Par Through Language-Agnostic Interpreter Optimization"/>
    <n v="1"/>
    <s v=" G"/>
    <d v="2017-12-01T17:49:00"/>
    <s v="P180456"/>
    <s v="Low Competitive"/>
    <m/>
    <s v="SHF FY18 FM/PL Medium Panel"/>
    <d v="2017-12-08T00:00:00"/>
    <s v=" V/G,V/G,G"/>
    <s v="21 rated projects: 1 HC, 8 C, 11 LC, 1 NC"/>
    <n v="10"/>
    <m/>
    <m/>
    <m/>
    <m/>
    <m/>
    <m/>
    <m/>
    <m/>
    <m/>
    <m/>
    <m/>
    <m/>
    <m/>
    <m/>
    <m/>
    <m/>
    <m/>
    <m/>
    <m/>
    <s v="1763646"/>
    <s v="Strout"/>
    <s v="Michelle"/>
    <s v="U of Arizona"/>
    <n v="1231999"/>
    <n v="1231999"/>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mstrout@cs.arizona.edu"/>
    <s v="mstrout@cs.arizona.edu      "/>
  </r>
  <r>
    <m/>
    <d v="2017-09-27T13:28:00"/>
    <s v="NSF 17-571"/>
    <s v="05010000"/>
    <s v="7798"/>
    <s v="NEW"/>
    <s v="PEND"/>
    <s v="4110"/>
    <s v="FY18MEDCTX"/>
    <s v="ABANERJ"/>
    <m/>
    <n v="1"/>
    <n v="3"/>
    <s v="LC"/>
    <m/>
    <m/>
    <x v="5"/>
    <s v="Std Decline  1763667 Campanoni"/>
    <m/>
    <m/>
    <s v="Anindya Banerjee"/>
    <s v="Cognizant Program Director"/>
    <s v="eJ"/>
    <s v="simonec@eecs.northwestern.edu"/>
    <s v="PIs@"/>
    <s v="CCF"/>
    <s v="1763667"/>
    <n v="4"/>
    <n v="4"/>
    <m/>
    <s v=""/>
    <n v="3"/>
    <n v="5"/>
    <n v="6"/>
    <s v="V/G,V/G,G,F"/>
    <d v="2017-12-08T10:57:00"/>
    <n v="1200000"/>
    <n v="1200000"/>
    <n v="0"/>
    <d v="2018-04-01T00:00:00"/>
    <n v="36"/>
    <s v="SHF: Medium: Collaborative Research: A Collaborative Code Analysis and Transformation Framework"/>
    <m/>
    <m/>
    <m/>
    <s v="P180456"/>
    <s v="Low Competitive"/>
    <m/>
    <s v="SHF FY18 FM/PL Medium Panel"/>
    <d v="2017-12-08T00:00:00"/>
    <s v=" V/G,V/G,G,F"/>
    <s v="21 rated projects: 1 HC, 8 C, 11 LC, 1 NC"/>
    <n v="10"/>
    <m/>
    <m/>
    <m/>
    <m/>
    <m/>
    <m/>
    <m/>
    <m/>
    <m/>
    <m/>
    <m/>
    <m/>
    <m/>
    <m/>
    <m/>
    <m/>
    <m/>
    <m/>
    <m/>
    <s v="1763667"/>
    <s v="Campanoni"/>
    <s v="Simone"/>
    <s v="Northwestern University"/>
    <n v="600000"/>
    <n v="600000"/>
    <s v="7924 7943"/>
    <s v="1763460"/>
    <s v="August"/>
    <s v="David"/>
    <s v="Princeton University"/>
    <n v="600000"/>
    <n v="6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simonec@eecs.northwestern.edu"/>
    <s v="simonec@eecs.northwestern.edu;august@cs.princeton.edu     "/>
  </r>
  <r>
    <m/>
    <d v="2017-09-27T15:16:00"/>
    <s v="NSF 17-571"/>
    <s v="05010000"/>
    <s v="7798"/>
    <s v="NEW"/>
    <s v="PEND"/>
    <s v="4110"/>
    <s v="FY18MEDCTX"/>
    <s v="ABANERJ"/>
    <m/>
    <n v="1"/>
    <n v="3"/>
    <s v="LC"/>
    <m/>
    <m/>
    <x v="5"/>
    <s v="Std Decline  1763839 Newton"/>
    <m/>
    <m/>
    <s v="Anindya Banerjee"/>
    <s v="Cognizant Program Director"/>
    <s v="eJ"/>
    <s v="rrnewton@indiana.edu"/>
    <s v="PIs@"/>
    <s v="CCF"/>
    <s v="1763839"/>
    <n v="4"/>
    <n v="4"/>
    <m/>
    <s v=""/>
    <n v="5"/>
    <n v="5.75"/>
    <n v="7"/>
    <s v="V,V/G,G,G"/>
    <d v="2017-12-05T16:17:00"/>
    <n v="1200000"/>
    <n v="1200000"/>
    <n v="0"/>
    <d v="2018-09-01T00:00:00"/>
    <n v="48"/>
    <s v="SHF: Medium: Collaborative Research: Towards 100% Deterministic Containers"/>
    <m/>
    <m/>
    <m/>
    <s v="P180456"/>
    <s v="Low Competitive"/>
    <m/>
    <s v="SHF FY18 FM/PL Medium Panel"/>
    <d v="2017-12-08T00:00:00"/>
    <s v=" V,V/G,G,G"/>
    <s v="21 rated projects: 1 HC, 8 C, 11 LC, 1 NC"/>
    <n v="10"/>
    <n v="1"/>
    <m/>
    <m/>
    <m/>
    <m/>
    <m/>
    <m/>
    <m/>
    <m/>
    <m/>
    <m/>
    <m/>
    <m/>
    <m/>
    <m/>
    <m/>
    <m/>
    <m/>
    <m/>
    <s v="1763839"/>
    <s v="Newton"/>
    <s v="Ryan"/>
    <s v="Indiana University"/>
    <n v="600000"/>
    <n v="600000"/>
    <s v="7924 7943"/>
    <s v="1763487"/>
    <s v="Devietti"/>
    <s v="Joseph"/>
    <s v="U of Pennsylvania"/>
    <n v="600000"/>
    <n v="600000"/>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rrnewton@indiana.edu"/>
    <s v="rrnewton@indiana.edu;devietti@cis.upenn.edu     "/>
  </r>
  <r>
    <m/>
    <d v="2017-09-27T15:22:00"/>
    <s v="NSF 17-571"/>
    <s v="05010000"/>
    <s v="7798"/>
    <s v="NEW"/>
    <s v="PEND"/>
    <s v="4110"/>
    <s v="FY18MEDCTX"/>
    <s v="ABANERJ"/>
    <m/>
    <n v="1"/>
    <n v="3"/>
    <s v="LC"/>
    <m/>
    <m/>
    <x v="5"/>
    <s v="Std Decline  1763853 Acar"/>
    <m/>
    <m/>
    <s v="Anindya Banerjee"/>
    <s v="Cognizant Program Director"/>
    <s v="eJ"/>
    <s v="umut@cs.cmu.edu"/>
    <s v="PIs@"/>
    <s v="CCF"/>
    <s v="1763853"/>
    <n v="4"/>
    <n v="4"/>
    <m/>
    <s v=""/>
    <n v="4"/>
    <n v="5.5"/>
    <n v="7"/>
    <s v="V,V/G,G,G/F"/>
    <d v="2017-12-07T17:33:00"/>
    <n v="1199721"/>
    <n v="1199721"/>
    <n v="0"/>
    <d v="2018-07-01T00:00:00"/>
    <n v="48"/>
    <s v="SHF: Medium: Encapsulating Effects in Functional Parallel Programming"/>
    <n v="1"/>
    <s v=" V"/>
    <d v="2017-12-03T15:43:00"/>
    <s v="P180456"/>
    <s v="Low Competitive"/>
    <m/>
    <s v="SHF FY18 FM/PL Medium Panel"/>
    <d v="2017-12-08T00:00:00"/>
    <s v=" V/G,G,G/F"/>
    <s v="21 rated projects: 1 HC, 8 C, 11 LC, 1 NC"/>
    <n v="10"/>
    <n v="1"/>
    <m/>
    <m/>
    <m/>
    <m/>
    <m/>
    <m/>
    <m/>
    <m/>
    <m/>
    <m/>
    <m/>
    <m/>
    <m/>
    <m/>
    <m/>
    <m/>
    <m/>
    <m/>
    <s v="1763853"/>
    <s v="Acar"/>
    <s v="Umut"/>
    <s v="Carnegie Mellon University"/>
    <n v="1199721"/>
    <n v="1199721"/>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umut@cs.cmu.edu"/>
    <s v="umut@cs.cmu.edu      "/>
  </r>
  <r>
    <m/>
    <d v="2017-09-27T18:24:00"/>
    <s v="NSF 17-571"/>
    <s v="05010000"/>
    <s v="7798"/>
    <s v="NEW"/>
    <s v="PEND"/>
    <s v="4110"/>
    <s v="FY18MEDCTX"/>
    <s v="ABANERJ"/>
    <m/>
    <n v="1"/>
    <n v="3"/>
    <s v="LC"/>
    <m/>
    <m/>
    <x v="5"/>
    <s v="Std Decline  1764080 Millstein"/>
    <m/>
    <m/>
    <s v="Anindya Banerjee"/>
    <s v="Cognizant Program Director"/>
    <s v="eJ"/>
    <s v="todd@cs.ucla.edu"/>
    <s v="PIs@"/>
    <s v="CCF"/>
    <s v="1764080"/>
    <n v="4"/>
    <n v="4"/>
    <m/>
    <s v=""/>
    <n v="3"/>
    <n v="5.25"/>
    <n v="7"/>
    <s v="V,V,G/F,F"/>
    <d v="2017-12-08T10:47:00"/>
    <n v="935636"/>
    <n v="935636"/>
    <n v="0"/>
    <d v="2018-07-01T00:00:00"/>
    <n v="48"/>
    <s v="SHF:Medium: Probabilistic Program Abstraction for Verification and Inference"/>
    <m/>
    <m/>
    <m/>
    <s v="P180456"/>
    <s v="Low Competitive"/>
    <m/>
    <s v="SHF FY18 FM/PL Medium Panel"/>
    <d v="2017-12-08T00:00:00"/>
    <s v=" V,V,G/F,F"/>
    <s v="21 rated projects: 1 HC, 8 C, 11 LC, 1 NC"/>
    <n v="10"/>
    <m/>
    <m/>
    <m/>
    <m/>
    <m/>
    <m/>
    <m/>
    <m/>
    <m/>
    <m/>
    <m/>
    <m/>
    <m/>
    <m/>
    <m/>
    <m/>
    <m/>
    <m/>
    <m/>
    <s v="1764080"/>
    <s v="Millstein"/>
    <s v="Todd"/>
    <s v="U of Cal Los Angeles"/>
    <n v="935636"/>
    <n v="935636"/>
    <s v="7924 7943"/>
    <m/>
    <m/>
    <m/>
    <m/>
    <m/>
    <m/>
    <m/>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todd@cs.ucla.edu"/>
    <s v="todd@cs.ucla.edu      "/>
  </r>
  <r>
    <m/>
    <d v="2017-10-02T16:59:00"/>
    <s v="NSF 17-571"/>
    <s v="05010000"/>
    <s v="7798"/>
    <s v="NEW"/>
    <s v="PEND"/>
    <s v="4110"/>
    <s v="FY18MEDCTX"/>
    <s v="ABANERJ"/>
    <m/>
    <n v="1"/>
    <n v="3"/>
    <s v="LC"/>
    <m/>
    <m/>
    <x v="5"/>
    <s v="Std Decline  1800538 Rozier"/>
    <m/>
    <m/>
    <s v="Anindya Banerjee"/>
    <s v="Cognizant Program Director"/>
    <s v="eJ"/>
    <s v="kyrozier@iastate.edu"/>
    <s v="PIs@"/>
    <s v="CCF"/>
    <s v="1800538"/>
    <n v="4"/>
    <n v="4"/>
    <m/>
    <s v=""/>
    <n v="5"/>
    <n v="6.25"/>
    <n v="7"/>
    <s v="V,V,V/G,G"/>
    <d v="2017-12-08T11:57:00"/>
    <n v="839097"/>
    <n v="839097"/>
    <n v="0"/>
    <d v="2018-03-15T00:00:00"/>
    <n v="36"/>
    <s v="SHF: Medium: Collaborative Research: Open-Source State-of-the-Art Symbolic Model-Checking Framework"/>
    <m/>
    <m/>
    <m/>
    <s v="P180456"/>
    <s v="Low Competitive"/>
    <m/>
    <s v="SHF FY18 FM/PL Medium Panel"/>
    <d v="2017-12-08T00:00:00"/>
    <s v=" V,V,V/G,G"/>
    <s v="21 rated projects: 1 HC, 8 C, 11 LC, 1 NC"/>
    <n v="10"/>
    <n v="4"/>
    <m/>
    <m/>
    <m/>
    <m/>
    <m/>
    <m/>
    <m/>
    <m/>
    <m/>
    <m/>
    <m/>
    <m/>
    <m/>
    <m/>
    <m/>
    <m/>
    <m/>
    <m/>
    <s v="1800538"/>
    <s v="Rozier"/>
    <s v="Kristin"/>
    <s v="Iowa State University"/>
    <n v="572949"/>
    <n v="572949"/>
    <s v="7924 7943"/>
    <s v="1800535"/>
    <s v="Vardi"/>
    <s v="Moshe"/>
    <s v="William Marsh Rice Univ"/>
    <n v="266148"/>
    <n v="266148"/>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kyrozier@iastate.edu"/>
    <s v="kyrozier@iastate.edu;vardi@rice.edu     "/>
  </r>
  <r>
    <m/>
    <d v="2017-09-27T11:37:00"/>
    <s v="NSF 17-571"/>
    <s v="05010000"/>
    <s v="7798"/>
    <s v="NEW"/>
    <s v="PEND"/>
    <s v="4110"/>
    <s v="FY18MEDCTX"/>
    <s v="ABANERJ"/>
    <m/>
    <n v="1"/>
    <n v="4"/>
    <s v="NC"/>
    <m/>
    <m/>
    <x v="5"/>
    <s v="Std Decline  1763565 Whalley"/>
    <m/>
    <m/>
    <s v="Anindya Banerjee"/>
    <s v="Cognizant Program Director"/>
    <s v="eJ"/>
    <s v="whalley@cs.fsu.edu"/>
    <s v="PIs@"/>
    <s v="CCF"/>
    <s v="1763565"/>
    <n v="4"/>
    <m/>
    <m/>
    <s v=""/>
    <n v="4"/>
    <n v="4.75"/>
    <n v="5"/>
    <s v="G,G,G,G/F"/>
    <d v="2017-12-07T17:33:00"/>
    <n v="1199958"/>
    <n v="1199958"/>
    <n v="0"/>
    <d v="2018-07-01T00:00:00"/>
    <n v="48"/>
    <s v="SHF: Medium: Collaborative Research: Improving Performance by Applying Branch and Control Dependence Elimination"/>
    <m/>
    <m/>
    <m/>
    <s v="P180456"/>
    <s v="Not Competitive"/>
    <m/>
    <s v="SHF FY18 FM/PL Medium Panel"/>
    <d v="2017-12-08T00:00:00"/>
    <s v=" G,G,G,G/F"/>
    <s v="21 rated projects: 1 HC, 8 C, 11 LC, 1 NC"/>
    <n v="10"/>
    <m/>
    <m/>
    <m/>
    <m/>
    <m/>
    <m/>
    <m/>
    <m/>
    <m/>
    <m/>
    <m/>
    <m/>
    <m/>
    <m/>
    <m/>
    <m/>
    <m/>
    <m/>
    <m/>
    <s v="1763565"/>
    <s v="Whalley"/>
    <s v="David"/>
    <s v="Florida State University"/>
    <n v="600000"/>
    <n v="600000"/>
    <s v="7924 7943"/>
    <s v="1763706"/>
    <s v="Onder"/>
    <s v="Soner"/>
    <s v="Mich Technological Univ"/>
    <n v="599958"/>
    <n v="599958"/>
    <s v="7924 7943"/>
    <m/>
    <m/>
    <m/>
    <m/>
    <m/>
    <m/>
    <m/>
    <m/>
    <m/>
    <m/>
    <m/>
    <m/>
    <m/>
    <m/>
    <m/>
    <m/>
    <m/>
    <m/>
    <m/>
    <m/>
    <m/>
    <m/>
    <m/>
    <m/>
    <m/>
    <m/>
    <m/>
    <m/>
    <m/>
    <m/>
    <m/>
    <m/>
    <m/>
    <m/>
    <m/>
    <s v="Computing and Communication Foundations (CCF): Core Programs"/>
    <s v="Division of Computing and Communication Foundations"/>
    <s v="SOFTWARE &amp; HARDWARE FOUNDATION"/>
    <s v="Anindya Banerjee"/>
    <s v="Pending, Review Package Produced"/>
    <s v="New Project"/>
    <s v="Research Grants-Not Elsewh Cla"/>
    <s v="CSE"/>
    <s v="Direct For Computer &amp; Info Scie &amp; Enginr"/>
    <d v="2017-12-13T11:19:13"/>
    <s v="whalley@cs.fsu.edu"/>
    <s v="whalley@cs.fsu.edu;soner@mtu.edu     "/>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1"/>
        <item m="1" x="4"/>
        <item m="1" x="3"/>
        <item m="1" x="6"/>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3"/>
        <item m="1" x="5"/>
        <item m="1" x="2"/>
        <item m="1" x="4"/>
        <item m="1" x="1"/>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260">
      <pivotArea outline="0" collapsedLevelsAreSubtotals="1" fieldPosition="0"/>
    </format>
    <format dxfId="259">
      <pivotArea outline="0" collapsedLevelsAreSubtotals="1" fieldPosition="0"/>
    </format>
    <format dxfId="2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70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7:E24"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6"/>
        <item m="1" x="9"/>
        <item m="1" x="8"/>
        <item m="1" x="7"/>
        <item x="0"/>
        <item x="4"/>
        <item x="2"/>
        <item x="3"/>
        <item x="5"/>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7">
    <i>
      <x/>
    </i>
    <i>
      <x v="5"/>
    </i>
    <i>
      <x v="6"/>
    </i>
    <i>
      <x v="7"/>
    </i>
    <i>
      <x v="8"/>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74">
  <autoFilter ref="B12:B13"/>
  <tableColumns count="1">
    <tableColumn id="1" name="prop_id" dataDxfId="273"/>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72">
  <autoFilter ref="E12:E13"/>
  <tableColumns count="1">
    <tableColumn id="1" name="prop_id" dataDxfId="271"/>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70">
  <autoFilter ref="H12:H13"/>
  <tableColumns count="1">
    <tableColumn id="1" name="prop_id" dataDxfId="269"/>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96" tableType="queryTable" totalsRowShown="0">
  <autoFilter ref="A1:BL96"/>
  <tableColumns count="64">
    <tableColumn id="123" uniqueName="123" name="dd_rcom_date" queryTableFieldId="1" dataDxfId="250"/>
    <tableColumn id="124" uniqueName="124" name="nsf_rcvd_date" queryTableFieldId="2" dataDxfId="249"/>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8"/>
    <tableColumn id="131" uniqueName="131" name="bas_rsch_pct" queryTableFieldId="9" dataDxfId="247"/>
    <tableColumn id="132" uniqueName="132" name="other_pct" queryTableFieldId="10" dataDxfId="246"/>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45">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44"/>
    <tableColumn id="186" uniqueName="186" name="0" queryTableFieldId="65" dataDxfId="243">
      <calculatedColumnFormula>S1+(ckCodingTable[[#This Row],[ILN]]&lt;"M")</calculatedColumnFormula>
    </tableColumn>
    <tableColumn id="139" uniqueName="139" name="ILN" queryTableFieldId="17" dataDxfId="242"/>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41"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40"/>
    <tableColumn id="146" uniqueName="146" name="rqst_mnth_cnt" queryTableFieldId="24"/>
    <tableColumn id="147" uniqueName="147" name="nPanl" queryTableFieldId="25"/>
    <tableColumn id="149" uniqueName="149" name="nPSunrls" queryTableFieldId="27"/>
    <tableColumn id="148" uniqueName="148" name="nPSunmrkd" queryTableFieldId="26" dataDxfId="239"/>
    <tableColumn id="152" uniqueName="152" name="allReviews" queryTableFieldId="30"/>
    <tableColumn id="153" uniqueName="153" name="avg_score" queryTableFieldId="31" dataDxfId="238"/>
    <tableColumn id="154" uniqueName="154" name="last_rev_date" queryTableFieldId="32" dataDxfId="237"/>
    <tableColumn id="156" uniqueName="156" name="Nconfl" queryTableFieldId="34" dataDxfId="236"/>
    <tableColumn id="151" uniqueName="151" name="nRev" queryTableFieldId="29"/>
    <tableColumn id="157" uniqueName="157" name="Nunrlsbl" queryTableFieldId="35"/>
    <tableColumn id="155" uniqueName="155" name="Nunmkd" queryTableFieldId="33" dataDxfId="235"/>
    <tableColumn id="158" uniqueName="158" name="NrlsdCDNPS" queryTableFieldId="36" dataDxfId="234"/>
    <tableColumn id="159" uniqueName="159" name="NpendSlct" queryTableFieldId="37" dataDxfId="233"/>
    <tableColumn id="160" uniqueName="160" name="NdiffFLeJ" queryTableFieldId="38" dataDxfId="232"/>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31" dataCellStyle="Currency"/>
    <tableColumn id="165" uniqueName="165" name="budg_tot" queryTableFieldId="43" dataDxfId="230" dataCellStyle="Currency"/>
    <tableColumn id="166" uniqueName="166" name="sub_ctr_tot" queryTableFieldId="44" dataDxfId="229" dataCellStyle="Currency"/>
    <tableColumn id="167" uniqueName="167" name="frgn_trav_tot" queryTableFieldId="45" dataDxfId="228" dataCellStyle="Currency"/>
    <tableColumn id="168" uniqueName="168" name="pdoc_tot" queryTableFieldId="46" dataDxfId="227" dataCellStyle="Currency"/>
    <tableColumn id="169" uniqueName="169" name="part_tot_dol" queryTableFieldId="47" dataDxfId="226"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96" tableType="queryTable" totalsRowShown="0">
  <autoFilter ref="A1:AX96"/>
  <tableColumns count="50">
    <tableColumn id="1" uniqueName="1" name="dd_rcom_date" queryTableFieldId="214" dataDxfId="98"/>
    <tableColumn id="4" uniqueName="4" name="nsf_rcvd_date" queryTableFieldId="4" dataDxfId="97"/>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96"/>
    <tableColumn id="39" uniqueName="39" name="natr_rqst_abbr" queryTableFieldId="280" dataDxfId="95"/>
    <tableColumn id="49" uniqueName="49" name="rcom_istr_abbr" queryTableFieldId="281" dataDxfId="94"/>
    <tableColumn id="19" uniqueName="19" name="obj_clas_code" queryTableFieldId="221"/>
    <tableColumn id="11" uniqueName="11" name="cntx_stmt_id" queryTableFieldId="11"/>
    <tableColumn id="32" uniqueName="32" name="RAupdate" queryTableFieldId="254" dataDxfId="93"/>
    <tableColumn id="25" uniqueName="25" name="0" queryTableFieldId="230" dataDxfId="92">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91" dataCellStyle="Hyperlink">
      <calculatedColumnFormula>HYPERLINK("https://www.ejacket.nsf.gov/ej/showProposal.do?ID="&amp;ckAwdTable[[#This Row],[prop_id]],"eJ")</calculatedColumnFormula>
    </tableColumn>
    <tableColumn id="27" uniqueName="27" name="Div" queryTableFieldId="282" dataDxfId="90"/>
    <tableColumn id="12" uniqueName="12" name="prop_id" queryTableFieldId="12"/>
    <tableColumn id="13" uniqueName="13" name="pi_last_name" queryTableFieldId="13"/>
    <tableColumn id="14" uniqueName="14" name="pi_frst_name" queryTableFieldId="14"/>
    <tableColumn id="24" uniqueName="24" name="inst" queryTableFieldId="283" dataDxfId="89"/>
    <tableColumn id="23" uniqueName="23" name="st_code" queryTableFieldId="225"/>
    <tableColumn id="206" uniqueName="206" name="@pi email" queryTableFieldId="212" dataDxfId="88"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87"/>
    <tableColumn id="17" uniqueName="17" name="rqst_mnth_cnt" queryTableFieldId="17"/>
    <tableColumn id="9" uniqueName="9" name="humn_date" queryTableFieldId="218"/>
    <tableColumn id="28" uniqueName="28" name="hum_asur" queryTableFieldId="301" dataDxfId="86"/>
    <tableColumn id="29" uniqueName="29" name="HUM_EXPT" queryTableFieldId="302" dataDxfId="85"/>
    <tableColumn id="10" uniqueName="10" name="vrtb_date" queryTableFieldId="219"/>
    <tableColumn id="37" uniqueName="37" name="vrtb_asur" queryTableFieldId="303" dataDxfId="84"/>
    <tableColumn id="30" uniqueName="30" name="Country" queryTableFieldId="250" dataDxfId="83"/>
    <tableColumn id="34" uniqueName="34" name="rqst_tot" queryTableFieldId="288" dataDxfId="82" dataCellStyle="Currency"/>
    <tableColumn id="35" uniqueName="35" name="brevn" queryTableFieldId="289" dataDxfId="81"/>
    <tableColumn id="36" uniqueName="36" name="budg_tot" queryTableFieldId="290" dataDxfId="80"/>
    <tableColumn id="40" uniqueName="40" name="sub_ctr_tot" queryTableFieldId="292" dataDxfId="79"/>
    <tableColumn id="41" uniqueName="41" name="frgn_trav_tot" queryTableFieldId="293" dataDxfId="78"/>
    <tableColumn id="42" uniqueName="42" name="pdoc_tot" queryTableFieldId="294" dataDxfId="77"/>
    <tableColumn id="43" uniqueName="43" name="part_tot_dol" queryTableFieldId="295" dataDxfId="76"/>
    <tableColumn id="44" uniqueName="44" name="grad_tot_cnt" queryTableFieldId="296" dataDxfId="75"/>
    <tableColumn id="45" uniqueName="45" name="sr_tot_cnt" queryTableFieldId="297" dataDxfId="74"/>
    <tableColumn id="46" uniqueName="46" name="sr_sumr_mnths" queryTableFieldId="298" dataDxfId="73"/>
    <tableColumn id="47" uniqueName="47" name="sr_acad_mnths" queryTableFieldId="299" dataDxfId="72"/>
    <tableColumn id="48" uniqueName="48" name="sr_cal_mnths" queryTableFieldId="300" dataDxfId="71"/>
    <tableColumn id="8" uniqueName="8" name="prop_stts_txt" queryTableFieldId="278" dataDxfId="70"/>
    <tableColumn id="54" uniqueName="54" name="OTH_AGCY_SUBM_FLAG" queryTableFieldId="287" dataDxfId="69"/>
    <tableColumn id="53" uniqueName="53" name="Abstr?marks" queryTableFieldId="320" dataDxfId="68">
      <calculatedColumnFormula>IFERROR(IF(FIND("?",ckAwdTable[abst_narr_txt]),SummarizeQuestMarks(ckAwdTable[abst_narr_txt]),""),"")</calculatedColumnFormula>
    </tableColumn>
    <tableColumn id="51" uniqueName="51" name="abst_narr_txt" queryTableFieldId="251" dataDxfId="67"/>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66"/>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473" tableType="queryTable" totalsRowShown="0" dataDxfId="268">
  <autoFilter ref="A3:AD473"/>
  <tableColumns count="30">
    <tableColumn id="10" uniqueName="10" name="prop_id" queryTableFieldId="10" dataDxfId="126"/>
    <tableColumn id="9" uniqueName="9" name="ILN" queryTableFieldId="89" dataDxfId="125" dataCellStyle="Hyperlink"/>
    <tableColumn id="31" uniqueName="31" name="10" queryTableFieldId="98" dataDxfId="124" dataCellStyle="Hyperlink">
      <calculatedColumnFormula>C3+(BudgetsTable[[#This Row],[lead]]&lt;&gt;K3)</calculatedColumnFormula>
    </tableColumn>
    <tableColumn id="32" uniqueName="32" name="0" queryTableFieldId="97" dataDxfId="123" dataCellStyle="Hyperlink">
      <calculatedColumnFormula>D3*(BudgetsTable[[#This Row],[lead]]=K3)+(BudgetsTable[[#This Row],[prop_id]]&lt;&gt;A3)</calculatedColumnFormula>
    </tableColumn>
    <tableColumn id="3" uniqueName="3" name="nsf_rcvd_date" queryTableFieldId="63" dataDxfId="122" dataCellStyle="Hyperlink"/>
    <tableColumn id="4" uniqueName="4" name="pgm_annc_id" queryTableFieldId="64" dataDxfId="121" dataCellStyle="Hyperlink"/>
    <tableColumn id="5" uniqueName="5" name="org_code" queryTableFieldId="65" dataDxfId="120" dataCellStyle="Hyperlink"/>
    <tableColumn id="6" uniqueName="6" name="pgm_ele_code" queryTableFieldId="66" dataDxfId="119" dataCellStyle="Hyperlink"/>
    <tableColumn id="27" uniqueName="27" name="PO" queryTableFieldId="91" dataDxfId="118" dataCellStyle="Hyperlink"/>
    <tableColumn id="28" uniqueName="28" name="pi_email" queryTableFieldId="92" dataDxfId="117" dataCellStyle="Hyperlink"/>
    <tableColumn id="8" uniqueName="8" name="lead" queryTableFieldId="68" dataDxfId="116"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115"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114"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113" dataCellStyle="Hyperlink"/>
    <tableColumn id="14" uniqueName="14" name="sr_pers_cnt" queryTableFieldId="73" dataDxfId="112" dataCellStyle="Hyperlink"/>
    <tableColumn id="15" uniqueName="15" name="sr_summ_mnth_cnt" queryTableFieldId="74" dataDxfId="111" dataCellStyle="Hyperlink"/>
    <tableColumn id="16" uniqueName="16" name="pdoc_grnt_dol" queryTableFieldId="75" dataDxfId="110" dataCellStyle="Currency"/>
    <tableColumn id="17" uniqueName="17" name="frgn_trav_dol" queryTableFieldId="76" dataDxfId="109" dataCellStyle="Currency"/>
    <tableColumn id="18" uniqueName="18" name="part_dol" queryTableFieldId="77" dataDxfId="108" dataCellStyle="Currency"/>
    <tableColumn id="19" uniqueName="19" name="budg_tot_dol" queryTableFieldId="78" dataDxfId="107" dataCellStyle="Currency"/>
    <tableColumn id="20" uniqueName="20" name="revn_num" queryTableFieldId="79" dataDxfId="106" dataCellStyle="Hyperlink"/>
    <tableColumn id="21" uniqueName="21" name="budg_seq_yr" queryTableFieldId="80" dataDxfId="105" dataCellStyle="Hyperlink"/>
    <tableColumn id="26" uniqueName="26" name="Column1" queryTableFieldId="85" dataDxfId="104" dataCellStyle="Hyperlink">
      <calculatedColumnFormula>IF(ISBLANK(BudgetsTable[[#This Row],[budg_seq_yr]]),"FY"&amp;fiscalyear,"FY"&amp;fiscalyear-1+BudgetsTable[[#This Row],[budg_seq_yr]])</calculatedColumnFormula>
    </tableColumn>
    <tableColumn id="22" uniqueName="22" name="dol" queryTableFieldId="81" dataDxfId="103" dataCellStyle="Currency"/>
    <tableColumn id="23" uniqueName="23" name="org_code2" queryTableFieldId="82" dataDxfId="102" dataCellStyle="Hyperlink"/>
    <tableColumn id="24" uniqueName="24" name="PEC" queryTableFieldId="83" dataDxfId="101" dataCellStyle="Hyperlink"/>
    <tableColumn id="7" uniqueName="7" name="Obj" queryTableFieldId="99" dataDxfId="100" dataCellStyle="Hyperlink"/>
    <tableColumn id="25" uniqueName="25" name="PRCs" queryTableFieldId="84" dataDxfId="99"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13" tableType="queryTable" totalsRowShown="0" headerRowCellStyle="Normal" dataCellStyle="Normal">
  <autoFilter ref="A2:B13"/>
  <tableColumns count="2">
    <tableColumn id="1" uniqueName="1" name="PRC" queryTableFieldId="278" dataDxfId="256"/>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5" tableType="queryTable" totalsRowShown="0" headerRowCellStyle="Normal" dataCellStyle="Normal">
  <autoFilter ref="D2:E5"/>
  <tableColumns count="2">
    <tableColumn id="1" uniqueName="1" name="PEC" queryTableFieldId="280" dataDxfId="257"/>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79" tableType="queryTable" totalsRowShown="0">
  <autoFilter ref="A1:EC79">
    <filterColumn colId="12">
      <customFilters>
        <customFilter operator="greaterThan" val="0"/>
      </customFilters>
    </filterColumn>
  </autoFilter>
  <sortState ref="A2:EC79">
    <sortCondition ref="M1:M79"/>
  </sortState>
  <tableColumns count="133">
    <tableColumn id="1" uniqueName="1" name="dd_rcom_date" queryTableFieldId="1" dataDxfId="225"/>
    <tableColumn id="2" uniqueName="2" name="nsf_rcvd_date" queryTableFieldId="2" dataDxfId="224"/>
    <tableColumn id="3" uniqueName="3" name="pgm_annc_id" queryTableFieldId="3" dataDxfId="223"/>
    <tableColumn id="4" uniqueName="4" name="org_code" queryTableFieldId="4" dataDxfId="222"/>
    <tableColumn id="5" uniqueName="5" name="pgm_ele_code" queryTableFieldId="5" dataDxfId="221"/>
    <tableColumn id="6" uniqueName="6" name="natr_rqst_abbr" queryTableFieldId="6" dataDxfId="220"/>
    <tableColumn id="7" uniqueName="7" name="prop_stts_abbr" queryTableFieldId="7" dataDxfId="219"/>
    <tableColumn id="8" uniqueName="8" name="obj_clas_code" queryTableFieldId="8"/>
    <tableColumn id="9" uniqueName="9" name="cntx_stmt_id" queryTableFieldId="9"/>
    <tableColumn id="10" uniqueName="10" name="PO" queryTableFieldId="10"/>
    <tableColumn id="11" uniqueName="11" name="RAupdate" queryTableFieldId="11" dataDxfId="218"/>
    <tableColumn id="12" uniqueName="12" name="nPanl" queryTableFieldId="12"/>
    <tableColumn id="13" uniqueName="13" name="RecRkMin" queryTableFieldId="13" dataDxfId="217"/>
    <tableColumn id="14" uniqueName="14" name="rec0" queryTableFieldId="14"/>
    <tableColumn id="15" uniqueName="15" name="rec1" queryTableFieldId="15"/>
    <tableColumn id="16" uniqueName="16" name="rec2" queryTableFieldId="16"/>
    <tableColumn id="17" uniqueName="17" name="RAtemplate" queryTableFieldId="17" dataDxfId="216"/>
    <tableColumn id="133" uniqueName="133" name="Radraft_filename" queryTableFieldId="135" dataDxfId="215">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214"/>
    <tableColumn id="137" uniqueName="137" name="RAps_note" queryTableFieldId="136" dataDxfId="213"/>
    <tableColumn id="134" uniqueName="134" name="RAsigner" queryTableFieldId="134" dataDxfId="212">
      <calculatedColumnFormula>IF(signer1="PD",IF(ISBLANK(RADataTable[[#This Row],[sign_blck_name]]),"",RADataTable[[#This Row],[sign_blck_name]]),IF(ISBLANK(signer1),"",signer1))</calculatedColumnFormula>
    </tableColumn>
    <tableColumn id="135" uniqueName="135" name="RAsigner2" queryTableFieldId="133" dataDxfId="211">
      <calculatedColumnFormula>signer2</calculatedColumnFormula>
    </tableColumn>
    <tableColumn id="138" uniqueName="138" name="ej" queryTableFieldId="142" dataDxfId="210" dataCellStyle="Hyperlink">
      <calculatedColumnFormula>HYPERLINK("https://www.ejacket.nsf.gov/ej/showProposal.do?Continue=Y&amp;ID="&amp;RADataTable[[#This Row],[prop_id0]],"eJ")</calculatedColumnFormula>
    </tableColumn>
    <tableColumn id="139" uniqueName="139" name="@PI" queryTableFieldId="141" dataDxfId="209"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208"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207">
      <calculatedColumnFormula>IF(RADataTable[[#This Row],[maxScore]]-RADataTable[[#This Row],[minScore]]&gt;4,"Y","")</calculatedColumnFormula>
    </tableColumn>
    <tableColumn id="22" uniqueName="22" name="minScore" queryTableFieldId="22" dataDxfId="206"/>
    <tableColumn id="23" uniqueName="23" name="avg_score" queryTableFieldId="23" dataDxfId="205"/>
    <tableColumn id="24" uniqueName="24" name="maxScore" queryTableFieldId="24"/>
    <tableColumn id="25" uniqueName="25" name="allReviews" queryTableFieldId="25"/>
    <tableColumn id="26" uniqueName="26" name="last_rev_date" queryTableFieldId="26" dataDxfId="204"/>
    <tableColumn id="28" uniqueName="28" name="rqst_tot" queryTableFieldId="28" dataDxfId="203" dataCellStyle="Currency"/>
    <tableColumn id="29" uniqueName="29" name="budg_tot" queryTableFieldId="29" dataDxfId="202" dataCellStyle="Currency"/>
    <tableColumn id="30" uniqueName="30" name="budRevnMax" queryTableFieldId="30"/>
    <tableColumn id="31" uniqueName="31" name="rqst_eff_date" queryTableFieldId="31" dataDxfId="201"/>
    <tableColumn id="32" uniqueName="32" name="rqst_mnth_cnt" queryTableFieldId="32" dataDxfId="200"/>
    <tableColumn id="33" uniqueName="33" name="prop_titl_txt" queryTableFieldId="33" dataDxfId="199"/>
    <tableColumn id="34" uniqueName="34" name="AhNrev" queryTableFieldId="34"/>
    <tableColumn id="35" uniqueName="35" name="AhRevs" queryTableFieldId="35"/>
    <tableColumn id="36" uniqueName="36" name="AhLast" queryTableFieldId="36" dataDxfId="198"/>
    <tableColumn id="37" uniqueName="37" name="panl_id0" queryTableFieldId="37"/>
    <tableColumn id="38" uniqueName="38" name="RCOM_TXT0" queryTableFieldId="38" dataDxfId="197"/>
    <tableColumn id="39" uniqueName="39" name="rank0" queryTableFieldId="39" dataDxfId="196"/>
    <tableColumn id="40" uniqueName="40" name="panl_name0" queryTableFieldId="40" dataDxfId="195"/>
    <tableColumn id="41" uniqueName="41" name="panl_end0" queryTableFieldId="41" dataDxfId="194"/>
    <tableColumn id="42" uniqueName="42" name="revs0" queryTableFieldId="42" dataDxfId="193"/>
    <tableColumn id="43" uniqueName="43" name="PanlString0" queryTableFieldId="43" dataDxfId="192"/>
    <tableColumn id="44" uniqueName="44" name="pnlst0" queryTableFieldId="44" dataDxfId="191"/>
    <tableColumn id="45" uniqueName="45" name="confl0" queryTableFieldId="45" dataDxfId="190"/>
    <tableColumn id="46" uniqueName="46" name="panl_id1" queryTableFieldId="46" dataDxfId="189"/>
    <tableColumn id="47" uniqueName="47" name="RCOM_TXT1" queryTableFieldId="47" dataDxfId="188"/>
    <tableColumn id="48" uniqueName="48" name="rank1" queryTableFieldId="48" dataDxfId="187"/>
    <tableColumn id="49" uniqueName="49" name="panl_name1" queryTableFieldId="49" dataDxfId="186"/>
    <tableColumn id="50" uniqueName="50" name="panl_end1" queryTableFieldId="50" dataDxfId="185"/>
    <tableColumn id="51" uniqueName="51" name="revs1" queryTableFieldId="51" dataDxfId="184"/>
    <tableColumn id="52" uniqueName="52" name="PanlString1" queryTableFieldId="52" dataDxfId="183"/>
    <tableColumn id="53" uniqueName="53" name="pnlst1" queryTableFieldId="53" dataDxfId="182"/>
    <tableColumn id="54" uniqueName="54" name="confl1" queryTableFieldId="54" dataDxfId="181"/>
    <tableColumn id="55" uniqueName="55" name="panl_id2" queryTableFieldId="55" dataDxfId="180"/>
    <tableColumn id="56" uniqueName="56" name="RCOM_TXT2" queryTableFieldId="56" dataDxfId="179"/>
    <tableColumn id="57" uniqueName="57" name="rank2" queryTableFieldId="57" dataDxfId="178"/>
    <tableColumn id="58" uniqueName="58" name="panl_name2" queryTableFieldId="58" dataDxfId="177"/>
    <tableColumn id="59" uniqueName="59" name="panl_end2" queryTableFieldId="59" dataDxfId="176"/>
    <tableColumn id="60" uniqueName="60" name="revs2" queryTableFieldId="60" dataDxfId="175"/>
    <tableColumn id="61" uniqueName="61" name="PanlString2" queryTableFieldId="61" dataDxfId="174"/>
    <tableColumn id="62" uniqueName="62" name="pnlst2" queryTableFieldId="62" dataDxfId="173"/>
    <tableColumn id="63" uniqueName="63" name="confl2" queryTableFieldId="63" dataDxfId="172"/>
    <tableColumn id="64" uniqueName="64" name="prop_id0" queryTableFieldId="64"/>
    <tableColumn id="65" uniqueName="65" name="last0" queryTableFieldId="65" dataDxfId="171"/>
    <tableColumn id="66" uniqueName="66" name="frst0" queryTableFieldId="66" dataDxfId="170"/>
    <tableColumn id="67" uniqueName="67" name="inst0" queryTableFieldId="67" dataDxfId="169"/>
    <tableColumn id="68" uniqueName="68" name="rqst0" queryTableFieldId="68" dataDxfId="168"/>
    <tableColumn id="69" uniqueName="69" name="b0tot" queryTableFieldId="69" dataDxfId="167"/>
    <tableColumn id="70" uniqueName="70" name="PRC0" queryTableFieldId="70"/>
    <tableColumn id="71" uniqueName="71" name="prop_id1" queryTableFieldId="71" dataDxfId="166"/>
    <tableColumn id="72" uniqueName="72" name="last1" queryTableFieldId="72" dataDxfId="165"/>
    <tableColumn id="73" uniqueName="73" name="frst1" queryTableFieldId="73" dataDxfId="164"/>
    <tableColumn id="74" uniqueName="74" name="inst1" queryTableFieldId="74" dataDxfId="163"/>
    <tableColumn id="75" uniqueName="75" name="rqst1" queryTableFieldId="75" dataDxfId="162"/>
    <tableColumn id="76" uniqueName="76" name="b1tot" queryTableFieldId="76" dataDxfId="161"/>
    <tableColumn id="77" uniqueName="77" name="PRC1" queryTableFieldId="77"/>
    <tableColumn id="78" uniqueName="78" name="prop_id2" queryTableFieldId="78" dataDxfId="160"/>
    <tableColumn id="79" uniqueName="79" name="last2" queryTableFieldId="79" dataDxfId="159"/>
    <tableColumn id="80" uniqueName="80" name="frst2" queryTableFieldId="80" dataDxfId="158"/>
    <tableColumn id="81" uniqueName="81" name="inst2" queryTableFieldId="81" dataDxfId="157"/>
    <tableColumn id="82" uniqueName="82" name="rqst2" queryTableFieldId="82" dataDxfId="156"/>
    <tableColumn id="83" uniqueName="83" name="b2tot" queryTableFieldId="83" dataDxfId="155"/>
    <tableColumn id="84" uniqueName="84" name="PRC2" queryTableFieldId="84"/>
    <tableColumn id="85" uniqueName="85" name="prop_id3" queryTableFieldId="85" dataDxfId="154"/>
    <tableColumn id="86" uniqueName="86" name="last3" queryTableFieldId="86" dataDxfId="153"/>
    <tableColumn id="87" uniqueName="87" name="frst3" queryTableFieldId="87" dataDxfId="152"/>
    <tableColumn id="88" uniqueName="88" name="inst3" queryTableFieldId="88" dataDxfId="151"/>
    <tableColumn id="89" uniqueName="89" name="rqst3" queryTableFieldId="89" dataDxfId="150"/>
    <tableColumn id="90" uniqueName="90" name="b3tot" queryTableFieldId="90" dataDxfId="149"/>
    <tableColumn id="91" uniqueName="91" name="PRC3" queryTableFieldId="91" dataDxfId="148"/>
    <tableColumn id="92" uniqueName="92" name="prop_id4" queryTableFieldId="92" dataDxfId="147"/>
    <tableColumn id="93" uniqueName="93" name="last4" queryTableFieldId="93" dataDxfId="146"/>
    <tableColumn id="94" uniqueName="94" name="frst4" queryTableFieldId="94" dataDxfId="145"/>
    <tableColumn id="95" uniqueName="95" name="inst4" queryTableFieldId="95" dataDxfId="144"/>
    <tableColumn id="96" uniqueName="96" name="rqst4" queryTableFieldId="96" dataDxfId="143"/>
    <tableColumn id="97" uniqueName="97" name="b4tot" queryTableFieldId="97" dataDxfId="142"/>
    <tableColumn id="98" uniqueName="98" name="PRC4" queryTableFieldId="98" dataDxfId="141"/>
    <tableColumn id="99" uniqueName="99" name="prop_id5" queryTableFieldId="99" dataDxfId="140"/>
    <tableColumn id="100" uniqueName="100" name="last5" queryTableFieldId="100" dataDxfId="139"/>
    <tableColumn id="101" uniqueName="101" name="frst5" queryTableFieldId="101" dataDxfId="138"/>
    <tableColumn id="102" uniqueName="102" name="inst5" queryTableFieldId="102" dataDxfId="137"/>
    <tableColumn id="103" uniqueName="103" name="rqst5" queryTableFieldId="103" dataDxfId="136"/>
    <tableColumn id="104" uniqueName="104" name="b5tot" queryTableFieldId="104" dataDxfId="135"/>
    <tableColumn id="105" uniqueName="105" name="PRC5" queryTableFieldId="105"/>
    <tableColumn id="106" uniqueName="106" name="prop_id6" queryTableFieldId="106" dataDxfId="134"/>
    <tableColumn id="107" uniqueName="107" name="last6" queryTableFieldId="107" dataDxfId="133"/>
    <tableColumn id="108" uniqueName="108" name="frst6" queryTableFieldId="108" dataDxfId="132"/>
    <tableColumn id="109" uniqueName="109" name="inst6" queryTableFieldId="109" dataDxfId="131"/>
    <tableColumn id="110" uniqueName="110" name="rqst6" queryTableFieldId="110" dataDxfId="130"/>
    <tableColumn id="111" uniqueName="111" name="b6tot" queryTableFieldId="111" dataDxfId="129"/>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28"/>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127"/>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1" insertRow="1" totalsRowShown="0" headerRowDxfId="267" dataDxfId="266">
  <autoFilter ref="J10:J11"/>
  <tableColumns count="1">
    <tableColumn id="1" name="Available templates:" dataDxfId="265"/>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264" dataDxfId="263">
  <autoFilter ref="N2:N29"/>
  <tableColumns count="1">
    <tableColumn id="1" name="Epscor" totalsRowFunction="count" dataDxfId="262" totalsRowDxfId="261"/>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65"/>
    <tableColumn id="22" uniqueName="22" name="nsf_rcvd_date" queryTableFieldId="2" dataDxfId="64"/>
    <tableColumn id="23" uniqueName="23" name="cntx_stmt_id" queryTableFieldId="3"/>
    <tableColumn id="24" uniqueName="24" name="pgm_annc_id" queryTableFieldId="4"/>
    <tableColumn id="60" uniqueName="60" name="pObj" queryTableFieldId="13" dataDxfId="63"/>
    <tableColumn id="61" uniqueName="61" name="bObj" queryTableFieldId="14" dataDxfId="62"/>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61"/>
    <tableColumn id="35" uniqueName="35" name="rcom_istr_abbr" queryTableFieldId="15" dataDxfId="60"/>
    <tableColumn id="57" uniqueName="57" name="budg_yr" queryTableFieldId="27" dataDxfId="59"/>
    <tableColumn id="58" uniqueName="58" name="splt_id" queryTableFieldId="28" dataDxfId="58"/>
    <tableColumn id="59" uniqueName="59" name="budg_splt_tot_dol" queryTableFieldId="29" dataDxfId="57"/>
    <tableColumn id="54" uniqueName="54" name="0" queryTableFieldId="35" dataDxfId="56">
      <calculatedColumnFormula>S1+(X2&lt;&gt;X1)</calculatedColumnFormula>
    </tableColumn>
    <tableColumn id="37" uniqueName="37" name="ILN" queryTableFieldId="17" dataDxfId="55"/>
    <tableColumn id="36" uniqueName="36" name="lead" queryTableFieldId="16" dataDxfId="54"/>
    <tableColumn id="55" uniqueName="55" name="eJ" queryTableFieldId="36" dataDxfId="53" dataCellStyle="Hyperlink">
      <calculatedColumnFormula>HYPERLINK("https://www.ejacket.nsf.gov/ej/showProposal.do?ID="&amp;ckSplitsTable[[#This Row],[prop_id]],"eJ")</calculatedColumnFormula>
    </tableColumn>
    <tableColumn id="38" uniqueName="38" name="Div" queryTableFieldId="18" dataDxfId="52"/>
    <tableColumn id="39" uniqueName="39" name="prop_id" queryTableFieldId="19" dataDxfId="51"/>
    <tableColumn id="40" uniqueName="40" name="pi_last_name" queryTableFieldId="20" dataDxfId="50"/>
    <tableColumn id="41" uniqueName="41" name="pi_frst_name" queryTableFieldId="21" dataDxfId="49"/>
    <tableColumn id="42" uniqueName="42" name="inst" queryTableFieldId="22" dataDxfId="48"/>
    <tableColumn id="56" uniqueName="56" name="@ pi" queryTableFieldId="37" dataDxfId="47"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46"/>
    <tableColumn id="44" uniqueName="44" name="propPRCs" queryTableFieldId="24" dataDxfId="45"/>
    <tableColumn id="45" uniqueName="45" name="bPRCs" queryTableFieldId="25" dataDxfId="44"/>
    <tableColumn id="46" uniqueName="46" name="awd_id" queryTableFieldId="26" dataDxfId="43"/>
    <tableColumn id="50" uniqueName="50" name="prop_stts_txt" queryTableFieldId="30" dataDxfId="42"/>
    <tableColumn id="51" uniqueName="51" name="prop_titl_txt" queryTableFieldId="31" dataDxfId="41"/>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515" tableType="queryTable" totalsRowCount="1">
  <autoFilter ref="A1:P514"/>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54" totalsRowDxfId="255"/>
    <tableColumn id="11" uniqueName="11" name="returned" queryTableFieldId="11" dataDxfId="253"/>
    <tableColumn id="14" uniqueName="14" name="nchars" queryTableFieldId="15" dataDxfId="252">
      <calculatedColumnFormula>LEN(ProjTextTable[[#This Row],[text]])</calculatedColumnFormula>
    </tableColumn>
    <tableColumn id="15" uniqueName="15" name="nwords" queryTableFieldId="14" dataDxfId="251">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workbookViewId="0">
      <selection activeCell="N16" sqref="N16"/>
    </sheetView>
  </sheetViews>
  <sheetFormatPr defaultRowHeight="14.6" x14ac:dyDescent="0.4"/>
  <cols>
    <col min="1" max="1" width="4.3046875" customWidth="1"/>
    <col min="2" max="2" width="12.84375" customWidth="1"/>
    <col min="3" max="3" width="5.15234375" customWidth="1"/>
    <col min="4" max="4" width="3.15234375" customWidth="1"/>
    <col min="5" max="5" width="15.3046875" customWidth="1"/>
    <col min="6" max="6" width="4.84375" customWidth="1"/>
    <col min="7" max="7" width="5.15234375" customWidth="1"/>
    <col min="8" max="8" width="14" customWidth="1"/>
    <col min="10" max="10" width="9.3046875" customWidth="1"/>
    <col min="12" max="12" width="4.53515625" customWidth="1"/>
    <col min="13" max="13" width="26.69140625" customWidth="1"/>
  </cols>
  <sheetData>
    <row r="1" spans="2:14" ht="18" customHeight="1" x14ac:dyDescent="0.4">
      <c r="B1" s="36" t="s">
        <v>217</v>
      </c>
      <c r="C1" s="36"/>
      <c r="D1" s="36"/>
      <c r="E1" s="36"/>
      <c r="F1" s="36"/>
      <c r="G1" s="36"/>
      <c r="L1" s="3" t="s">
        <v>206</v>
      </c>
    </row>
    <row r="2" spans="2:14" ht="18" customHeight="1" x14ac:dyDescent="0.4">
      <c r="B2" s="36" t="s">
        <v>381</v>
      </c>
      <c r="C2" s="36"/>
      <c r="D2" s="36"/>
      <c r="E2" s="36"/>
      <c r="F2" s="36"/>
      <c r="G2" s="36"/>
      <c r="I2" s="33"/>
      <c r="J2">
        <v>2</v>
      </c>
      <c r="L2" s="118" t="s">
        <v>476</v>
      </c>
    </row>
    <row r="3" spans="2:14" ht="18" customHeight="1" x14ac:dyDescent="0.4">
      <c r="B3" s="3" t="s">
        <v>208</v>
      </c>
      <c r="C3" s="3"/>
      <c r="D3" s="37" t="s">
        <v>209</v>
      </c>
      <c r="E3" s="36" t="s">
        <v>515</v>
      </c>
      <c r="F3" s="36"/>
      <c r="I3" s="33"/>
    </row>
    <row r="4" spans="2:14" ht="18" customHeight="1" x14ac:dyDescent="0.4">
      <c r="B4" s="3"/>
      <c r="C4" s="35" t="s">
        <v>215</v>
      </c>
      <c r="D4" s="38" t="s">
        <v>210</v>
      </c>
      <c r="E4" s="36" t="s">
        <v>510</v>
      </c>
      <c r="F4" s="36"/>
      <c r="I4" s="33"/>
      <c r="J4" t="b">
        <v>0</v>
      </c>
      <c r="L4" s="3" t="s">
        <v>207</v>
      </c>
    </row>
    <row r="5" spans="2:14" ht="18" customHeight="1" x14ac:dyDescent="0.4">
      <c r="B5" s="3"/>
      <c r="C5" s="35"/>
      <c r="D5" s="38" t="s">
        <v>211</v>
      </c>
      <c r="E5" s="36" t="s">
        <v>514</v>
      </c>
      <c r="F5" s="36"/>
      <c r="I5" s="33"/>
    </row>
    <row r="6" spans="2:14" ht="18" customHeight="1" x14ac:dyDescent="0.4">
      <c r="B6" s="3"/>
      <c r="C6" s="35" t="s">
        <v>216</v>
      </c>
      <c r="D6" s="38" t="s">
        <v>212</v>
      </c>
      <c r="E6" s="36"/>
      <c r="F6" s="36"/>
    </row>
    <row r="7" spans="2:14" ht="18" customHeight="1" x14ac:dyDescent="0.4">
      <c r="B7" s="3"/>
      <c r="C7" s="35" t="s">
        <v>218</v>
      </c>
      <c r="D7" s="38" t="s">
        <v>213</v>
      </c>
      <c r="E7" s="36"/>
      <c r="F7" s="36"/>
    </row>
    <row r="8" spans="2:14" ht="18" customHeight="1" x14ac:dyDescent="0.4">
      <c r="B8" s="3"/>
      <c r="C8" s="35" t="s">
        <v>219</v>
      </c>
      <c r="D8" s="38" t="s">
        <v>214</v>
      </c>
      <c r="E8" s="36"/>
      <c r="F8" s="36"/>
      <c r="L8" s="44">
        <v>50</v>
      </c>
      <c r="M8" s="45" t="s">
        <v>227</v>
      </c>
    </row>
    <row r="9" spans="2:14" ht="18" customHeight="1" x14ac:dyDescent="0.4">
      <c r="B9" s="3"/>
      <c r="C9" s="35"/>
      <c r="D9" s="38"/>
      <c r="E9" s="36"/>
      <c r="F9" s="36"/>
    </row>
    <row r="10" spans="2:14" ht="18" customHeight="1" x14ac:dyDescent="0.4">
      <c r="B10" s="3" t="s">
        <v>205</v>
      </c>
      <c r="C10" s="3"/>
      <c r="D10" s="34"/>
      <c r="E10" s="3" t="s">
        <v>204</v>
      </c>
      <c r="F10" s="3"/>
      <c r="G10" s="3"/>
      <c r="H10" s="3" t="s">
        <v>220</v>
      </c>
      <c r="L10" s="3" t="s">
        <v>509</v>
      </c>
    </row>
    <row r="11" spans="2:14" ht="18" customHeight="1" x14ac:dyDescent="0.4">
      <c r="B11" t="s">
        <v>173</v>
      </c>
      <c r="E11" t="s">
        <v>174</v>
      </c>
      <c r="H11" t="s">
        <v>176</v>
      </c>
      <c r="L11" s="61" t="s">
        <v>261</v>
      </c>
      <c r="M11" s="29" t="s">
        <v>260</v>
      </c>
    </row>
    <row r="12" spans="2:14" ht="18" customHeight="1" x14ac:dyDescent="0.4">
      <c r="B12" t="s">
        <v>0</v>
      </c>
      <c r="E12" t="s">
        <v>0</v>
      </c>
      <c r="H12" t="s">
        <v>0</v>
      </c>
      <c r="L12" s="61" t="s">
        <v>262</v>
      </c>
      <c r="M12" s="29" t="s">
        <v>475</v>
      </c>
    </row>
    <row r="13" spans="2:14" x14ac:dyDescent="0.4">
      <c r="B13" s="25"/>
      <c r="E13" s="25"/>
      <c r="H13" s="25"/>
    </row>
    <row r="14" spans="2:14" x14ac:dyDescent="0.4">
      <c r="L14" s="3" t="s">
        <v>426</v>
      </c>
    </row>
    <row r="15" spans="2:14" x14ac:dyDescent="0.4">
      <c r="M15" s="3" t="s">
        <v>422</v>
      </c>
      <c r="N15" s="7" t="s">
        <v>424</v>
      </c>
    </row>
    <row r="16" spans="2:14" x14ac:dyDescent="0.4">
      <c r="M16" s="3" t="s">
        <v>435</v>
      </c>
      <c r="N16" s="7" t="s">
        <v>420</v>
      </c>
    </row>
    <row r="17" spans="3:14" x14ac:dyDescent="0.4">
      <c r="M17" s="3" t="s">
        <v>431</v>
      </c>
      <c r="N17" s="7" t="s">
        <v>420</v>
      </c>
    </row>
    <row r="18" spans="3:14" x14ac:dyDescent="0.4">
      <c r="M18" s="3" t="s">
        <v>421</v>
      </c>
      <c r="N18" s="7" t="s">
        <v>420</v>
      </c>
    </row>
    <row r="19" spans="3:14" x14ac:dyDescent="0.4">
      <c r="M19" s="3" t="s">
        <v>548</v>
      </c>
      <c r="N19" s="7" t="s">
        <v>420</v>
      </c>
    </row>
    <row r="20" spans="3:14" x14ac:dyDescent="0.4">
      <c r="M20" s="3" t="s">
        <v>516</v>
      </c>
      <c r="N20" s="7" t="s">
        <v>418</v>
      </c>
    </row>
    <row r="21" spans="3:14" x14ac:dyDescent="0.4">
      <c r="C21" s="43"/>
      <c r="M21" s="3" t="s">
        <v>547</v>
      </c>
      <c r="N21" s="7" t="s">
        <v>418</v>
      </c>
    </row>
    <row r="22" spans="3:14" x14ac:dyDescent="0.4">
      <c r="M22" s="3" t="s">
        <v>434</v>
      </c>
      <c r="N22" s="7" t="s">
        <v>418</v>
      </c>
    </row>
    <row r="23" spans="3:14" x14ac:dyDescent="0.4">
      <c r="M23" s="3" t="s">
        <v>459</v>
      </c>
      <c r="N23" s="7" t="s">
        <v>12</v>
      </c>
    </row>
    <row r="24" spans="3:14" x14ac:dyDescent="0.4">
      <c r="M24" s="3" t="s">
        <v>439</v>
      </c>
      <c r="N24" s="7" t="s">
        <v>428</v>
      </c>
    </row>
    <row r="25" spans="3:14" x14ac:dyDescent="0.4">
      <c r="M25" s="3" t="s">
        <v>549</v>
      </c>
      <c r="N25" s="7" t="s">
        <v>428</v>
      </c>
    </row>
    <row r="26" spans="3:14" x14ac:dyDescent="0.4">
      <c r="M26" s="3" t="s">
        <v>438</v>
      </c>
      <c r="N26" s="7" t="s">
        <v>428</v>
      </c>
    </row>
    <row r="27" spans="3:14" x14ac:dyDescent="0.4">
      <c r="M27" s="3" t="s">
        <v>456</v>
      </c>
      <c r="N27" s="7" t="s">
        <v>419</v>
      </c>
    </row>
    <row r="28" spans="3:14" x14ac:dyDescent="0.4">
      <c r="M28" s="3" t="s">
        <v>443</v>
      </c>
      <c r="N28" s="7" t="s">
        <v>442</v>
      </c>
    </row>
    <row r="29" spans="3:14" x14ac:dyDescent="0.4">
      <c r="M29" s="3" t="s">
        <v>429</v>
      </c>
      <c r="N29" s="7" t="s">
        <v>430</v>
      </c>
    </row>
    <row r="30" spans="3:14" x14ac:dyDescent="0.4">
      <c r="M30" s="3" t="s">
        <v>427</v>
      </c>
      <c r="N30" s="7" t="s">
        <v>423</v>
      </c>
    </row>
    <row r="31" spans="3:14" x14ac:dyDescent="0.4">
      <c r="M31" s="3" t="s">
        <v>433</v>
      </c>
      <c r="N31" s="7" t="s">
        <v>432</v>
      </c>
    </row>
    <row r="32" spans="3:14" x14ac:dyDescent="0.4">
      <c r="M32" s="3" t="s">
        <v>440</v>
      </c>
      <c r="N32" s="7" t="s">
        <v>441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174171</xdr:colOff>
                    <xdr:row>2</xdr:row>
                    <xdr:rowOff>87086</xdr:rowOff>
                  </from>
                  <to>
                    <xdr:col>13</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96"/>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408</v>
      </c>
      <c r="O1" t="s">
        <v>409</v>
      </c>
      <c r="P1" s="21" t="s">
        <v>410</v>
      </c>
      <c r="Q1" t="s">
        <v>288</v>
      </c>
      <c r="R1" s="22" t="s">
        <v>16</v>
      </c>
      <c r="S1" s="108" t="s">
        <v>101</v>
      </c>
      <c r="T1" s="21" t="s">
        <v>88</v>
      </c>
      <c r="U1" t="s">
        <v>9</v>
      </c>
      <c r="V1" t="s">
        <v>1</v>
      </c>
      <c r="W1" s="14" t="s">
        <v>143</v>
      </c>
      <c r="X1" t="s">
        <v>0</v>
      </c>
      <c r="Y1" t="s">
        <v>10</v>
      </c>
      <c r="Z1" t="s">
        <v>18</v>
      </c>
      <c r="AA1" t="s">
        <v>287</v>
      </c>
      <c r="AB1" s="110" t="s">
        <v>403</v>
      </c>
      <c r="AC1" s="30" t="s">
        <v>19</v>
      </c>
      <c r="AD1" t="s">
        <v>20</v>
      </c>
      <c r="AE1" s="106" t="s">
        <v>151</v>
      </c>
      <c r="AF1" s="107" t="s">
        <v>289</v>
      </c>
      <c r="AG1" s="106" t="s">
        <v>152</v>
      </c>
      <c r="AH1" t="s">
        <v>291</v>
      </c>
      <c r="AI1" s="26" t="s">
        <v>23</v>
      </c>
      <c r="AJ1" s="22" t="s">
        <v>147</v>
      </c>
      <c r="AK1" s="122" t="s">
        <v>390</v>
      </c>
      <c r="AL1" s="106" t="s">
        <v>290</v>
      </c>
      <c r="AM1" s="106" t="s">
        <v>292</v>
      </c>
      <c r="AN1" s="106" t="s">
        <v>146</v>
      </c>
      <c r="AO1" s="106" t="s">
        <v>293</v>
      </c>
      <c r="AP1" s="106" t="s">
        <v>294</v>
      </c>
      <c r="AQ1" s="106" t="s">
        <v>295</v>
      </c>
      <c r="AR1" t="s">
        <v>463</v>
      </c>
      <c r="AS1" t="s">
        <v>166</v>
      </c>
      <c r="AT1" t="s">
        <v>36</v>
      </c>
      <c r="AU1" t="s">
        <v>411</v>
      </c>
      <c r="AV1" t="s">
        <v>296</v>
      </c>
      <c r="AW1" t="s">
        <v>21</v>
      </c>
      <c r="AX1" t="s">
        <v>22</v>
      </c>
      <c r="AY1" t="s">
        <v>297</v>
      </c>
      <c r="AZ1" t="s">
        <v>298</v>
      </c>
      <c r="BA1" t="s">
        <v>299</v>
      </c>
      <c r="BB1" t="s">
        <v>300</v>
      </c>
      <c r="BC1" t="s">
        <v>301</v>
      </c>
      <c r="BD1" t="s">
        <v>302</v>
      </c>
      <c r="BE1" t="s">
        <v>303</v>
      </c>
      <c r="BF1" t="s">
        <v>304</v>
      </c>
      <c r="BG1" t="s">
        <v>305</v>
      </c>
      <c r="BH1" t="s">
        <v>133</v>
      </c>
      <c r="BI1" t="s">
        <v>134</v>
      </c>
      <c r="BJ1" t="s">
        <v>136</v>
      </c>
      <c r="BK1" t="s">
        <v>135</v>
      </c>
      <c r="BL1" t="s">
        <v>145</v>
      </c>
    </row>
    <row r="2" spans="1:64" x14ac:dyDescent="0.4">
      <c r="A2" s="30"/>
      <c r="B2" s="30">
        <v>42930.554166666669</v>
      </c>
      <c r="C2" t="s">
        <v>1430</v>
      </c>
      <c r="D2" t="s">
        <v>477</v>
      </c>
      <c r="E2" t="s">
        <v>582</v>
      </c>
      <c r="F2" t="s">
        <v>171</v>
      </c>
      <c r="G2" t="s">
        <v>169</v>
      </c>
      <c r="H2" s="21" t="s">
        <v>94</v>
      </c>
      <c r="I2" s="86">
        <v>1</v>
      </c>
      <c r="J2" s="86">
        <v>0</v>
      </c>
      <c r="K2" t="s">
        <v>1431</v>
      </c>
      <c r="L2" t="s">
        <v>604</v>
      </c>
      <c r="M2" t="s">
        <v>1433</v>
      </c>
      <c r="N2" t="str">
        <f>IF(SUM(ckCodingTable[[#This Row],[NfmlPIs]:[NnonWhtAsnPIs]])&gt;0,"WMD","")</f>
        <v/>
      </c>
      <c r="O2" t="b">
        <f>_xlfn.XOR(IFERROR(MATCH(ckCodingTable[[#This Row],[st_code]],EpscorTable[],0)&gt;0,FALSE),IFERROR(FIND("9150",ckCodingTable[[#This Row],[propPRCs]])&gt;0,FALSE))</f>
        <v>0</v>
      </c>
      <c r="P2" s="21" t="b">
        <f>_xlfn.XOR(ckCodingTable[[#This Row],[wmd]]&lt;&gt;"",IFERROR(FIND("9102",ckCodingTable[[#This Row],[propPRCs]])&gt;0,FALSE))</f>
        <v>0</v>
      </c>
      <c r="Q2" t="s">
        <v>1432</v>
      </c>
      <c r="R2" s="22">
        <v>43076.608981481484</v>
      </c>
      <c r="S2" s="108">
        <f>S1+(ckCodingTable[[#This Row],[ILN]]&lt;"M")</f>
        <v>1</v>
      </c>
      <c r="T2" s="21" t="s">
        <v>95</v>
      </c>
      <c r="U2" t="s">
        <v>602</v>
      </c>
      <c r="V2" s="7" t="str">
        <f>HYPERLINK("https://www.ejacket.nsf.gov/ej/showProposal.do?ID="&amp;ckCodingTable[[#This Row],[prop_id]],"eJ")</f>
        <v>eJ</v>
      </c>
      <c r="W2" t="s">
        <v>478</v>
      </c>
      <c r="X2" t="s">
        <v>602</v>
      </c>
      <c r="Y2" t="s">
        <v>603</v>
      </c>
      <c r="Z2" t="s">
        <v>1434</v>
      </c>
      <c r="AA2" t="s">
        <v>1435</v>
      </c>
      <c r="AB2" s="111" t="str">
        <f>HYPERLINK("mailto:"&amp;ckCodingTable[[#This Row],[email]]&amp;"&amp;subject=Your NSF Proposal:  "&amp;ckCodingTable[[#This Row],[Div]]&amp;" "&amp;ckCodingTable[[#This Row],[prop_id]], ckCodingTable[[#This Row],[email]])</f>
        <v>steffen.borgwardt@ucdenver.edu</v>
      </c>
      <c r="AC2" s="30">
        <v>43101</v>
      </c>
      <c r="AD2">
        <v>60</v>
      </c>
      <c r="AE2">
        <v>1</v>
      </c>
      <c r="AG2" s="112">
        <v>1</v>
      </c>
      <c r="AH2" t="s">
        <v>1436</v>
      </c>
      <c r="AI2" s="26">
        <v>3.75</v>
      </c>
      <c r="AJ2" s="22">
        <v>43031.583333333336</v>
      </c>
      <c r="AL2">
        <v>4</v>
      </c>
      <c r="AN2" s="112">
        <v>4</v>
      </c>
      <c r="AO2" s="112"/>
      <c r="AP2" s="112"/>
      <c r="AQ2" s="112"/>
      <c r="AR2" s="7" t="str">
        <f>HYPERLINK("https://www.ejacket.nsf.gov/ej/showProposal.do?ID="&amp;ckCodingTable[[#This Row],[prop_id]],"eJ")</f>
        <v>eJ</v>
      </c>
      <c r="AS2" t="s">
        <v>172</v>
      </c>
      <c r="AT2" t="s">
        <v>1437</v>
      </c>
      <c r="AU2" t="b">
        <f>IF(ckCodingTable[[#This Row],[ILN]]="N",SUBSTITUTE(AT1," ","")&lt;&gt;SUBSTITUTE(ckCodingTable[[#This Row],[prop_titl_txt]]," ",""), FALSE)</f>
        <v>0</v>
      </c>
      <c r="AV2">
        <v>0</v>
      </c>
      <c r="AW2" s="13">
        <v>470400</v>
      </c>
      <c r="AX2" s="13">
        <v>470400</v>
      </c>
      <c r="AY2" s="13"/>
      <c r="AZ2" s="13">
        <v>9600</v>
      </c>
      <c r="BA2" s="13"/>
      <c r="BB2" s="13"/>
      <c r="BC2">
        <v>5</v>
      </c>
      <c r="BD2">
        <v>5</v>
      </c>
      <c r="BE2">
        <v>7.5</v>
      </c>
      <c r="BH2">
        <v>0</v>
      </c>
      <c r="BI2">
        <v>0</v>
      </c>
      <c r="BJ2">
        <v>0</v>
      </c>
      <c r="BK2">
        <v>0</v>
      </c>
      <c r="BL2" t="s">
        <v>1438</v>
      </c>
    </row>
    <row r="3" spans="1:64" x14ac:dyDescent="0.4">
      <c r="A3" s="30"/>
      <c r="B3" s="30">
        <v>42933.444444444445</v>
      </c>
      <c r="C3" t="s">
        <v>1430</v>
      </c>
      <c r="D3" t="s">
        <v>1622</v>
      </c>
      <c r="E3" t="s">
        <v>580</v>
      </c>
      <c r="F3" t="s">
        <v>171</v>
      </c>
      <c r="G3" t="s">
        <v>169</v>
      </c>
      <c r="H3" s="21" t="s">
        <v>94</v>
      </c>
      <c r="I3" s="86">
        <v>1</v>
      </c>
      <c r="J3" s="86">
        <v>0</v>
      </c>
      <c r="K3" t="s">
        <v>2065</v>
      </c>
      <c r="L3" t="s">
        <v>1166</v>
      </c>
      <c r="M3" t="s">
        <v>563</v>
      </c>
      <c r="N3" t="str">
        <f>IF(SUM(ckCodingTable[[#This Row],[NfmlPIs]:[NnonWhtAsnPIs]])&gt;0,"WMD","")</f>
        <v/>
      </c>
      <c r="O3" t="b">
        <f>_xlfn.XOR(IFERROR(MATCH(ckCodingTable[[#This Row],[st_code]],EpscorTable[],0)&gt;0,FALSE),IFERROR(FIND("9150",ckCodingTable[[#This Row],[propPRCs]])&gt;0,FALSE))</f>
        <v>0</v>
      </c>
      <c r="P3" s="21" t="b">
        <f>_xlfn.XOR(ckCodingTable[[#This Row],[wmd]]&lt;&gt;"",IFERROR(FIND("9102",ckCodingTable[[#This Row],[propPRCs]])&gt;0,FALSE))</f>
        <v>0</v>
      </c>
      <c r="Q3" t="s">
        <v>2066</v>
      </c>
      <c r="R3" s="22">
        <v>43068.644884259258</v>
      </c>
      <c r="S3" s="108">
        <f>S2+(ckCodingTable[[#This Row],[ILN]]&lt;"M")</f>
        <v>2</v>
      </c>
      <c r="T3" s="21" t="s">
        <v>95</v>
      </c>
      <c r="U3" t="s">
        <v>2015</v>
      </c>
      <c r="V3" s="7" t="str">
        <f>HYPERLINK("https://www.ejacket.nsf.gov/ej/showProposal.do?ID="&amp;ckCodingTable[[#This Row],[prop_id]],"eJ")</f>
        <v>eJ</v>
      </c>
      <c r="W3" t="s">
        <v>1625</v>
      </c>
      <c r="X3" t="s">
        <v>2015</v>
      </c>
      <c r="Y3" t="s">
        <v>2016</v>
      </c>
      <c r="Z3" t="s">
        <v>2067</v>
      </c>
      <c r="AA3" t="s">
        <v>2068</v>
      </c>
      <c r="AB3" s="111" t="str">
        <f>HYPERLINK("mailto:"&amp;ckCodingTable[[#This Row],[email]]&amp;"&amp;subject=Your NSF Proposal:  "&amp;ckCodingTable[[#This Row],[Div]]&amp;" "&amp;ckCodingTable[[#This Row],[prop_id]], ckCodingTable[[#This Row],[email]])</f>
        <v>tianbao-yang@uiowa.edu</v>
      </c>
      <c r="AC3" s="30">
        <v>43252</v>
      </c>
      <c r="AD3">
        <v>60</v>
      </c>
      <c r="AE3">
        <v>2</v>
      </c>
      <c r="AG3" s="112"/>
      <c r="AH3" t="s">
        <v>2069</v>
      </c>
      <c r="AI3" s="26">
        <v>6</v>
      </c>
      <c r="AJ3" s="22">
        <v>43060.395138888889</v>
      </c>
      <c r="AL3">
        <v>7</v>
      </c>
      <c r="AN3" s="112"/>
      <c r="AO3" s="112"/>
      <c r="AP3" s="112"/>
      <c r="AQ3" s="112"/>
      <c r="AR3" s="7" t="str">
        <f>HYPERLINK("https://www.ejacket.nsf.gov/ej/showProposal.do?ID="&amp;ckCodingTable[[#This Row],[prop_id]],"eJ")</f>
        <v>eJ</v>
      </c>
      <c r="AS3" t="s">
        <v>2070</v>
      </c>
      <c r="AT3" t="s">
        <v>2071</v>
      </c>
      <c r="AU3" t="b">
        <f>IF(ckCodingTable[[#This Row],[ILN]]="N",SUBSTITUTE(AT2," ","")&lt;&gt;SUBSTITUTE(ckCodingTable[[#This Row],[prop_titl_txt]]," ",""), FALSE)</f>
        <v>0</v>
      </c>
      <c r="AV3">
        <v>0</v>
      </c>
      <c r="AW3" s="13">
        <v>543913</v>
      </c>
      <c r="AX3" s="13">
        <v>543913</v>
      </c>
      <c r="AY3" s="13"/>
      <c r="AZ3" s="13">
        <v>15500</v>
      </c>
      <c r="BA3" s="13"/>
      <c r="BB3" s="13"/>
      <c r="BC3">
        <v>10</v>
      </c>
      <c r="BD3">
        <v>5</v>
      </c>
      <c r="BE3">
        <v>5</v>
      </c>
      <c r="BH3">
        <v>0</v>
      </c>
      <c r="BI3">
        <v>0</v>
      </c>
      <c r="BJ3">
        <v>0</v>
      </c>
      <c r="BK3">
        <v>0</v>
      </c>
      <c r="BL3" t="s">
        <v>2072</v>
      </c>
    </row>
    <row r="4" spans="1:64" x14ac:dyDescent="0.4">
      <c r="A4" s="30"/>
      <c r="B4" s="30">
        <v>42933.547222222223</v>
      </c>
      <c r="C4" t="s">
        <v>1430</v>
      </c>
      <c r="D4" t="s">
        <v>477</v>
      </c>
      <c r="E4" t="s">
        <v>582</v>
      </c>
      <c r="F4" t="s">
        <v>171</v>
      </c>
      <c r="G4" t="s">
        <v>169</v>
      </c>
      <c r="H4" s="21" t="s">
        <v>94</v>
      </c>
      <c r="I4" s="86">
        <v>1</v>
      </c>
      <c r="J4" s="86">
        <v>0</v>
      </c>
      <c r="K4" t="s">
        <v>1431</v>
      </c>
      <c r="L4" t="s">
        <v>604</v>
      </c>
      <c r="M4" t="s">
        <v>555</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1439</v>
      </c>
      <c r="R4" s="22">
        <v>43082.662557870368</v>
      </c>
      <c r="S4" s="108">
        <f>S3+(ckCodingTable[[#This Row],[ILN]]&lt;"M")</f>
        <v>3</v>
      </c>
      <c r="T4" s="21" t="s">
        <v>95</v>
      </c>
      <c r="U4" t="s">
        <v>630</v>
      </c>
      <c r="V4" s="7" t="str">
        <f>HYPERLINK("https://www.ejacket.nsf.gov/ej/showProposal.do?ID="&amp;ckCodingTable[[#This Row],[prop_id]],"eJ")</f>
        <v>eJ</v>
      </c>
      <c r="W4" t="s">
        <v>478</v>
      </c>
      <c r="X4" t="s">
        <v>630</v>
      </c>
      <c r="Y4" t="s">
        <v>631</v>
      </c>
      <c r="Z4" t="s">
        <v>1440</v>
      </c>
      <c r="AA4" t="s">
        <v>559</v>
      </c>
      <c r="AB4" s="111" t="str">
        <f>HYPERLINK("mailto:"&amp;ckCodingTable[[#This Row],[email]]&amp;"&amp;subject=Your NSF Proposal:  "&amp;ckCodingTable[[#This Row],[Div]]&amp;" "&amp;ckCodingTable[[#This Row],[prop_id]], ckCodingTable[[#This Row],[email]])</f>
        <v>haitao.wang@usu.edu</v>
      </c>
      <c r="AC4" s="30">
        <v>43221</v>
      </c>
      <c r="AD4">
        <v>60</v>
      </c>
      <c r="AE4">
        <v>1</v>
      </c>
      <c r="AG4" s="112">
        <v>1</v>
      </c>
      <c r="AH4" t="s">
        <v>1441</v>
      </c>
      <c r="AI4" s="26">
        <v>6.25</v>
      </c>
      <c r="AJ4" s="22">
        <v>43030.179166666669</v>
      </c>
      <c r="AL4">
        <v>4</v>
      </c>
      <c r="AN4" s="112">
        <v>4</v>
      </c>
      <c r="AO4" s="112"/>
      <c r="AP4" s="112"/>
      <c r="AQ4" s="112"/>
      <c r="AR4" s="7" t="str">
        <f>HYPERLINK("https://www.ejacket.nsf.gov/ej/showProposal.do?ID="&amp;ckCodingTable[[#This Row],[prop_id]],"eJ")</f>
        <v>eJ</v>
      </c>
      <c r="AS4" t="s">
        <v>172</v>
      </c>
      <c r="AT4" t="s">
        <v>1442</v>
      </c>
      <c r="AU4" t="b">
        <f>IF(ckCodingTable[[#This Row],[ILN]]="N",SUBSTITUTE(AT3," ","")&lt;&gt;SUBSTITUTE(ckCodingTable[[#This Row],[prop_titl_txt]]," ",""), FALSE)</f>
        <v>0</v>
      </c>
      <c r="AV4">
        <v>0</v>
      </c>
      <c r="AW4" s="13">
        <v>524898</v>
      </c>
      <c r="AX4" s="13">
        <v>524898</v>
      </c>
      <c r="AY4" s="13"/>
      <c r="AZ4" s="13">
        <v>15000</v>
      </c>
      <c r="BA4" s="13"/>
      <c r="BB4" s="13"/>
      <c r="BC4">
        <v>10</v>
      </c>
      <c r="BD4">
        <v>5</v>
      </c>
      <c r="BE4">
        <v>5</v>
      </c>
      <c r="BH4">
        <v>0</v>
      </c>
      <c r="BI4">
        <v>0</v>
      </c>
      <c r="BJ4">
        <v>0</v>
      </c>
      <c r="BK4">
        <v>0</v>
      </c>
      <c r="BL4" t="s">
        <v>1443</v>
      </c>
    </row>
    <row r="5" spans="1:64" x14ac:dyDescent="0.4">
      <c r="A5" s="30"/>
      <c r="B5" s="30">
        <v>42933.579861111109</v>
      </c>
      <c r="C5" t="s">
        <v>1430</v>
      </c>
      <c r="D5" t="s">
        <v>477</v>
      </c>
      <c r="E5" t="s">
        <v>582</v>
      </c>
      <c r="F5" t="s">
        <v>171</v>
      </c>
      <c r="G5" t="s">
        <v>169</v>
      </c>
      <c r="H5" s="21" t="s">
        <v>94</v>
      </c>
      <c r="I5" s="86">
        <v>1</v>
      </c>
      <c r="J5" s="86">
        <v>0</v>
      </c>
      <c r="K5" t="s">
        <v>1431</v>
      </c>
      <c r="L5" t="s">
        <v>654</v>
      </c>
      <c r="M5" t="s">
        <v>496</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1444</v>
      </c>
      <c r="R5" s="22">
        <v>43082.662615740737</v>
      </c>
      <c r="S5" s="108">
        <f>S4+(ckCodingTable[[#This Row],[ILN]]&lt;"M")</f>
        <v>4</v>
      </c>
      <c r="T5" s="21" t="s">
        <v>95</v>
      </c>
      <c r="U5" t="s">
        <v>652</v>
      </c>
      <c r="V5" s="7" t="str">
        <f>HYPERLINK("https://www.ejacket.nsf.gov/ej/showProposal.do?ID="&amp;ckCodingTable[[#This Row],[prop_id]],"eJ")</f>
        <v>eJ</v>
      </c>
      <c r="W5" t="s">
        <v>478</v>
      </c>
      <c r="X5" t="s">
        <v>652</v>
      </c>
      <c r="Y5" t="s">
        <v>653</v>
      </c>
      <c r="Z5" t="s">
        <v>1445</v>
      </c>
      <c r="AA5" t="s">
        <v>497</v>
      </c>
      <c r="AB5" s="111" t="str">
        <f>HYPERLINK("mailto:"&amp;ckCodingTable[[#This Row],[email]]&amp;"&amp;subject=Your NSF Proposal:  "&amp;ckCodingTable[[#This Row],[Div]]&amp;" "&amp;ckCodingTable[[#This Row],[prop_id]], ckCodingTable[[#This Row],[email]])</f>
        <v>bmoseley@seas.wustl.edu</v>
      </c>
      <c r="AC5" s="30">
        <v>43282</v>
      </c>
      <c r="AD5">
        <v>60</v>
      </c>
      <c r="AE5">
        <v>1</v>
      </c>
      <c r="AG5" s="112">
        <v>1</v>
      </c>
      <c r="AH5" t="s">
        <v>1446</v>
      </c>
      <c r="AI5" s="26">
        <v>6.8</v>
      </c>
      <c r="AJ5" s="22">
        <v>43032.510416666664</v>
      </c>
      <c r="AK5" s="21">
        <v>1</v>
      </c>
      <c r="AL5">
        <v>5</v>
      </c>
      <c r="AN5" s="112">
        <v>5</v>
      </c>
      <c r="AO5" s="112"/>
      <c r="AP5" s="112"/>
      <c r="AQ5" s="112"/>
      <c r="AR5" s="7" t="str">
        <f>HYPERLINK("https://www.ejacket.nsf.gov/ej/showProposal.do?ID="&amp;ckCodingTable[[#This Row],[prop_id]],"eJ")</f>
        <v>eJ</v>
      </c>
      <c r="AS5" t="s">
        <v>172</v>
      </c>
      <c r="AT5" t="s">
        <v>1447</v>
      </c>
      <c r="AU5" t="b">
        <f>IF(ckCodingTable[[#This Row],[ILN]]="N",SUBSTITUTE(AT4," ","")&lt;&gt;SUBSTITUTE(ckCodingTable[[#This Row],[prop_titl_txt]]," ",""), FALSE)</f>
        <v>0</v>
      </c>
      <c r="AV5">
        <v>0</v>
      </c>
      <c r="AW5" s="13">
        <v>545000</v>
      </c>
      <c r="AX5" s="13">
        <v>545000</v>
      </c>
      <c r="AY5" s="13"/>
      <c r="AZ5" s="13"/>
      <c r="BA5" s="13"/>
      <c r="BB5" s="13">
        <v>8000</v>
      </c>
      <c r="BC5">
        <v>5</v>
      </c>
      <c r="BD5">
        <v>5</v>
      </c>
      <c r="BE5">
        <v>6.5</v>
      </c>
      <c r="BH5">
        <v>0</v>
      </c>
      <c r="BI5">
        <v>0</v>
      </c>
      <c r="BJ5">
        <v>0</v>
      </c>
      <c r="BK5">
        <v>0</v>
      </c>
      <c r="BL5" t="s">
        <v>1448</v>
      </c>
    </row>
    <row r="6" spans="1:64" x14ac:dyDescent="0.4">
      <c r="A6" s="30"/>
      <c r="B6" s="30">
        <v>42933.713888888888</v>
      </c>
      <c r="C6" t="s">
        <v>1430</v>
      </c>
      <c r="D6" t="s">
        <v>477</v>
      </c>
      <c r="E6" t="s">
        <v>582</v>
      </c>
      <c r="F6" t="s">
        <v>171</v>
      </c>
      <c r="G6" t="s">
        <v>169</v>
      </c>
      <c r="H6" s="21" t="s">
        <v>94</v>
      </c>
      <c r="I6" s="86">
        <v>1</v>
      </c>
      <c r="J6" s="86">
        <v>0</v>
      </c>
      <c r="K6" t="s">
        <v>1431</v>
      </c>
      <c r="L6" t="s">
        <v>604</v>
      </c>
      <c r="M6" t="s">
        <v>553</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1432</v>
      </c>
      <c r="S6" s="108">
        <f>S5+(ckCodingTable[[#This Row],[ILN]]&lt;"M")</f>
        <v>5</v>
      </c>
      <c r="T6" s="21" t="s">
        <v>95</v>
      </c>
      <c r="U6" t="s">
        <v>669</v>
      </c>
      <c r="V6" s="7" t="str">
        <f>HYPERLINK("https://www.ejacket.nsf.gov/ej/showProposal.do?ID="&amp;ckCodingTable[[#This Row],[prop_id]],"eJ")</f>
        <v>eJ</v>
      </c>
      <c r="W6" t="s">
        <v>478</v>
      </c>
      <c r="X6" t="s">
        <v>669</v>
      </c>
      <c r="Y6" t="s">
        <v>670</v>
      </c>
      <c r="Z6" t="s">
        <v>1449</v>
      </c>
      <c r="AA6" t="s">
        <v>554</v>
      </c>
      <c r="AB6" s="111" t="str">
        <f>HYPERLINK("mailto:"&amp;ckCodingTable[[#This Row],[email]]&amp;"&amp;subject=Your NSF Proposal:  "&amp;ckCodingTable[[#This Row],[Div]]&amp;" "&amp;ckCodingTable[[#This Row],[prop_id]], ckCodingTable[[#This Row],[email]])</f>
        <v>delpia@wisc.edu</v>
      </c>
      <c r="AC6" s="30">
        <v>43344</v>
      </c>
      <c r="AD6">
        <v>60</v>
      </c>
      <c r="AE6">
        <v>1</v>
      </c>
      <c r="AG6" s="112">
        <v>1</v>
      </c>
      <c r="AH6" t="s">
        <v>1450</v>
      </c>
      <c r="AI6" s="26">
        <v>7</v>
      </c>
      <c r="AJ6" s="22">
        <v>43031.584027777775</v>
      </c>
      <c r="AL6">
        <v>4</v>
      </c>
      <c r="AN6" s="112">
        <v>4</v>
      </c>
      <c r="AO6" s="112"/>
      <c r="AP6" s="112"/>
      <c r="AQ6" s="112"/>
      <c r="AR6" s="7" t="str">
        <f>HYPERLINK("https://www.ejacket.nsf.gov/ej/showProposal.do?ID="&amp;ckCodingTable[[#This Row],[prop_id]],"eJ")</f>
        <v>eJ</v>
      </c>
      <c r="AS6" t="s">
        <v>172</v>
      </c>
      <c r="AT6" t="s">
        <v>1451</v>
      </c>
      <c r="AU6" t="b">
        <f>IF(ckCodingTable[[#This Row],[ILN]]="N",SUBSTITUTE(AT5," ","")&lt;&gt;SUBSTITUTE(ckCodingTable[[#This Row],[prop_titl_txt]]," ",""), FALSE)</f>
        <v>0</v>
      </c>
      <c r="AV6">
        <v>0</v>
      </c>
      <c r="AW6" s="13">
        <v>500000</v>
      </c>
      <c r="AX6" s="13">
        <v>500000</v>
      </c>
      <c r="AY6" s="13"/>
      <c r="AZ6" s="13">
        <v>12416</v>
      </c>
      <c r="BA6" s="13"/>
      <c r="BB6" s="13"/>
      <c r="BC6">
        <v>5</v>
      </c>
      <c r="BD6">
        <v>5</v>
      </c>
      <c r="BE6">
        <v>5</v>
      </c>
      <c r="BH6">
        <v>0</v>
      </c>
      <c r="BI6">
        <v>0</v>
      </c>
      <c r="BJ6">
        <v>0</v>
      </c>
      <c r="BK6">
        <v>0</v>
      </c>
      <c r="BL6" t="s">
        <v>1452</v>
      </c>
    </row>
    <row r="7" spans="1:64" x14ac:dyDescent="0.4">
      <c r="A7" s="30"/>
      <c r="B7" s="30">
        <v>42933.820138888892</v>
      </c>
      <c r="C7" t="s">
        <v>1430</v>
      </c>
      <c r="D7" t="s">
        <v>477</v>
      </c>
      <c r="E7" t="s">
        <v>582</v>
      </c>
      <c r="F7" t="s">
        <v>171</v>
      </c>
      <c r="G7" t="s">
        <v>169</v>
      </c>
      <c r="H7" s="21" t="s">
        <v>94</v>
      </c>
      <c r="I7" s="86">
        <v>1</v>
      </c>
      <c r="J7" s="86">
        <v>0</v>
      </c>
      <c r="K7" t="s">
        <v>1431</v>
      </c>
      <c r="L7" t="s">
        <v>604</v>
      </c>
      <c r="M7" t="s">
        <v>1453</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1432</v>
      </c>
      <c r="S7" s="108">
        <f>S6+(ckCodingTable[[#This Row],[ILN]]&lt;"M")</f>
        <v>6</v>
      </c>
      <c r="T7" s="21" t="s">
        <v>95</v>
      </c>
      <c r="U7" t="s">
        <v>677</v>
      </c>
      <c r="V7" s="7" t="str">
        <f>HYPERLINK("https://www.ejacket.nsf.gov/ej/showProposal.do?ID="&amp;ckCodingTable[[#This Row],[prop_id]],"eJ")</f>
        <v>eJ</v>
      </c>
      <c r="W7" t="s">
        <v>478</v>
      </c>
      <c r="X7" t="s">
        <v>677</v>
      </c>
      <c r="Y7" t="s">
        <v>678</v>
      </c>
      <c r="Z7" t="s">
        <v>1454</v>
      </c>
      <c r="AA7" t="s">
        <v>1455</v>
      </c>
      <c r="AB7" s="111" t="str">
        <f>HYPERLINK("mailto:"&amp;ckCodingTable[[#This Row],[email]]&amp;"&amp;subject=Your NSF Proposal:  "&amp;ckCodingTable[[#This Row],[Div]]&amp;" "&amp;ckCodingTable[[#This Row],[prop_id]], ckCodingTable[[#This Row],[email]])</f>
        <v>yintat@uw.edu</v>
      </c>
      <c r="AC7" s="30">
        <v>43175</v>
      </c>
      <c r="AD7">
        <v>60</v>
      </c>
      <c r="AE7">
        <v>1</v>
      </c>
      <c r="AG7" s="112">
        <v>1</v>
      </c>
      <c r="AH7" t="s">
        <v>1456</v>
      </c>
      <c r="AI7" s="26">
        <v>8</v>
      </c>
      <c r="AJ7" s="22">
        <v>43031.375694444447</v>
      </c>
      <c r="AK7" s="21">
        <v>3</v>
      </c>
      <c r="AL7">
        <v>4</v>
      </c>
      <c r="AN7" s="112">
        <v>4</v>
      </c>
      <c r="AO7" s="112"/>
      <c r="AP7" s="112"/>
      <c r="AQ7" s="112"/>
      <c r="AR7" s="7" t="str">
        <f>HYPERLINK("https://www.ejacket.nsf.gov/ej/showProposal.do?ID="&amp;ckCodingTable[[#This Row],[prop_id]],"eJ")</f>
        <v>eJ</v>
      </c>
      <c r="AS7" t="s">
        <v>172</v>
      </c>
      <c r="AT7" t="s">
        <v>1457</v>
      </c>
      <c r="AU7" t="b">
        <f>IF(ckCodingTable[[#This Row],[ILN]]="N",SUBSTITUTE(AT6," ","")&lt;&gt;SUBSTITUTE(ckCodingTable[[#This Row],[prop_titl_txt]]," ",""), FALSE)</f>
        <v>0</v>
      </c>
      <c r="AV7">
        <v>0</v>
      </c>
      <c r="AW7" s="13">
        <v>549841</v>
      </c>
      <c r="AX7" s="13">
        <v>549841</v>
      </c>
      <c r="AY7" s="13"/>
      <c r="AZ7" s="13"/>
      <c r="BA7" s="13"/>
      <c r="BB7" s="13"/>
      <c r="BC7">
        <v>5</v>
      </c>
      <c r="BD7">
        <v>5</v>
      </c>
      <c r="BE7">
        <v>2.5</v>
      </c>
      <c r="BG7">
        <v>2.5</v>
      </c>
      <c r="BH7">
        <v>0</v>
      </c>
      <c r="BI7">
        <v>0</v>
      </c>
      <c r="BJ7">
        <v>0</v>
      </c>
      <c r="BK7">
        <v>0</v>
      </c>
      <c r="BL7" t="s">
        <v>1458</v>
      </c>
    </row>
    <row r="8" spans="1:64" x14ac:dyDescent="0.4">
      <c r="A8" s="30"/>
      <c r="B8" s="30">
        <v>42934.453472222223</v>
      </c>
      <c r="C8" t="s">
        <v>1430</v>
      </c>
      <c r="D8" t="s">
        <v>477</v>
      </c>
      <c r="E8" t="s">
        <v>582</v>
      </c>
      <c r="F8" t="s">
        <v>171</v>
      </c>
      <c r="G8" t="s">
        <v>169</v>
      </c>
      <c r="H8" s="21" t="s">
        <v>94</v>
      </c>
      <c r="I8" s="86">
        <v>1</v>
      </c>
      <c r="J8" s="86">
        <v>0</v>
      </c>
      <c r="K8" t="s">
        <v>1431</v>
      </c>
      <c r="L8" t="s">
        <v>654</v>
      </c>
      <c r="M8" t="s">
        <v>230</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1432</v>
      </c>
      <c r="S8" s="108">
        <f>S7+(ckCodingTable[[#This Row],[ILN]]&lt;"M")</f>
        <v>7</v>
      </c>
      <c r="T8" s="21" t="s">
        <v>95</v>
      </c>
      <c r="U8" t="s">
        <v>685</v>
      </c>
      <c r="V8" s="7" t="str">
        <f>HYPERLINK("https://www.ejacket.nsf.gov/ej/showProposal.do?ID="&amp;ckCodingTable[[#This Row],[prop_id]],"eJ")</f>
        <v>eJ</v>
      </c>
      <c r="W8" t="s">
        <v>478</v>
      </c>
      <c r="X8" t="s">
        <v>685</v>
      </c>
      <c r="Y8" t="s">
        <v>686</v>
      </c>
      <c r="Z8" t="s">
        <v>1459</v>
      </c>
      <c r="AA8" t="s">
        <v>1460</v>
      </c>
      <c r="AB8" s="111" t="str">
        <f>HYPERLINK("mailto:"&amp;ckCodingTable[[#This Row],[email]]&amp;"&amp;subject=Your NSF Proposal:  "&amp;ckCodingTable[[#This Row],[Div]]&amp;" "&amp;ckCodingTable[[#This Row],[prop_id]], ckCodingTable[[#This Row],[email]])</f>
        <v>sim3@ucmerced.edu</v>
      </c>
      <c r="AC8" s="30">
        <v>43282</v>
      </c>
      <c r="AD8">
        <v>60</v>
      </c>
      <c r="AE8">
        <v>1</v>
      </c>
      <c r="AG8" s="112">
        <v>1</v>
      </c>
      <c r="AH8" t="s">
        <v>1461</v>
      </c>
      <c r="AI8" s="26">
        <v>6.5</v>
      </c>
      <c r="AJ8" s="22">
        <v>43032.518055555556</v>
      </c>
      <c r="AL8">
        <v>4</v>
      </c>
      <c r="AN8" s="112">
        <v>4</v>
      </c>
      <c r="AO8" s="112"/>
      <c r="AP8" s="112"/>
      <c r="AQ8" s="112"/>
      <c r="AR8" s="7" t="str">
        <f>HYPERLINK("https://www.ejacket.nsf.gov/ej/showProposal.do?ID="&amp;ckCodingTable[[#This Row],[prop_id]],"eJ")</f>
        <v>eJ</v>
      </c>
      <c r="AS8" t="s">
        <v>172</v>
      </c>
      <c r="AT8" t="s">
        <v>1462</v>
      </c>
      <c r="AU8" t="b">
        <f>IF(ckCodingTable[[#This Row],[ILN]]="N",SUBSTITUTE(AT7," ","")&lt;&gt;SUBSTITUTE(ckCodingTable[[#This Row],[prop_titl_txt]]," ",""), FALSE)</f>
        <v>0</v>
      </c>
      <c r="AV8">
        <v>0</v>
      </c>
      <c r="AW8" s="13">
        <v>514477</v>
      </c>
      <c r="AX8" s="13">
        <v>514477</v>
      </c>
      <c r="AY8" s="13"/>
      <c r="AZ8" s="13"/>
      <c r="BA8" s="13"/>
      <c r="BB8" s="13"/>
      <c r="BC8">
        <v>10</v>
      </c>
      <c r="BD8">
        <v>4</v>
      </c>
      <c r="BE8">
        <v>7</v>
      </c>
      <c r="BH8">
        <v>0</v>
      </c>
      <c r="BI8">
        <v>0</v>
      </c>
      <c r="BJ8">
        <v>0</v>
      </c>
      <c r="BK8">
        <v>0</v>
      </c>
      <c r="BL8" t="s">
        <v>1463</v>
      </c>
    </row>
    <row r="9" spans="1:64" x14ac:dyDescent="0.4">
      <c r="A9" s="30"/>
      <c r="B9" s="30">
        <v>42934.507638888892</v>
      </c>
      <c r="C9" t="s">
        <v>1430</v>
      </c>
      <c r="D9" t="s">
        <v>477</v>
      </c>
      <c r="E9" t="s">
        <v>582</v>
      </c>
      <c r="F9" t="s">
        <v>171</v>
      </c>
      <c r="G9" t="s">
        <v>169</v>
      </c>
      <c r="H9" s="21" t="s">
        <v>94</v>
      </c>
      <c r="I9" s="86">
        <v>0</v>
      </c>
      <c r="J9" s="86">
        <v>0</v>
      </c>
      <c r="K9" t="s">
        <v>1431</v>
      </c>
      <c r="L9" t="s">
        <v>654</v>
      </c>
      <c r="M9" t="s">
        <v>230</v>
      </c>
      <c r="N9" t="str">
        <f>IF(SUM(ckCodingTable[[#This Row],[NfmlPIs]:[NnonWhtAsnPIs]])&gt;0,"WMD","")</f>
        <v/>
      </c>
      <c r="O9" t="b">
        <f>_xlfn.XOR(IFERROR(MATCH(ckCodingTable[[#This Row],[st_code]],EpscorTable[],0)&gt;0,FALSE),IFERROR(FIND("9150",ckCodingTable[[#This Row],[propPRCs]])&gt;0,FALSE))</f>
        <v>0</v>
      </c>
      <c r="P9" s="21" t="b">
        <f>_xlfn.XOR(ckCodingTable[[#This Row],[wmd]]&lt;&gt;"",IFERROR(FIND("9102",ckCodingTable[[#This Row],[propPRCs]])&gt;0,FALSE))</f>
        <v>0</v>
      </c>
      <c r="Q9" t="s">
        <v>584</v>
      </c>
      <c r="S9" s="108">
        <f>S8+(ckCodingTable[[#This Row],[ILN]]&lt;"M")</f>
        <v>8</v>
      </c>
      <c r="T9" s="21" t="s">
        <v>95</v>
      </c>
      <c r="U9" t="s">
        <v>702</v>
      </c>
      <c r="V9" s="7" t="str">
        <f>HYPERLINK("https://www.ejacket.nsf.gov/ej/showProposal.do?ID="&amp;ckCodingTable[[#This Row],[prop_id]],"eJ")</f>
        <v>eJ</v>
      </c>
      <c r="W9" t="s">
        <v>478</v>
      </c>
      <c r="X9" t="s">
        <v>702</v>
      </c>
      <c r="Y9" t="s">
        <v>703</v>
      </c>
      <c r="Z9" t="s">
        <v>1464</v>
      </c>
      <c r="AA9" t="s">
        <v>1465</v>
      </c>
      <c r="AB9" s="111" t="str">
        <f>HYPERLINK("mailto:"&amp;ckCodingTable[[#This Row],[email]]&amp;"&amp;subject=Your NSF Proposal:  "&amp;ckCodingTable[[#This Row],[Div]]&amp;" "&amp;ckCodingTable[[#This Row],[prop_id]], ckCodingTable[[#This Row],[email]])</f>
        <v>sidford@stanford.edu</v>
      </c>
      <c r="AC9" s="30">
        <v>43009</v>
      </c>
      <c r="AD9">
        <v>60</v>
      </c>
      <c r="AE9">
        <v>1</v>
      </c>
      <c r="AG9" s="112">
        <v>1</v>
      </c>
      <c r="AH9" t="s">
        <v>1466</v>
      </c>
      <c r="AI9" s="26">
        <v>7.5</v>
      </c>
      <c r="AJ9" s="22">
        <v>43032.515277777777</v>
      </c>
      <c r="AK9" s="21">
        <v>1</v>
      </c>
      <c r="AL9">
        <v>4</v>
      </c>
      <c r="AN9" s="112">
        <v>4</v>
      </c>
      <c r="AO9" s="112"/>
      <c r="AP9" s="112"/>
      <c r="AQ9" s="112"/>
      <c r="AR9" s="7" t="str">
        <f>HYPERLINK("https://www.ejacket.nsf.gov/ej/showProposal.do?ID="&amp;ckCodingTable[[#This Row],[prop_id]],"eJ")</f>
        <v>eJ</v>
      </c>
      <c r="AS9" t="s">
        <v>172</v>
      </c>
      <c r="AT9" t="s">
        <v>1467</v>
      </c>
      <c r="AU9" t="b">
        <f>IF(ckCodingTable[[#This Row],[ILN]]="N",SUBSTITUTE(AT8," ","")&lt;&gt;SUBSTITUTE(ckCodingTable[[#This Row],[prop_titl_txt]]," ",""), FALSE)</f>
        <v>0</v>
      </c>
      <c r="AV9">
        <v>0</v>
      </c>
      <c r="AW9" s="13">
        <v>500000</v>
      </c>
      <c r="AX9" s="13">
        <v>500000</v>
      </c>
      <c r="AY9" s="13"/>
      <c r="AZ9" s="13"/>
      <c r="BA9" s="13"/>
      <c r="BB9" s="13">
        <v>7500</v>
      </c>
      <c r="BC9">
        <v>5</v>
      </c>
      <c r="BD9">
        <v>5</v>
      </c>
      <c r="BE9">
        <v>6.75</v>
      </c>
      <c r="BH9">
        <v>0</v>
      </c>
      <c r="BI9">
        <v>0</v>
      </c>
      <c r="BJ9">
        <v>0</v>
      </c>
      <c r="BK9">
        <v>0</v>
      </c>
      <c r="BL9" t="s">
        <v>1468</v>
      </c>
    </row>
    <row r="10" spans="1:64" x14ac:dyDescent="0.4">
      <c r="A10" s="30"/>
      <c r="B10" s="30">
        <v>42934.524305555555</v>
      </c>
      <c r="C10" t="s">
        <v>1430</v>
      </c>
      <c r="D10" t="s">
        <v>477</v>
      </c>
      <c r="E10" t="s">
        <v>582</v>
      </c>
      <c r="F10" t="s">
        <v>171</v>
      </c>
      <c r="G10" t="s">
        <v>169</v>
      </c>
      <c r="H10" s="21" t="s">
        <v>94</v>
      </c>
      <c r="I10" s="86">
        <v>1</v>
      </c>
      <c r="J10" s="86">
        <v>0</v>
      </c>
      <c r="K10" t="s">
        <v>1431</v>
      </c>
      <c r="L10" t="s">
        <v>611</v>
      </c>
      <c r="M10" t="s">
        <v>1470</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1469</v>
      </c>
      <c r="S10" s="108">
        <f>S9+(ckCodingTable[[#This Row],[ILN]]&lt;"M")</f>
        <v>9</v>
      </c>
      <c r="T10" s="21" t="s">
        <v>95</v>
      </c>
      <c r="U10" t="s">
        <v>712</v>
      </c>
      <c r="V10" s="7" t="str">
        <f>HYPERLINK("https://www.ejacket.nsf.gov/ej/showProposal.do?ID="&amp;ckCodingTable[[#This Row],[prop_id]],"eJ")</f>
        <v>eJ</v>
      </c>
      <c r="W10" t="s">
        <v>478</v>
      </c>
      <c r="X10" t="s">
        <v>712</v>
      </c>
      <c r="Y10" t="s">
        <v>713</v>
      </c>
      <c r="Z10" t="s">
        <v>1471</v>
      </c>
      <c r="AA10" t="s">
        <v>1472</v>
      </c>
      <c r="AB10" s="111" t="str">
        <f>HYPERLINK("mailto:"&amp;ckCodingTable[[#This Row],[email]]&amp;"&amp;subject=Your NSF Proposal:  "&amp;ckCodingTable[[#This Row],[Div]]&amp;" "&amp;ckCodingTable[[#This Row],[prop_id]], ckCodingTable[[#This Row],[email]])</f>
        <v>omri@cs.columbia.edu</v>
      </c>
      <c r="AC10" s="30">
        <v>42979</v>
      </c>
      <c r="AD10">
        <v>60</v>
      </c>
      <c r="AE10">
        <v>1</v>
      </c>
      <c r="AG10" s="112">
        <v>1</v>
      </c>
      <c r="AH10" t="s">
        <v>1473</v>
      </c>
      <c r="AI10" s="26">
        <v>7</v>
      </c>
      <c r="AJ10" s="22">
        <v>43059.920138888891</v>
      </c>
      <c r="AL10">
        <v>4</v>
      </c>
      <c r="AN10" s="112">
        <v>4</v>
      </c>
      <c r="AO10" s="112"/>
      <c r="AP10" s="112"/>
      <c r="AQ10" s="112"/>
      <c r="AR10" s="7" t="str">
        <f>HYPERLINK("https://www.ejacket.nsf.gov/ej/showProposal.do?ID="&amp;ckCodingTable[[#This Row],[prop_id]],"eJ")</f>
        <v>eJ</v>
      </c>
      <c r="AS10" t="s">
        <v>172</v>
      </c>
      <c r="AT10" t="s">
        <v>1474</v>
      </c>
      <c r="AU10" t="b">
        <f>IF(ckCodingTable[[#This Row],[ILN]]="N",SUBSTITUTE(AT9," ","")&lt;&gt;SUBSTITUTE(ckCodingTable[[#This Row],[prop_titl_txt]]," ",""), FALSE)</f>
        <v>0</v>
      </c>
      <c r="AV10">
        <v>0</v>
      </c>
      <c r="AW10" s="13">
        <v>400000</v>
      </c>
      <c r="AX10" s="13">
        <v>400000</v>
      </c>
      <c r="AY10" s="13"/>
      <c r="AZ10" s="13"/>
      <c r="BA10" s="13"/>
      <c r="BB10" s="13"/>
      <c r="BC10">
        <v>3</v>
      </c>
      <c r="BD10">
        <v>5</v>
      </c>
      <c r="BE10">
        <v>1</v>
      </c>
      <c r="BG10">
        <v>3.5</v>
      </c>
      <c r="BH10">
        <v>0</v>
      </c>
      <c r="BI10">
        <v>0</v>
      </c>
      <c r="BJ10">
        <v>0</v>
      </c>
      <c r="BK10">
        <v>0</v>
      </c>
      <c r="BL10" t="s">
        <v>1475</v>
      </c>
    </row>
    <row r="11" spans="1:64" x14ac:dyDescent="0.4">
      <c r="A11" s="30"/>
      <c r="B11" s="30">
        <v>42934.524305555555</v>
      </c>
      <c r="C11" t="s">
        <v>1430</v>
      </c>
      <c r="D11" t="s">
        <v>477</v>
      </c>
      <c r="E11" t="s">
        <v>582</v>
      </c>
      <c r="F11" t="s">
        <v>171</v>
      </c>
      <c r="G11" t="s">
        <v>169</v>
      </c>
      <c r="H11" s="21" t="s">
        <v>94</v>
      </c>
      <c r="I11" s="86">
        <v>1</v>
      </c>
      <c r="J11" s="86">
        <v>0</v>
      </c>
      <c r="K11" t="s">
        <v>1431</v>
      </c>
      <c r="L11" t="s">
        <v>611</v>
      </c>
      <c r="M11" t="s">
        <v>306</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1432</v>
      </c>
      <c r="S11" s="108">
        <f>S10+(ckCodingTable[[#This Row],[ILN]]&lt;"M")</f>
        <v>10</v>
      </c>
      <c r="T11" s="21" t="s">
        <v>95</v>
      </c>
      <c r="U11" t="s">
        <v>733</v>
      </c>
      <c r="V11" s="7" t="str">
        <f>HYPERLINK("https://www.ejacket.nsf.gov/ej/showProposal.do?ID="&amp;ckCodingTable[[#This Row],[prop_id]],"eJ")</f>
        <v>eJ</v>
      </c>
      <c r="W11" t="s">
        <v>478</v>
      </c>
      <c r="X11" t="s">
        <v>733</v>
      </c>
      <c r="Y11" t="s">
        <v>734</v>
      </c>
      <c r="Z11" t="s">
        <v>1476</v>
      </c>
      <c r="AA11" t="s">
        <v>1477</v>
      </c>
      <c r="AB11" s="111" t="str">
        <f>HYPERLINK("mailto:"&amp;ckCodingTable[[#This Row],[email]]&amp;"&amp;subject=Your NSF Proposal:  "&amp;ckCodingTable[[#This Row],[Div]]&amp;" "&amp;ckCodingTable[[#This Row],[prop_id]], ckCodingTable[[#This Row],[email]])</f>
        <v>karthe@illinois.edu</v>
      </c>
      <c r="AC11" s="30">
        <v>43115</v>
      </c>
      <c r="AD11">
        <v>60</v>
      </c>
      <c r="AE11">
        <v>1</v>
      </c>
      <c r="AG11" s="112">
        <v>1</v>
      </c>
      <c r="AH11" t="s">
        <v>1478</v>
      </c>
      <c r="AI11" s="26">
        <v>6.75</v>
      </c>
      <c r="AJ11" s="22">
        <v>43030.722916666666</v>
      </c>
      <c r="AK11" s="21">
        <v>2</v>
      </c>
      <c r="AL11">
        <v>4</v>
      </c>
      <c r="AN11" s="112">
        <v>4</v>
      </c>
      <c r="AO11" s="112"/>
      <c r="AP11" s="112"/>
      <c r="AQ11" s="112"/>
      <c r="AR11" s="7" t="str">
        <f>HYPERLINK("https://www.ejacket.nsf.gov/ej/showProposal.do?ID="&amp;ckCodingTable[[#This Row],[prop_id]],"eJ")</f>
        <v>eJ</v>
      </c>
      <c r="AS11" t="s">
        <v>172</v>
      </c>
      <c r="AT11" t="s">
        <v>1479</v>
      </c>
      <c r="AU11" t="b">
        <f>IF(ckCodingTable[[#This Row],[ILN]]="N",SUBSTITUTE(AT10," ","")&lt;&gt;SUBSTITUTE(ckCodingTable[[#This Row],[prop_titl_txt]]," ",""), FALSE)</f>
        <v>0</v>
      </c>
      <c r="AV11">
        <v>0</v>
      </c>
      <c r="AW11" s="13">
        <v>446040</v>
      </c>
      <c r="AX11" s="13">
        <v>446040</v>
      </c>
      <c r="AY11" s="13"/>
      <c r="AZ11" s="13">
        <v>20000</v>
      </c>
      <c r="BA11" s="13"/>
      <c r="BB11" s="13"/>
      <c r="BC11">
        <v>5</v>
      </c>
      <c r="BD11">
        <v>5</v>
      </c>
      <c r="BE11">
        <v>5</v>
      </c>
      <c r="BH11">
        <v>0</v>
      </c>
      <c r="BI11">
        <v>0</v>
      </c>
      <c r="BJ11">
        <v>0</v>
      </c>
      <c r="BK11">
        <v>0</v>
      </c>
      <c r="BL11" t="s">
        <v>1480</v>
      </c>
    </row>
    <row r="12" spans="1:64" x14ac:dyDescent="0.4">
      <c r="A12" s="30"/>
      <c r="B12" s="30">
        <v>42934.625694444447</v>
      </c>
      <c r="C12" t="s">
        <v>1430</v>
      </c>
      <c r="D12" t="s">
        <v>477</v>
      </c>
      <c r="E12" t="s">
        <v>582</v>
      </c>
      <c r="F12" t="s">
        <v>171</v>
      </c>
      <c r="G12" t="s">
        <v>169</v>
      </c>
      <c r="H12" s="21" t="s">
        <v>94</v>
      </c>
      <c r="I12" s="86">
        <v>1</v>
      </c>
      <c r="J12" s="86">
        <v>0</v>
      </c>
      <c r="K12" t="s">
        <v>1431</v>
      </c>
      <c r="L12" t="s">
        <v>604</v>
      </c>
      <c r="M12" t="s">
        <v>1470</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1432</v>
      </c>
      <c r="S12" s="108">
        <f>S11+(ckCodingTable[[#This Row],[ILN]]&lt;"M")</f>
        <v>11</v>
      </c>
      <c r="T12" s="21" t="s">
        <v>95</v>
      </c>
      <c r="U12" t="s">
        <v>742</v>
      </c>
      <c r="V12" s="7" t="str">
        <f>HYPERLINK("https://www.ejacket.nsf.gov/ej/showProposal.do?ID="&amp;ckCodingTable[[#This Row],[prop_id]],"eJ")</f>
        <v>eJ</v>
      </c>
      <c r="W12" t="s">
        <v>478</v>
      </c>
      <c r="X12" t="s">
        <v>742</v>
      </c>
      <c r="Y12" t="s">
        <v>743</v>
      </c>
      <c r="Z12" t="s">
        <v>1481</v>
      </c>
      <c r="AA12" t="s">
        <v>1482</v>
      </c>
      <c r="AB12" s="111" t="str">
        <f>HYPERLINK("mailto:"&amp;ckCodingTable[[#This Row],[email]]&amp;"&amp;subject=Your NSF Proposal:  "&amp;ckCodingTable[[#This Row],[Div]]&amp;" "&amp;ckCodingTable[[#This Row],[prop_id]], ckCodingTable[[#This Row],[email]])</f>
        <v>francesco@cs.stonybrook.edu</v>
      </c>
      <c r="AC12" s="30">
        <v>43101</v>
      </c>
      <c r="AD12">
        <v>60</v>
      </c>
      <c r="AE12">
        <v>1</v>
      </c>
      <c r="AG12" s="112">
        <v>1</v>
      </c>
      <c r="AH12" t="s">
        <v>1483</v>
      </c>
      <c r="AI12" s="26">
        <v>8</v>
      </c>
      <c r="AJ12" s="22">
        <v>43059.663888888892</v>
      </c>
      <c r="AL12">
        <v>4</v>
      </c>
      <c r="AN12" s="112">
        <v>4</v>
      </c>
      <c r="AO12" s="112"/>
      <c r="AP12" s="112"/>
      <c r="AQ12" s="112"/>
      <c r="AR12" s="7" t="str">
        <f>HYPERLINK("https://www.ejacket.nsf.gov/ej/showProposal.do?ID="&amp;ckCodingTable[[#This Row],[prop_id]],"eJ")</f>
        <v>eJ</v>
      </c>
      <c r="AS12" t="s">
        <v>172</v>
      </c>
      <c r="AT12" t="s">
        <v>1484</v>
      </c>
      <c r="AU12" t="b">
        <f>IF(ckCodingTable[[#This Row],[ILN]]="N",SUBSTITUTE(AT11," ","")&lt;&gt;SUBSTITUTE(ckCodingTable[[#This Row],[prop_titl_txt]]," ",""), FALSE)</f>
        <v>0</v>
      </c>
      <c r="AV12">
        <v>0</v>
      </c>
      <c r="AW12" s="13">
        <v>516750</v>
      </c>
      <c r="AX12" s="13">
        <v>516750</v>
      </c>
      <c r="AY12" s="13"/>
      <c r="AZ12" s="13">
        <v>10000</v>
      </c>
      <c r="BA12" s="13"/>
      <c r="BB12" s="13"/>
      <c r="BC12">
        <v>9</v>
      </c>
      <c r="BD12">
        <v>5</v>
      </c>
      <c r="BE12">
        <v>5</v>
      </c>
      <c r="BH12">
        <v>0</v>
      </c>
      <c r="BI12">
        <v>0</v>
      </c>
      <c r="BJ12">
        <v>0</v>
      </c>
      <c r="BK12">
        <v>0</v>
      </c>
      <c r="BL12" t="s">
        <v>1485</v>
      </c>
    </row>
    <row r="13" spans="1:64" x14ac:dyDescent="0.4">
      <c r="A13" s="30"/>
      <c r="B13" s="30">
        <v>42934.695138888892</v>
      </c>
      <c r="C13" t="s">
        <v>1430</v>
      </c>
      <c r="D13" t="s">
        <v>477</v>
      </c>
      <c r="E13" t="s">
        <v>582</v>
      </c>
      <c r="F13" t="s">
        <v>171</v>
      </c>
      <c r="G13" t="s">
        <v>169</v>
      </c>
      <c r="H13" s="21" t="s">
        <v>94</v>
      </c>
      <c r="I13" s="86">
        <v>1</v>
      </c>
      <c r="J13" s="86">
        <v>0</v>
      </c>
      <c r="K13" t="s">
        <v>1431</v>
      </c>
      <c r="L13" t="s">
        <v>604</v>
      </c>
      <c r="M13" t="s">
        <v>231</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1439</v>
      </c>
      <c r="R13" s="22">
        <v>43082.662685185183</v>
      </c>
      <c r="S13" s="108">
        <f>S12+(ckCodingTable[[#This Row],[ILN]]&lt;"M")</f>
        <v>12</v>
      </c>
      <c r="T13" s="21" t="s">
        <v>95</v>
      </c>
      <c r="U13" t="s">
        <v>762</v>
      </c>
      <c r="V13" s="7" t="str">
        <f>HYPERLINK("https://www.ejacket.nsf.gov/ej/showProposal.do?ID="&amp;ckCodingTable[[#This Row],[prop_id]],"eJ")</f>
        <v>eJ</v>
      </c>
      <c r="W13" t="s">
        <v>478</v>
      </c>
      <c r="X13" t="s">
        <v>762</v>
      </c>
      <c r="Y13" t="s">
        <v>763</v>
      </c>
      <c r="Z13" t="s">
        <v>1486</v>
      </c>
      <c r="AA13" t="s">
        <v>1487</v>
      </c>
      <c r="AB13" s="111" t="str">
        <f>HYPERLINK("mailto:"&amp;ckCodingTable[[#This Row],[email]]&amp;"&amp;subject=Your NSF Proposal:  "&amp;ckCodingTable[[#This Row],[Div]]&amp;" "&amp;ckCodingTable[[#This Row],[prop_id]], ckCodingTable[[#This Row],[email]])</f>
        <v>jsolomon@mit.edu</v>
      </c>
      <c r="AC13" s="30">
        <v>43101</v>
      </c>
      <c r="AD13">
        <v>60</v>
      </c>
      <c r="AE13">
        <v>1</v>
      </c>
      <c r="AG13" s="112">
        <v>1</v>
      </c>
      <c r="AH13" t="s">
        <v>1488</v>
      </c>
      <c r="AI13" s="26">
        <v>6.25</v>
      </c>
      <c r="AJ13" s="22">
        <v>43030.972222222219</v>
      </c>
      <c r="AK13" s="21">
        <v>2</v>
      </c>
      <c r="AL13">
        <v>4</v>
      </c>
      <c r="AN13" s="112">
        <v>4</v>
      </c>
      <c r="AO13" s="112"/>
      <c r="AP13" s="112"/>
      <c r="AQ13" s="112"/>
      <c r="AR13" s="7" t="str">
        <f>HYPERLINK("https://www.ejacket.nsf.gov/ej/showProposal.do?ID="&amp;ckCodingTable[[#This Row],[prop_id]],"eJ")</f>
        <v>eJ</v>
      </c>
      <c r="AS13" t="s">
        <v>172</v>
      </c>
      <c r="AT13" t="s">
        <v>1489</v>
      </c>
      <c r="AU13" t="b">
        <f>IF(ckCodingTable[[#This Row],[ILN]]="N",SUBSTITUTE(AT12," ","")&lt;&gt;SUBSTITUTE(ckCodingTable[[#This Row],[prop_titl_txt]]," ",""), FALSE)</f>
        <v>0</v>
      </c>
      <c r="AV13">
        <v>0</v>
      </c>
      <c r="AW13" s="13">
        <v>550000</v>
      </c>
      <c r="AX13" s="13">
        <v>550000</v>
      </c>
      <c r="AY13" s="13"/>
      <c r="AZ13" s="13"/>
      <c r="BA13" s="13"/>
      <c r="BB13" s="13"/>
      <c r="BC13">
        <v>5</v>
      </c>
      <c r="BD13">
        <v>5</v>
      </c>
      <c r="BE13">
        <v>2.5</v>
      </c>
      <c r="BH13">
        <v>0</v>
      </c>
      <c r="BI13">
        <v>0</v>
      </c>
      <c r="BJ13">
        <v>0</v>
      </c>
      <c r="BK13">
        <v>0</v>
      </c>
      <c r="BL13" t="s">
        <v>1490</v>
      </c>
    </row>
    <row r="14" spans="1:64" x14ac:dyDescent="0.4">
      <c r="A14" s="30"/>
      <c r="B14" s="30">
        <v>42934.734722222223</v>
      </c>
      <c r="C14" t="s">
        <v>1430</v>
      </c>
      <c r="D14" t="s">
        <v>477</v>
      </c>
      <c r="E14" t="s">
        <v>582</v>
      </c>
      <c r="F14" t="s">
        <v>171</v>
      </c>
      <c r="G14" t="s">
        <v>169</v>
      </c>
      <c r="H14" s="21" t="s">
        <v>94</v>
      </c>
      <c r="I14" s="86">
        <v>1</v>
      </c>
      <c r="J14" s="86">
        <v>0</v>
      </c>
      <c r="K14" t="s">
        <v>1431</v>
      </c>
      <c r="L14" t="s">
        <v>611</v>
      </c>
      <c r="M14" t="s">
        <v>1491</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1469</v>
      </c>
      <c r="S14" s="108">
        <f>S13+(ckCodingTable[[#This Row],[ILN]]&lt;"M")</f>
        <v>13</v>
      </c>
      <c r="T14" s="21" t="s">
        <v>95</v>
      </c>
      <c r="U14" t="s">
        <v>771</v>
      </c>
      <c r="V14" s="7" t="str">
        <f>HYPERLINK("https://www.ejacket.nsf.gov/ej/showProposal.do?ID="&amp;ckCodingTable[[#This Row],[prop_id]],"eJ")</f>
        <v>eJ</v>
      </c>
      <c r="W14" t="s">
        <v>478</v>
      </c>
      <c r="X14" t="s">
        <v>771</v>
      </c>
      <c r="Y14" t="s">
        <v>772</v>
      </c>
      <c r="Z14" t="s">
        <v>1486</v>
      </c>
      <c r="AA14" t="s">
        <v>1492</v>
      </c>
      <c r="AB14" s="111" t="str">
        <f>HYPERLINK("mailto:"&amp;ckCodingTable[[#This Row],[email]]&amp;"&amp;subject=Your NSF Proposal:  "&amp;ckCodingTable[[#This Row],[Div]]&amp;" "&amp;ckCodingTable[[#This Row],[prop_id]], ckCodingTable[[#This Row],[email]])</f>
        <v>jt1157@georgetown.edu</v>
      </c>
      <c r="AC14" s="30">
        <v>43252</v>
      </c>
      <c r="AD14">
        <v>60</v>
      </c>
      <c r="AE14">
        <v>1</v>
      </c>
      <c r="AG14" s="112">
        <v>1</v>
      </c>
      <c r="AH14" t="s">
        <v>1493</v>
      </c>
      <c r="AI14" s="26">
        <v>6.75</v>
      </c>
      <c r="AJ14" s="22">
        <v>43059.936805555553</v>
      </c>
      <c r="AL14">
        <v>4</v>
      </c>
      <c r="AN14" s="112">
        <v>4</v>
      </c>
      <c r="AO14" s="112"/>
      <c r="AP14" s="112"/>
      <c r="AQ14" s="112"/>
      <c r="AR14" s="7" t="str">
        <f>HYPERLINK("https://www.ejacket.nsf.gov/ej/showProposal.do?ID="&amp;ckCodingTable[[#This Row],[prop_id]],"eJ")</f>
        <v>eJ</v>
      </c>
      <c r="AS14" t="s">
        <v>172</v>
      </c>
      <c r="AT14" t="s">
        <v>1494</v>
      </c>
      <c r="AU14" t="b">
        <f>IF(ckCodingTable[[#This Row],[ILN]]="N",SUBSTITUTE(AT13," ","")&lt;&gt;SUBSTITUTE(ckCodingTable[[#This Row],[prop_titl_txt]]," ",""), FALSE)</f>
        <v>0</v>
      </c>
      <c r="AV14">
        <v>0</v>
      </c>
      <c r="AW14" s="13">
        <v>525636</v>
      </c>
      <c r="AX14" s="13">
        <v>525636</v>
      </c>
      <c r="AY14" s="13"/>
      <c r="AZ14" s="13">
        <v>12500</v>
      </c>
      <c r="BA14" s="13"/>
      <c r="BB14" s="13"/>
      <c r="BC14">
        <v>4</v>
      </c>
      <c r="BD14">
        <v>5</v>
      </c>
      <c r="BE14">
        <v>7</v>
      </c>
      <c r="BH14">
        <v>0</v>
      </c>
      <c r="BI14">
        <v>0</v>
      </c>
      <c r="BJ14">
        <v>0</v>
      </c>
      <c r="BK14">
        <v>0</v>
      </c>
      <c r="BL14" t="s">
        <v>1495</v>
      </c>
    </row>
    <row r="15" spans="1:64" x14ac:dyDescent="0.4">
      <c r="A15" s="30"/>
      <c r="B15" s="30">
        <v>42934.737500000003</v>
      </c>
      <c r="C15" t="s">
        <v>1430</v>
      </c>
      <c r="D15" t="s">
        <v>477</v>
      </c>
      <c r="E15" t="s">
        <v>582</v>
      </c>
      <c r="F15" t="s">
        <v>171</v>
      </c>
      <c r="G15" t="s">
        <v>169</v>
      </c>
      <c r="H15" s="21" t="s">
        <v>94</v>
      </c>
      <c r="I15" s="86">
        <v>1</v>
      </c>
      <c r="J15" s="86">
        <v>0</v>
      </c>
      <c r="K15" t="s">
        <v>1431</v>
      </c>
      <c r="L15" t="s">
        <v>611</v>
      </c>
      <c r="M15" t="s">
        <v>306</v>
      </c>
      <c r="N15" t="str">
        <f>IF(SUM(ckCodingTable[[#This Row],[NfmlPIs]:[NnonWhtAsnPIs]])&gt;0,"WMD","")</f>
        <v/>
      </c>
      <c r="O15" t="b">
        <f>_xlfn.XOR(IFERROR(MATCH(ckCodingTable[[#This Row],[st_code]],EpscorTable[],0)&gt;0,FALSE),IFERROR(FIND("9150",ckCodingTable[[#This Row],[propPRCs]])&gt;0,FALSE))</f>
        <v>0</v>
      </c>
      <c r="P15" s="21" t="b">
        <f>_xlfn.XOR(ckCodingTable[[#This Row],[wmd]]&lt;&gt;"",IFERROR(FIND("9102",ckCodingTable[[#This Row],[propPRCs]])&gt;0,FALSE))</f>
        <v>0</v>
      </c>
      <c r="Q15" t="s">
        <v>1444</v>
      </c>
      <c r="R15" s="22">
        <v>43082.668715277781</v>
      </c>
      <c r="S15" s="108">
        <f>S14+(ckCodingTable[[#This Row],[ILN]]&lt;"M")</f>
        <v>14</v>
      </c>
      <c r="T15" s="21" t="s">
        <v>95</v>
      </c>
      <c r="U15" t="s">
        <v>782</v>
      </c>
      <c r="V15" s="7" t="str">
        <f>HYPERLINK("https://www.ejacket.nsf.gov/ej/showProposal.do?ID="&amp;ckCodingTable[[#This Row],[prop_id]],"eJ")</f>
        <v>eJ</v>
      </c>
      <c r="W15" t="s">
        <v>478</v>
      </c>
      <c r="X15" t="s">
        <v>782</v>
      </c>
      <c r="Y15" t="s">
        <v>783</v>
      </c>
      <c r="Z15" t="s">
        <v>1496</v>
      </c>
      <c r="AA15" t="s">
        <v>1477</v>
      </c>
      <c r="AB15" s="111" t="str">
        <f>HYPERLINK("mailto:"&amp;ckCodingTable[[#This Row],[email]]&amp;"&amp;subject=Your NSF Proposal:  "&amp;ckCodingTable[[#This Row],[Div]]&amp;" "&amp;ckCodingTable[[#This Row],[prop_id]], ckCodingTable[[#This Row],[email]])</f>
        <v>solomon2@illinois.edu</v>
      </c>
      <c r="AC15" s="30">
        <v>43132</v>
      </c>
      <c r="AD15">
        <v>60</v>
      </c>
      <c r="AE15">
        <v>1</v>
      </c>
      <c r="AG15" s="112">
        <v>1</v>
      </c>
      <c r="AH15" t="s">
        <v>1497</v>
      </c>
      <c r="AI15" s="26">
        <v>4.5</v>
      </c>
      <c r="AJ15" s="22">
        <v>43031.922222222223</v>
      </c>
      <c r="AK15" s="21">
        <v>2</v>
      </c>
      <c r="AL15">
        <v>4</v>
      </c>
      <c r="AN15" s="112">
        <v>4</v>
      </c>
      <c r="AO15" s="112"/>
      <c r="AP15" s="112"/>
      <c r="AQ15" s="112"/>
      <c r="AR15" s="7" t="str">
        <f>HYPERLINK("https://www.ejacket.nsf.gov/ej/showProposal.do?ID="&amp;ckCodingTable[[#This Row],[prop_id]],"eJ")</f>
        <v>eJ</v>
      </c>
      <c r="AS15" t="s">
        <v>172</v>
      </c>
      <c r="AT15" t="s">
        <v>1498</v>
      </c>
      <c r="AU15" t="b">
        <f>IF(ckCodingTable[[#This Row],[ILN]]="N",SUBSTITUTE(AT14," ","")&lt;&gt;SUBSTITUTE(ckCodingTable[[#This Row],[prop_titl_txt]]," ",""), FALSE)</f>
        <v>0</v>
      </c>
      <c r="AV15">
        <v>0</v>
      </c>
      <c r="AW15" s="13">
        <v>524117</v>
      </c>
      <c r="AX15" s="13">
        <v>524117</v>
      </c>
      <c r="AY15" s="13"/>
      <c r="AZ15" s="13">
        <v>11250</v>
      </c>
      <c r="BA15" s="13"/>
      <c r="BB15" s="13"/>
      <c r="BC15">
        <v>5</v>
      </c>
      <c r="BD15">
        <v>5</v>
      </c>
      <c r="BE15">
        <v>2.5</v>
      </c>
      <c r="BH15">
        <v>0</v>
      </c>
      <c r="BI15">
        <v>0</v>
      </c>
      <c r="BJ15">
        <v>0</v>
      </c>
      <c r="BK15">
        <v>0</v>
      </c>
      <c r="BL15" t="s">
        <v>1499</v>
      </c>
    </row>
    <row r="16" spans="1:64" x14ac:dyDescent="0.4">
      <c r="A16" s="30"/>
      <c r="B16" s="30">
        <v>42934.806944444441</v>
      </c>
      <c r="C16" t="s">
        <v>1430</v>
      </c>
      <c r="D16" t="s">
        <v>477</v>
      </c>
      <c r="E16" t="s">
        <v>582</v>
      </c>
      <c r="F16" t="s">
        <v>171</v>
      </c>
      <c r="G16" t="s">
        <v>169</v>
      </c>
      <c r="H16" s="21" t="s">
        <v>94</v>
      </c>
      <c r="I16" s="86">
        <v>1</v>
      </c>
      <c r="J16" s="86">
        <v>0</v>
      </c>
      <c r="K16" t="s">
        <v>1431</v>
      </c>
      <c r="L16" t="s">
        <v>654</v>
      </c>
      <c r="M16" t="s">
        <v>230</v>
      </c>
      <c r="N16" t="str">
        <f>IF(SUM(ckCodingTable[[#This Row],[NfmlPIs]:[NnonWhtAsnPIs]])&gt;0,"WMD","")</f>
        <v/>
      </c>
      <c r="O16" t="b">
        <f>_xlfn.XOR(IFERROR(MATCH(ckCodingTable[[#This Row],[st_code]],EpscorTable[],0)&gt;0,FALSE),IFERROR(FIND("9150",ckCodingTable[[#This Row],[propPRCs]])&gt;0,FALSE))</f>
        <v>0</v>
      </c>
      <c r="P16" s="21" t="b">
        <f>_xlfn.XOR(ckCodingTable[[#This Row],[wmd]]&lt;&gt;"",IFERROR(FIND("9102",ckCodingTable[[#This Row],[propPRCs]])&gt;0,FALSE))</f>
        <v>0</v>
      </c>
      <c r="Q16" t="s">
        <v>1432</v>
      </c>
      <c r="R16" s="22">
        <v>43082.669074074074</v>
      </c>
      <c r="S16" s="108">
        <f>S15+(ckCodingTable[[#This Row],[ILN]]&lt;"M")</f>
        <v>15</v>
      </c>
      <c r="T16" s="21" t="s">
        <v>95</v>
      </c>
      <c r="U16" t="s">
        <v>791</v>
      </c>
      <c r="V16" s="7" t="str">
        <f>HYPERLINK("https://www.ejacket.nsf.gov/ej/showProposal.do?ID="&amp;ckCodingTable[[#This Row],[prop_id]],"eJ")</f>
        <v>eJ</v>
      </c>
      <c r="W16" t="s">
        <v>478</v>
      </c>
      <c r="X16" t="s">
        <v>791</v>
      </c>
      <c r="Y16" t="s">
        <v>792</v>
      </c>
      <c r="Z16" t="s">
        <v>1500</v>
      </c>
      <c r="AA16" t="s">
        <v>1501</v>
      </c>
      <c r="AB16" s="111" t="str">
        <f>HYPERLINK("mailto:"&amp;ckCodingTable[[#This Row],[email]]&amp;"&amp;subject=Your NSF Proposal:  "&amp;ckCodingTable[[#This Row],[Div]]&amp;" "&amp;ckCodingTable[[#This Row],[prop_id]], ckCodingTable[[#This Row],[email]])</f>
        <v>razaviya@usc.edu</v>
      </c>
      <c r="AC16" s="30">
        <v>43236</v>
      </c>
      <c r="AD16">
        <v>60</v>
      </c>
      <c r="AE16">
        <v>2</v>
      </c>
      <c r="AG16" s="112">
        <v>1</v>
      </c>
      <c r="AH16" t="s">
        <v>1502</v>
      </c>
      <c r="AI16" s="26">
        <v>4.666666666666667</v>
      </c>
      <c r="AJ16" s="22">
        <v>43059.886111111111</v>
      </c>
      <c r="AL16">
        <v>9</v>
      </c>
      <c r="AN16" s="112">
        <v>5</v>
      </c>
      <c r="AO16" s="112"/>
      <c r="AP16" s="112"/>
      <c r="AQ16" s="112"/>
      <c r="AR16" s="7" t="str">
        <f>HYPERLINK("https://www.ejacket.nsf.gov/ej/showProposal.do?ID="&amp;ckCodingTable[[#This Row],[prop_id]],"eJ")</f>
        <v>eJ</v>
      </c>
      <c r="AS16" t="s">
        <v>172</v>
      </c>
      <c r="AT16" t="s">
        <v>1503</v>
      </c>
      <c r="AU16" t="b">
        <f>IF(ckCodingTable[[#This Row],[ILN]]="N",SUBSTITUTE(AT15," ","")&lt;&gt;SUBSTITUTE(ckCodingTable[[#This Row],[prop_titl_txt]]," ",""), FALSE)</f>
        <v>0</v>
      </c>
      <c r="AV16">
        <v>0</v>
      </c>
      <c r="AW16" s="13">
        <v>539673</v>
      </c>
      <c r="AX16" s="13">
        <v>539673</v>
      </c>
      <c r="AY16" s="13"/>
      <c r="AZ16" s="13"/>
      <c r="BA16" s="13"/>
      <c r="BB16" s="13">
        <v>13000</v>
      </c>
      <c r="BC16">
        <v>5</v>
      </c>
      <c r="BD16">
        <v>5</v>
      </c>
      <c r="BE16">
        <v>5</v>
      </c>
      <c r="BH16">
        <v>0</v>
      </c>
      <c r="BI16">
        <v>0</v>
      </c>
      <c r="BJ16">
        <v>0</v>
      </c>
      <c r="BK16">
        <v>0</v>
      </c>
      <c r="BL16" t="s">
        <v>1504</v>
      </c>
    </row>
    <row r="17" spans="1:64" x14ac:dyDescent="0.4">
      <c r="A17" s="30"/>
      <c r="B17" s="30">
        <v>42934.808333333334</v>
      </c>
      <c r="C17" t="s">
        <v>1430</v>
      </c>
      <c r="D17" t="s">
        <v>477</v>
      </c>
      <c r="E17" t="s">
        <v>582</v>
      </c>
      <c r="F17" t="s">
        <v>171</v>
      </c>
      <c r="G17" t="s">
        <v>169</v>
      </c>
      <c r="H17" s="21" t="s">
        <v>94</v>
      </c>
      <c r="I17" s="86">
        <v>1</v>
      </c>
      <c r="J17" s="86">
        <v>0</v>
      </c>
      <c r="K17" t="s">
        <v>1431</v>
      </c>
      <c r="L17" t="s">
        <v>604</v>
      </c>
      <c r="M17" t="s">
        <v>230</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1505</v>
      </c>
      <c r="R17" s="22">
        <v>43076.609027777777</v>
      </c>
      <c r="S17" s="108">
        <f>S16+(ckCodingTable[[#This Row],[ILN]]&lt;"M")</f>
        <v>16</v>
      </c>
      <c r="T17" s="21" t="s">
        <v>95</v>
      </c>
      <c r="U17" t="s">
        <v>825</v>
      </c>
      <c r="V17" s="7" t="str">
        <f>HYPERLINK("https://www.ejacket.nsf.gov/ej/showProposal.do?ID="&amp;ckCodingTable[[#This Row],[prop_id]],"eJ")</f>
        <v>eJ</v>
      </c>
      <c r="W17" t="s">
        <v>478</v>
      </c>
      <c r="X17" t="s">
        <v>825</v>
      </c>
      <c r="Y17" t="s">
        <v>826</v>
      </c>
      <c r="Z17" t="s">
        <v>1506</v>
      </c>
      <c r="AA17" t="s">
        <v>1507</v>
      </c>
      <c r="AB17" s="111" t="str">
        <f>HYPERLINK("mailto:"&amp;ckCodingTable[[#This Row],[email]]&amp;"&amp;subject=Your NSF Proposal:  "&amp;ckCodingTable[[#This Row],[Div]]&amp;" "&amp;ckCodingTable[[#This Row],[prop_id]], ckCodingTable[[#This Row],[email]])</f>
        <v>craig@ucr.edu</v>
      </c>
      <c r="AC17" s="30">
        <v>43101</v>
      </c>
      <c r="AD17">
        <v>60</v>
      </c>
      <c r="AE17">
        <v>1</v>
      </c>
      <c r="AG17" s="112">
        <v>1</v>
      </c>
      <c r="AH17" t="s">
        <v>1508</v>
      </c>
      <c r="AI17" s="26">
        <v>4</v>
      </c>
      <c r="AJ17" s="22">
        <v>43031.584027777775</v>
      </c>
      <c r="AL17">
        <v>4</v>
      </c>
      <c r="AN17" s="112">
        <v>4</v>
      </c>
      <c r="AO17" s="112"/>
      <c r="AP17" s="112"/>
      <c r="AQ17" s="112"/>
      <c r="AR17" s="7" t="str">
        <f>HYPERLINK("https://www.ejacket.nsf.gov/ej/showProposal.do?ID="&amp;ckCodingTable[[#This Row],[prop_id]],"eJ")</f>
        <v>eJ</v>
      </c>
      <c r="AS17" t="s">
        <v>172</v>
      </c>
      <c r="AT17" t="s">
        <v>1509</v>
      </c>
      <c r="AU17" t="b">
        <f>IF(ckCodingTable[[#This Row],[ILN]]="N",SUBSTITUTE(AT16," ","")&lt;&gt;SUBSTITUTE(ckCodingTable[[#This Row],[prop_titl_txt]]," ",""), FALSE)</f>
        <v>0</v>
      </c>
      <c r="AV17">
        <v>0</v>
      </c>
      <c r="AW17" s="13">
        <v>440331</v>
      </c>
      <c r="AX17" s="13">
        <v>440331</v>
      </c>
      <c r="AY17" s="13"/>
      <c r="AZ17" s="13"/>
      <c r="BA17" s="13"/>
      <c r="BB17" s="13"/>
      <c r="BC17">
        <v>5</v>
      </c>
      <c r="BD17">
        <v>5</v>
      </c>
      <c r="BE17">
        <v>5</v>
      </c>
      <c r="BH17">
        <v>0</v>
      </c>
      <c r="BI17">
        <v>0</v>
      </c>
      <c r="BJ17">
        <v>0</v>
      </c>
      <c r="BK17">
        <v>0</v>
      </c>
      <c r="BL17" t="s">
        <v>1510</v>
      </c>
    </row>
    <row r="18" spans="1:64" x14ac:dyDescent="0.4">
      <c r="A18" s="30"/>
      <c r="B18" s="30">
        <v>42935.359027777777</v>
      </c>
      <c r="C18" t="s">
        <v>1430</v>
      </c>
      <c r="D18" t="s">
        <v>477</v>
      </c>
      <c r="E18" t="s">
        <v>582</v>
      </c>
      <c r="F18" t="s">
        <v>171</v>
      </c>
      <c r="G18" t="s">
        <v>169</v>
      </c>
      <c r="H18" s="21" t="s">
        <v>94</v>
      </c>
      <c r="I18" s="86">
        <v>1</v>
      </c>
      <c r="J18" s="86">
        <v>0</v>
      </c>
      <c r="K18" t="s">
        <v>1431</v>
      </c>
      <c r="L18" t="s">
        <v>654</v>
      </c>
      <c r="M18" t="s">
        <v>1470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1432</v>
      </c>
      <c r="R18" s="22">
        <v>43082.668773148151</v>
      </c>
      <c r="S18" s="108">
        <f>S17+(ckCodingTable[[#This Row],[ILN]]&lt;"M")</f>
        <v>17</v>
      </c>
      <c r="T18" s="21" t="s">
        <v>95</v>
      </c>
      <c r="U18" t="s">
        <v>834</v>
      </c>
      <c r="V18" s="7" t="str">
        <f>HYPERLINK("https://www.ejacket.nsf.gov/ej/showProposal.do?ID="&amp;ckCodingTable[[#This Row],[prop_id]],"eJ")</f>
        <v>eJ</v>
      </c>
      <c r="W18" t="s">
        <v>478</v>
      </c>
      <c r="X18" t="s">
        <v>834</v>
      </c>
      <c r="Y18" t="s">
        <v>835</v>
      </c>
      <c r="Z18" t="s">
        <v>1511</v>
      </c>
      <c r="AA18" t="s">
        <v>1512</v>
      </c>
      <c r="AB18" s="111" t="str">
        <f>HYPERLINK("mailto:"&amp;ckCodingTable[[#This Row],[email]]&amp;"&amp;subject=Your NSF Proposal:  "&amp;ckCodingTable[[#This Row],[Div]]&amp;" "&amp;ckCodingTable[[#This Row],[prop_id]], ckCodingTable[[#This Row],[email]])</f>
        <v>shil@buffalo.edu</v>
      </c>
      <c r="AC18" s="30">
        <v>43344</v>
      </c>
      <c r="AD18">
        <v>60</v>
      </c>
      <c r="AE18">
        <v>1</v>
      </c>
      <c r="AG18" s="112"/>
      <c r="AH18" t="s">
        <v>1513</v>
      </c>
      <c r="AI18" s="26">
        <v>5.25</v>
      </c>
      <c r="AJ18" s="22">
        <v>43031.584722222222</v>
      </c>
      <c r="AK18" s="21">
        <v>2</v>
      </c>
      <c r="AL18">
        <v>4</v>
      </c>
      <c r="AN18" s="112"/>
      <c r="AO18" s="112"/>
      <c r="AP18" s="112"/>
      <c r="AQ18" s="112"/>
      <c r="AR18" s="7" t="str">
        <f>HYPERLINK("https://www.ejacket.nsf.gov/ej/showProposal.do?ID="&amp;ckCodingTable[[#This Row],[prop_id]],"eJ")</f>
        <v>eJ</v>
      </c>
      <c r="AS18" t="s">
        <v>172</v>
      </c>
      <c r="AT18" t="s">
        <v>1514</v>
      </c>
      <c r="AU18" t="b">
        <f>IF(ckCodingTable[[#This Row],[ILN]]="N",SUBSTITUTE(AT17," ","")&lt;&gt;SUBSTITUTE(ckCodingTable[[#This Row],[prop_titl_txt]]," ",""), FALSE)</f>
        <v>0</v>
      </c>
      <c r="AV18">
        <v>0</v>
      </c>
      <c r="AW18" s="13">
        <v>530842</v>
      </c>
      <c r="AX18" s="13">
        <v>530842</v>
      </c>
      <c r="AY18" s="13"/>
      <c r="AZ18" s="13">
        <v>10000</v>
      </c>
      <c r="BA18" s="13"/>
      <c r="BB18" s="13"/>
      <c r="BC18">
        <v>5</v>
      </c>
      <c r="BD18">
        <v>5</v>
      </c>
      <c r="BE18">
        <v>5</v>
      </c>
      <c r="BH18">
        <v>0</v>
      </c>
      <c r="BI18">
        <v>0</v>
      </c>
      <c r="BJ18">
        <v>0</v>
      </c>
      <c r="BK18">
        <v>0</v>
      </c>
      <c r="BL18" t="s">
        <v>1515</v>
      </c>
    </row>
    <row r="19" spans="1:64" x14ac:dyDescent="0.4">
      <c r="A19" s="30"/>
      <c r="B19" s="30">
        <v>42935.374305555553</v>
      </c>
      <c r="C19" t="s">
        <v>1430</v>
      </c>
      <c r="D19" t="s">
        <v>477</v>
      </c>
      <c r="E19" t="s">
        <v>582</v>
      </c>
      <c r="F19" t="s">
        <v>171</v>
      </c>
      <c r="G19" t="s">
        <v>169</v>
      </c>
      <c r="H19" s="21" t="s">
        <v>94</v>
      </c>
      <c r="I19" s="86">
        <v>0</v>
      </c>
      <c r="J19" s="86">
        <v>0</v>
      </c>
      <c r="K19" t="s">
        <v>1431</v>
      </c>
      <c r="L19" t="s">
        <v>654</v>
      </c>
      <c r="M19" t="s">
        <v>308</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584</v>
      </c>
      <c r="S19" s="108">
        <f>S18+(ckCodingTable[[#This Row],[ILN]]&lt;"M")</f>
        <v>18</v>
      </c>
      <c r="T19" s="21" t="s">
        <v>95</v>
      </c>
      <c r="U19" t="s">
        <v>843</v>
      </c>
      <c r="V19" s="7" t="str">
        <f>HYPERLINK("https://www.ejacket.nsf.gov/ej/showProposal.do?ID="&amp;ckCodingTable[[#This Row],[prop_id]],"eJ")</f>
        <v>eJ</v>
      </c>
      <c r="W19" t="s">
        <v>478</v>
      </c>
      <c r="X19" t="s">
        <v>843</v>
      </c>
      <c r="Y19" t="s">
        <v>844</v>
      </c>
      <c r="Z19" t="s">
        <v>1516</v>
      </c>
      <c r="AA19" t="s">
        <v>307</v>
      </c>
      <c r="AB19" s="111" t="str">
        <f>HYPERLINK("mailto:"&amp;ckCodingTable[[#This Row],[email]]&amp;"&amp;subject=Your NSF Proposal:  "&amp;ckCodingTable[[#This Row],[Div]]&amp;" "&amp;ckCodingTable[[#This Row],[prop_id]], ckCodingTable[[#This Row],[email]])</f>
        <v>viswa@umich.edu</v>
      </c>
      <c r="AC19" s="30">
        <v>43221</v>
      </c>
      <c r="AD19">
        <v>60</v>
      </c>
      <c r="AE19">
        <v>1</v>
      </c>
      <c r="AG19" s="112">
        <v>1</v>
      </c>
      <c r="AH19" t="s">
        <v>1473</v>
      </c>
      <c r="AI19" s="26">
        <v>7</v>
      </c>
      <c r="AJ19" s="22">
        <v>43032.519444444442</v>
      </c>
      <c r="AL19">
        <v>4</v>
      </c>
      <c r="AN19" s="112">
        <v>4</v>
      </c>
      <c r="AO19" s="112"/>
      <c r="AP19" s="112"/>
      <c r="AQ19" s="112"/>
      <c r="AR19" s="7" t="str">
        <f>HYPERLINK("https://www.ejacket.nsf.gov/ej/showProposal.do?ID="&amp;ckCodingTable[[#This Row],[prop_id]],"eJ")</f>
        <v>eJ</v>
      </c>
      <c r="AS19" t="s">
        <v>172</v>
      </c>
      <c r="AT19" t="s">
        <v>1517</v>
      </c>
      <c r="AU19" t="b">
        <f>IF(ckCodingTable[[#This Row],[ILN]]="N",SUBSTITUTE(AT18," ","")&lt;&gt;SUBSTITUTE(ckCodingTable[[#This Row],[prop_titl_txt]]," ",""), FALSE)</f>
        <v>0</v>
      </c>
      <c r="AV19">
        <v>0</v>
      </c>
      <c r="AW19" s="13">
        <v>524840</v>
      </c>
      <c r="AX19" s="13">
        <v>524840</v>
      </c>
      <c r="AY19" s="13"/>
      <c r="AZ19" s="13"/>
      <c r="BA19" s="13"/>
      <c r="BB19" s="13">
        <v>3000</v>
      </c>
      <c r="BC19">
        <v>5</v>
      </c>
      <c r="BD19">
        <v>5</v>
      </c>
      <c r="BE19">
        <v>5</v>
      </c>
      <c r="BH19">
        <v>0</v>
      </c>
      <c r="BI19">
        <v>0</v>
      </c>
      <c r="BJ19">
        <v>0</v>
      </c>
      <c r="BK19">
        <v>0</v>
      </c>
      <c r="BL19" t="s">
        <v>1518</v>
      </c>
    </row>
    <row r="20" spans="1:64" x14ac:dyDescent="0.4">
      <c r="A20" s="30"/>
      <c r="B20" s="30">
        <v>42935.387499999997</v>
      </c>
      <c r="C20" t="s">
        <v>1430</v>
      </c>
      <c r="D20" t="s">
        <v>477</v>
      </c>
      <c r="E20" t="s">
        <v>582</v>
      </c>
      <c r="F20" t="s">
        <v>171</v>
      </c>
      <c r="G20" t="s">
        <v>169</v>
      </c>
      <c r="H20" s="21" t="s">
        <v>94</v>
      </c>
      <c r="I20" s="86">
        <v>1</v>
      </c>
      <c r="J20" s="86">
        <v>0</v>
      </c>
      <c r="K20" t="s">
        <v>1431</v>
      </c>
      <c r="L20" t="s">
        <v>654</v>
      </c>
      <c r="M20" t="s">
        <v>309</v>
      </c>
      <c r="N20" t="str">
        <f>IF(SUM(ckCodingTable[[#This Row],[NfmlPIs]:[NnonWhtAsnPIs]])&gt;0,"WMD","")</f>
        <v/>
      </c>
      <c r="O20" t="b">
        <f>_xlfn.XOR(IFERROR(MATCH(ckCodingTable[[#This Row],[st_code]],EpscorTable[],0)&gt;0,FALSE),IFERROR(FIND("9150",ckCodingTable[[#This Row],[propPRCs]])&gt;0,FALSE))</f>
        <v>0</v>
      </c>
      <c r="P20" s="21" t="b">
        <f>_xlfn.XOR(ckCodingTable[[#This Row],[wmd]]&lt;&gt;"",IFERROR(FIND("9102",ckCodingTable[[#This Row],[propPRCs]])&gt;0,FALSE))</f>
        <v>0</v>
      </c>
      <c r="Q20" t="s">
        <v>1432</v>
      </c>
      <c r="S20" s="108">
        <f>S19+(ckCodingTable[[#This Row],[ILN]]&lt;"M")</f>
        <v>19</v>
      </c>
      <c r="T20" s="21" t="s">
        <v>95</v>
      </c>
      <c r="U20" t="s">
        <v>851</v>
      </c>
      <c r="V20" s="7" t="str">
        <f>HYPERLINK("https://www.ejacket.nsf.gov/ej/showProposal.do?ID="&amp;ckCodingTable[[#This Row],[prop_id]],"eJ")</f>
        <v>eJ</v>
      </c>
      <c r="W20" t="s">
        <v>478</v>
      </c>
      <c r="X20" t="s">
        <v>851</v>
      </c>
      <c r="Y20" t="s">
        <v>852</v>
      </c>
      <c r="Z20" t="s">
        <v>1519</v>
      </c>
      <c r="AA20" t="s">
        <v>1520</v>
      </c>
      <c r="AB20" s="111" t="str">
        <f>HYPERLINK("mailto:"&amp;ckCodingTable[[#This Row],[email]]&amp;"&amp;subject=Your NSF Proposal:  "&amp;ckCodingTable[[#This Row],[Div]]&amp;" "&amp;ckCodingTable[[#This Row],[prop_id]], ckCodingTable[[#This Row],[email]])</f>
        <v>debmalya.panigrahi@gmail.com</v>
      </c>
      <c r="AC20" s="30">
        <v>43160</v>
      </c>
      <c r="AD20">
        <v>60</v>
      </c>
      <c r="AE20">
        <v>1</v>
      </c>
      <c r="AG20" s="112">
        <v>1</v>
      </c>
      <c r="AH20" t="s">
        <v>1521</v>
      </c>
      <c r="AI20" s="26">
        <v>7.75</v>
      </c>
      <c r="AJ20" s="22">
        <v>43032.520138888889</v>
      </c>
      <c r="AK20" s="21">
        <v>2</v>
      </c>
      <c r="AL20">
        <v>4</v>
      </c>
      <c r="AN20" s="112">
        <v>4</v>
      </c>
      <c r="AO20" s="112"/>
      <c r="AP20" s="112"/>
      <c r="AQ20" s="112"/>
      <c r="AR20" s="7" t="str">
        <f>HYPERLINK("https://www.ejacket.nsf.gov/ej/showProposal.do?ID="&amp;ckCodingTable[[#This Row],[prop_id]],"eJ")</f>
        <v>eJ</v>
      </c>
      <c r="AS20" t="s">
        <v>172</v>
      </c>
      <c r="AT20" t="s">
        <v>1522</v>
      </c>
      <c r="AU20" t="b">
        <f>IF(ckCodingTable[[#This Row],[ILN]]="N",SUBSTITUTE(AT19," ","")&lt;&gt;SUBSTITUTE(ckCodingTable[[#This Row],[prop_titl_txt]]," ",""), FALSE)</f>
        <v>0</v>
      </c>
      <c r="AV20">
        <v>0</v>
      </c>
      <c r="AW20" s="13">
        <v>602288</v>
      </c>
      <c r="AX20" s="13">
        <v>602288</v>
      </c>
      <c r="AY20" s="13"/>
      <c r="AZ20" s="13">
        <v>21026</v>
      </c>
      <c r="BA20" s="13"/>
      <c r="BB20" s="13">
        <v>16000</v>
      </c>
      <c r="BC20">
        <v>5</v>
      </c>
      <c r="BD20">
        <v>5</v>
      </c>
      <c r="BE20">
        <v>7</v>
      </c>
      <c r="BH20">
        <v>0</v>
      </c>
      <c r="BI20">
        <v>0</v>
      </c>
      <c r="BJ20">
        <v>0</v>
      </c>
      <c r="BK20">
        <v>0</v>
      </c>
      <c r="BL20" t="s">
        <v>1523</v>
      </c>
    </row>
    <row r="21" spans="1:64" x14ac:dyDescent="0.4">
      <c r="A21" s="30"/>
      <c r="B21" s="30">
        <v>42935.475694444445</v>
      </c>
      <c r="C21" t="s">
        <v>1430</v>
      </c>
      <c r="D21" t="s">
        <v>477</v>
      </c>
      <c r="E21" t="s">
        <v>582</v>
      </c>
      <c r="F21" t="s">
        <v>171</v>
      </c>
      <c r="G21" t="s">
        <v>169</v>
      </c>
      <c r="H21" s="21" t="s">
        <v>94</v>
      </c>
      <c r="I21" s="86">
        <v>1</v>
      </c>
      <c r="J21" s="86">
        <v>0</v>
      </c>
      <c r="K21" t="s">
        <v>1431</v>
      </c>
      <c r="L21" t="s">
        <v>654</v>
      </c>
      <c r="M21" t="s">
        <v>490</v>
      </c>
      <c r="N21" t="str">
        <f>IF(SUM(ckCodingTable[[#This Row],[NfmlPIs]:[NnonWhtAsnPIs]])&gt;0,"WMD","")</f>
        <v/>
      </c>
      <c r="O21" t="b">
        <f>_xlfn.XOR(IFERROR(MATCH(ckCodingTable[[#This Row],[st_code]],EpscorTable[],0)&gt;0,FALSE),IFERROR(FIND("9150",ckCodingTable[[#This Row],[propPRCs]])&gt;0,FALSE))</f>
        <v>0</v>
      </c>
      <c r="P21" s="21" t="b">
        <f>_xlfn.XOR(ckCodingTable[[#This Row],[wmd]]&lt;&gt;"",IFERROR(FIND("9102",ckCodingTable[[#This Row],[propPRCs]])&gt;0,FALSE))</f>
        <v>0</v>
      </c>
      <c r="Q21" t="s">
        <v>1432</v>
      </c>
      <c r="R21" s="22">
        <v>43082.668842592589</v>
      </c>
      <c r="S21" s="108">
        <f>S20+(ckCodingTable[[#This Row],[ILN]]&lt;"M")</f>
        <v>20</v>
      </c>
      <c r="T21" s="21" t="s">
        <v>95</v>
      </c>
      <c r="U21" t="s">
        <v>859</v>
      </c>
      <c r="V21" s="7" t="str">
        <f>HYPERLINK("https://www.ejacket.nsf.gov/ej/showProposal.do?ID="&amp;ckCodingTable[[#This Row],[prop_id]],"eJ")</f>
        <v>eJ</v>
      </c>
      <c r="W21" t="s">
        <v>478</v>
      </c>
      <c r="X21" t="s">
        <v>859</v>
      </c>
      <c r="Y21" t="s">
        <v>860</v>
      </c>
      <c r="Z21" t="s">
        <v>1524</v>
      </c>
      <c r="AA21" t="s">
        <v>1525</v>
      </c>
      <c r="AB21" s="111" t="str">
        <f>HYPERLINK("mailto:"&amp;ckCodingTable[[#This Row],[email]]&amp;"&amp;subject=Your NSF Proposal:  "&amp;ckCodingTable[[#This Row],[Div]]&amp;" "&amp;ckCodingTable[[#This Row],[prop_id]], ckCodingTable[[#This Row],[email]])</f>
        <v>mdinitz@cs.jhu.edu</v>
      </c>
      <c r="AC21" s="30">
        <v>43282</v>
      </c>
      <c r="AD21">
        <v>60</v>
      </c>
      <c r="AE21">
        <v>1</v>
      </c>
      <c r="AG21" s="112">
        <v>1</v>
      </c>
      <c r="AH21" t="s">
        <v>567</v>
      </c>
      <c r="AI21" s="26">
        <v>6.75</v>
      </c>
      <c r="AJ21" s="22">
        <v>43030.96875</v>
      </c>
      <c r="AK21" s="21">
        <v>1</v>
      </c>
      <c r="AL21">
        <v>4</v>
      </c>
      <c r="AN21" s="112">
        <v>4</v>
      </c>
      <c r="AO21" s="112"/>
      <c r="AP21" s="112"/>
      <c r="AQ21" s="112"/>
      <c r="AR21" s="7" t="str">
        <f>HYPERLINK("https://www.ejacket.nsf.gov/ej/showProposal.do?ID="&amp;ckCodingTable[[#This Row],[prop_id]],"eJ")</f>
        <v>eJ</v>
      </c>
      <c r="AS21" t="s">
        <v>172</v>
      </c>
      <c r="AT21" t="s">
        <v>1526</v>
      </c>
      <c r="AU21" t="b">
        <f>IF(ckCodingTable[[#This Row],[ILN]]="N",SUBSTITUTE(AT20," ","")&lt;&gt;SUBSTITUTE(ckCodingTable[[#This Row],[prop_titl_txt]]," ",""), FALSE)</f>
        <v>0</v>
      </c>
      <c r="AV21">
        <v>0</v>
      </c>
      <c r="AW21" s="13">
        <v>507459</v>
      </c>
      <c r="AX21" s="13">
        <v>507459</v>
      </c>
      <c r="AY21" s="13"/>
      <c r="AZ21" s="13">
        <v>4200</v>
      </c>
      <c r="BA21" s="13"/>
      <c r="BB21" s="13"/>
      <c r="BC21">
        <v>5</v>
      </c>
      <c r="BD21">
        <v>5</v>
      </c>
      <c r="BG21">
        <v>5</v>
      </c>
      <c r="BH21">
        <v>0</v>
      </c>
      <c r="BI21">
        <v>0</v>
      </c>
      <c r="BJ21">
        <v>0</v>
      </c>
      <c r="BK21">
        <v>0</v>
      </c>
      <c r="BL21" t="s">
        <v>1527</v>
      </c>
    </row>
    <row r="22" spans="1:64" x14ac:dyDescent="0.4">
      <c r="A22" s="30"/>
      <c r="B22" s="30">
        <v>42935.488888888889</v>
      </c>
      <c r="C22" t="s">
        <v>1430</v>
      </c>
      <c r="D22" t="s">
        <v>477</v>
      </c>
      <c r="E22" t="s">
        <v>582</v>
      </c>
      <c r="F22" t="s">
        <v>171</v>
      </c>
      <c r="G22" t="s">
        <v>169</v>
      </c>
      <c r="H22" s="21" t="s">
        <v>94</v>
      </c>
      <c r="I22" s="86">
        <v>1</v>
      </c>
      <c r="J22" s="86">
        <v>0</v>
      </c>
      <c r="K22" t="s">
        <v>1431</v>
      </c>
      <c r="L22" t="s">
        <v>654</v>
      </c>
      <c r="M22" t="s">
        <v>231</v>
      </c>
      <c r="N22" t="str">
        <f>IF(SUM(ckCodingTable[[#This Row],[NfmlPIs]:[NnonWhtAsnPIs]])&gt;0,"WMD","")</f>
        <v/>
      </c>
      <c r="O22" t="b">
        <f>_xlfn.XOR(IFERROR(MATCH(ckCodingTable[[#This Row],[st_code]],EpscorTable[],0)&gt;0,FALSE),IFERROR(FIND("9150",ckCodingTable[[#This Row],[propPRCs]])&gt;0,FALSE))</f>
        <v>0</v>
      </c>
      <c r="P22" s="21" t="b">
        <f>_xlfn.XOR(ckCodingTable[[#This Row],[wmd]]&lt;&gt;"",IFERROR(FIND("9102",ckCodingTable[[#This Row],[propPRCs]])&gt;0,FALSE))</f>
        <v>0</v>
      </c>
      <c r="Q22" t="s">
        <v>1432</v>
      </c>
      <c r="S22" s="108">
        <f>S21+(ckCodingTable[[#This Row],[ILN]]&lt;"M")</f>
        <v>21</v>
      </c>
      <c r="T22" s="21" t="s">
        <v>95</v>
      </c>
      <c r="U22" t="s">
        <v>868</v>
      </c>
      <c r="V22" s="7" t="str">
        <f>HYPERLINK("https://www.ejacket.nsf.gov/ej/showProposal.do?ID="&amp;ckCodingTable[[#This Row],[prop_id]],"eJ")</f>
        <v>eJ</v>
      </c>
      <c r="W22" t="s">
        <v>478</v>
      </c>
      <c r="X22" t="s">
        <v>868</v>
      </c>
      <c r="Y22" t="s">
        <v>869</v>
      </c>
      <c r="Z22" t="s">
        <v>1528</v>
      </c>
      <c r="AA22" t="s">
        <v>1529</v>
      </c>
      <c r="AB22" s="111" t="str">
        <f>HYPERLINK("mailto:"&amp;ckCodingTable[[#This Row],[email]]&amp;"&amp;subject=Your NSF Proposal:  "&amp;ckCodingTable[[#This Row],[Div]]&amp;" "&amp;ckCodingTable[[#This Row],[prop_id]], ckCodingTable[[#This Row],[email]])</f>
        <v>aene@bu.edu</v>
      </c>
      <c r="AC22" s="30">
        <v>43101</v>
      </c>
      <c r="AD22">
        <v>60</v>
      </c>
      <c r="AE22">
        <v>1</v>
      </c>
      <c r="AG22" s="112">
        <v>1</v>
      </c>
      <c r="AH22" t="s">
        <v>1530</v>
      </c>
      <c r="AI22" s="26">
        <v>7.5</v>
      </c>
      <c r="AJ22" s="22">
        <v>43032.52847222222</v>
      </c>
      <c r="AK22" s="21">
        <v>1</v>
      </c>
      <c r="AL22">
        <v>4</v>
      </c>
      <c r="AN22" s="112">
        <v>4</v>
      </c>
      <c r="AO22" s="112"/>
      <c r="AP22" s="112"/>
      <c r="AQ22" s="112"/>
      <c r="AR22" s="7" t="str">
        <f>HYPERLINK("https://www.ejacket.nsf.gov/ej/showProposal.do?ID="&amp;ckCodingTable[[#This Row],[prop_id]],"eJ")</f>
        <v>eJ</v>
      </c>
      <c r="AS22" t="s">
        <v>172</v>
      </c>
      <c r="AT22" t="s">
        <v>1531</v>
      </c>
      <c r="AU22" t="b">
        <f>IF(ckCodingTable[[#This Row],[ILN]]="N",SUBSTITUTE(AT21," ","")&lt;&gt;SUBSTITUTE(ckCodingTable[[#This Row],[prop_titl_txt]]," ",""), FALSE)</f>
        <v>0</v>
      </c>
      <c r="AV22">
        <v>0</v>
      </c>
      <c r="AW22" s="13">
        <v>507423</v>
      </c>
      <c r="AX22" s="13">
        <v>507423</v>
      </c>
      <c r="AY22" s="13"/>
      <c r="AZ22" s="13">
        <v>15000</v>
      </c>
      <c r="BA22" s="13"/>
      <c r="BB22" s="13"/>
      <c r="BC22">
        <v>5</v>
      </c>
      <c r="BD22">
        <v>5</v>
      </c>
      <c r="BE22">
        <v>5</v>
      </c>
      <c r="BH22">
        <v>0</v>
      </c>
      <c r="BI22">
        <v>0</v>
      </c>
      <c r="BJ22">
        <v>0</v>
      </c>
      <c r="BK22">
        <v>0</v>
      </c>
      <c r="BL22" t="s">
        <v>1532</v>
      </c>
    </row>
    <row r="23" spans="1:64" x14ac:dyDescent="0.4">
      <c r="A23" s="30"/>
      <c r="B23" s="30">
        <v>42935.491666666669</v>
      </c>
      <c r="C23" t="s">
        <v>1430</v>
      </c>
      <c r="D23" t="s">
        <v>477</v>
      </c>
      <c r="E23" t="s">
        <v>582</v>
      </c>
      <c r="F23" t="s">
        <v>171</v>
      </c>
      <c r="G23" t="s">
        <v>169</v>
      </c>
      <c r="H23" s="21" t="s">
        <v>94</v>
      </c>
      <c r="I23" s="86">
        <v>1</v>
      </c>
      <c r="J23" s="86">
        <v>0</v>
      </c>
      <c r="K23" t="s">
        <v>1431</v>
      </c>
      <c r="L23" t="s">
        <v>654</v>
      </c>
      <c r="M23" t="s">
        <v>97</v>
      </c>
      <c r="N23" t="str">
        <f>IF(SUM(ckCodingTable[[#This Row],[NfmlPIs]:[NnonWhtAsnPIs]])&gt;0,"WMD","")</f>
        <v/>
      </c>
      <c r="O23" t="b">
        <f>_xlfn.XOR(IFERROR(MATCH(ckCodingTable[[#This Row],[st_code]],EpscorTable[],0)&gt;0,FALSE),IFERROR(FIND("9150",ckCodingTable[[#This Row],[propPRCs]])&gt;0,FALSE))</f>
        <v>0</v>
      </c>
      <c r="P23" s="21" t="b">
        <f>_xlfn.XOR(ckCodingTable[[#This Row],[wmd]]&lt;&gt;"",IFERROR(FIND("9102",ckCodingTable[[#This Row],[propPRCs]])&gt;0,FALSE))</f>
        <v>0</v>
      </c>
      <c r="Q23" t="s">
        <v>1533</v>
      </c>
      <c r="R23" s="22">
        <v>43082.663078703707</v>
      </c>
      <c r="S23" s="108">
        <f>S22+(ckCodingTable[[#This Row],[ILN]]&lt;"M")</f>
        <v>22</v>
      </c>
      <c r="T23" s="21" t="s">
        <v>95</v>
      </c>
      <c r="U23" t="s">
        <v>875</v>
      </c>
      <c r="V23" s="7" t="str">
        <f>HYPERLINK("https://www.ejacket.nsf.gov/ej/showProposal.do?ID="&amp;ckCodingTable[[#This Row],[prop_id]],"eJ")</f>
        <v>eJ</v>
      </c>
      <c r="W23" t="s">
        <v>478</v>
      </c>
      <c r="X23" t="s">
        <v>875</v>
      </c>
      <c r="Y23" t="s">
        <v>876</v>
      </c>
      <c r="Z23" t="s">
        <v>1534</v>
      </c>
      <c r="AA23" t="s">
        <v>1535</v>
      </c>
      <c r="AB23" s="111" t="str">
        <f>HYPERLINK("mailto:"&amp;ckCodingTable[[#This Row],[email]]&amp;"&amp;subject=Your NSF Proposal:  "&amp;ckCodingTable[[#This Row],[Div]]&amp;" "&amp;ckCodingTable[[#This Row],[prop_id]], ckCodingTable[[#This Row],[email]])</f>
        <v>pvaliant@gmail.com</v>
      </c>
      <c r="AC23" s="30">
        <v>43252</v>
      </c>
      <c r="AD23">
        <v>60</v>
      </c>
      <c r="AE23">
        <v>1</v>
      </c>
      <c r="AG23" s="112"/>
      <c r="AH23" t="s">
        <v>1536</v>
      </c>
      <c r="AI23" s="26">
        <v>5</v>
      </c>
      <c r="AJ23" s="22">
        <v>43059.950694444444</v>
      </c>
      <c r="AL23">
        <v>4</v>
      </c>
      <c r="AN23" s="112"/>
      <c r="AO23" s="112"/>
      <c r="AP23" s="112"/>
      <c r="AQ23" s="112"/>
      <c r="AR23" s="7" t="str">
        <f>HYPERLINK("https://www.ejacket.nsf.gov/ej/showProposal.do?ID="&amp;ckCodingTable[[#This Row],[prop_id]],"eJ")</f>
        <v>eJ</v>
      </c>
      <c r="AS23" t="s">
        <v>172</v>
      </c>
      <c r="AT23" t="s">
        <v>1537</v>
      </c>
      <c r="AU23" t="b">
        <f>IF(ckCodingTable[[#This Row],[ILN]]="N",SUBSTITUTE(AT22," ","")&lt;&gt;SUBSTITUTE(ckCodingTable[[#This Row],[prop_titl_txt]]," ",""), FALSE)</f>
        <v>0</v>
      </c>
      <c r="AV23">
        <v>0</v>
      </c>
      <c r="AW23" s="13">
        <v>666111</v>
      </c>
      <c r="AX23" s="13">
        <v>666111</v>
      </c>
      <c r="AY23" s="13"/>
      <c r="AZ23" s="13">
        <v>10618</v>
      </c>
      <c r="BA23" s="13"/>
      <c r="BB23" s="13"/>
      <c r="BC23">
        <v>5</v>
      </c>
      <c r="BD23">
        <v>5</v>
      </c>
      <c r="BE23">
        <v>5</v>
      </c>
      <c r="BH23">
        <v>0</v>
      </c>
      <c r="BI23">
        <v>0</v>
      </c>
      <c r="BJ23">
        <v>0</v>
      </c>
      <c r="BK23">
        <v>0</v>
      </c>
      <c r="BL23" t="s">
        <v>1538</v>
      </c>
    </row>
    <row r="24" spans="1:64" x14ac:dyDescent="0.4">
      <c r="A24" s="30"/>
      <c r="B24" s="30">
        <v>42935.535416666666</v>
      </c>
      <c r="C24" t="s">
        <v>1430</v>
      </c>
      <c r="D24" t="s">
        <v>477</v>
      </c>
      <c r="E24" t="s">
        <v>582</v>
      </c>
      <c r="F24" t="s">
        <v>171</v>
      </c>
      <c r="G24" t="s">
        <v>169</v>
      </c>
      <c r="H24" s="21" t="s">
        <v>94</v>
      </c>
      <c r="I24" s="86">
        <v>1</v>
      </c>
      <c r="J24" s="86">
        <v>0</v>
      </c>
      <c r="K24" t="s">
        <v>1431</v>
      </c>
      <c r="L24" t="s">
        <v>611</v>
      </c>
      <c r="M24" t="s">
        <v>306</v>
      </c>
      <c r="N24" t="str">
        <f>IF(SUM(ckCodingTable[[#This Row],[NfmlPIs]:[NnonWhtAsnPIs]])&gt;0,"WMD","")</f>
        <v/>
      </c>
      <c r="O24" t="b">
        <f>_xlfn.XOR(IFERROR(MATCH(ckCodingTable[[#This Row],[st_code]],EpscorTable[],0)&gt;0,FALSE),IFERROR(FIND("9150",ckCodingTable[[#This Row],[propPRCs]])&gt;0,FALSE))</f>
        <v>0</v>
      </c>
      <c r="P24" s="21" t="b">
        <f>_xlfn.XOR(ckCodingTable[[#This Row],[wmd]]&lt;&gt;"",IFERROR(FIND("9102",ckCodingTable[[#This Row],[propPRCs]])&gt;0,FALSE))</f>
        <v>0</v>
      </c>
      <c r="Q24" t="s">
        <v>1539</v>
      </c>
      <c r="S24" s="108">
        <f>S23+(ckCodingTable[[#This Row],[ILN]]&lt;"M")</f>
        <v>23</v>
      </c>
      <c r="T24" s="21" t="s">
        <v>95</v>
      </c>
      <c r="U24" t="s">
        <v>885</v>
      </c>
      <c r="V24" s="7" t="str">
        <f>HYPERLINK("https://www.ejacket.nsf.gov/ej/showProposal.do?ID="&amp;ckCodingTable[[#This Row],[prop_id]],"eJ")</f>
        <v>eJ</v>
      </c>
      <c r="W24" t="s">
        <v>478</v>
      </c>
      <c r="X24" t="s">
        <v>885</v>
      </c>
      <c r="Y24" t="s">
        <v>886</v>
      </c>
      <c r="Z24" t="s">
        <v>1540</v>
      </c>
      <c r="AA24" t="s">
        <v>1477</v>
      </c>
      <c r="AB24" s="111" t="str">
        <f>HYPERLINK("mailto:"&amp;ckCodingTable[[#This Row],[email]]&amp;"&amp;subject=Your NSF Proposal:  "&amp;ckCodingTable[[#This Row],[Div]]&amp;" "&amp;ckCodingTable[[#This Row],[prop_id]], ckCodingTable[[#This Row],[email]])</f>
        <v>rutameht@illinois.edu</v>
      </c>
      <c r="AC24" s="30">
        <v>43132</v>
      </c>
      <c r="AD24">
        <v>60</v>
      </c>
      <c r="AE24">
        <v>1</v>
      </c>
      <c r="AG24" s="112">
        <v>1</v>
      </c>
      <c r="AH24" t="s">
        <v>1541</v>
      </c>
      <c r="AI24" s="26">
        <v>7.25</v>
      </c>
      <c r="AJ24" s="22">
        <v>43060.566666666666</v>
      </c>
      <c r="AK24" s="21">
        <v>1</v>
      </c>
      <c r="AL24">
        <v>4</v>
      </c>
      <c r="AN24" s="112">
        <v>4</v>
      </c>
      <c r="AO24" s="112"/>
      <c r="AP24" s="112"/>
      <c r="AQ24" s="112"/>
      <c r="AR24" s="7" t="str">
        <f>HYPERLINK("https://www.ejacket.nsf.gov/ej/showProposal.do?ID="&amp;ckCodingTable[[#This Row],[prop_id]],"eJ")</f>
        <v>eJ</v>
      </c>
      <c r="AS24" t="s">
        <v>172</v>
      </c>
      <c r="AT24" t="s">
        <v>1542</v>
      </c>
      <c r="AU24" t="b">
        <f>IF(ckCodingTable[[#This Row],[ILN]]="N",SUBSTITUTE(AT23," ","")&lt;&gt;SUBSTITUTE(ckCodingTable[[#This Row],[prop_titl_txt]]," ",""), FALSE)</f>
        <v>0</v>
      </c>
      <c r="AV24">
        <v>0</v>
      </c>
      <c r="AW24" s="13">
        <v>499906</v>
      </c>
      <c r="AX24" s="13">
        <v>499906</v>
      </c>
      <c r="AY24" s="13"/>
      <c r="AZ24" s="13">
        <v>10000</v>
      </c>
      <c r="BA24" s="13"/>
      <c r="BB24" s="13"/>
      <c r="BC24">
        <v>5</v>
      </c>
      <c r="BD24">
        <v>4</v>
      </c>
      <c r="BE24">
        <v>4</v>
      </c>
      <c r="BH24">
        <v>0</v>
      </c>
      <c r="BI24">
        <v>0</v>
      </c>
      <c r="BJ24">
        <v>0</v>
      </c>
      <c r="BK24">
        <v>0</v>
      </c>
      <c r="BL24" t="s">
        <v>1543</v>
      </c>
    </row>
    <row r="25" spans="1:64" x14ac:dyDescent="0.4">
      <c r="A25" s="30"/>
      <c r="B25" s="30">
        <v>42935.536805555559</v>
      </c>
      <c r="C25" t="s">
        <v>1430</v>
      </c>
      <c r="D25" t="s">
        <v>477</v>
      </c>
      <c r="E25" t="s">
        <v>582</v>
      </c>
      <c r="F25" t="s">
        <v>171</v>
      </c>
      <c r="G25" t="s">
        <v>169</v>
      </c>
      <c r="H25" s="21" t="s">
        <v>94</v>
      </c>
      <c r="I25" s="86">
        <v>1</v>
      </c>
      <c r="J25" s="86">
        <v>0</v>
      </c>
      <c r="K25" t="s">
        <v>1431</v>
      </c>
      <c r="L25" t="s">
        <v>611</v>
      </c>
      <c r="M25" t="s">
        <v>498</v>
      </c>
      <c r="N25" t="str">
        <f>IF(SUM(ckCodingTable[[#This Row],[NfmlPIs]:[NnonWhtAsnPIs]])&gt;0,"WMD","")</f>
        <v/>
      </c>
      <c r="O25" t="b">
        <f>_xlfn.XOR(IFERROR(MATCH(ckCodingTable[[#This Row],[st_code]],EpscorTable[],0)&gt;0,FALSE),IFERROR(FIND("9150",ckCodingTable[[#This Row],[propPRCs]])&gt;0,FALSE))</f>
        <v>0</v>
      </c>
      <c r="P25" s="21" t="b">
        <f>_xlfn.XOR(ckCodingTable[[#This Row],[wmd]]&lt;&gt;"",IFERROR(FIND("9102",ckCodingTable[[#This Row],[propPRCs]])&gt;0,FALSE))</f>
        <v>0</v>
      </c>
      <c r="Q25" t="s">
        <v>1469</v>
      </c>
      <c r="S25" s="108">
        <f>S24+(ckCodingTable[[#This Row],[ILN]]&lt;"M")</f>
        <v>24</v>
      </c>
      <c r="T25" s="21" t="s">
        <v>95</v>
      </c>
      <c r="U25" t="s">
        <v>896</v>
      </c>
      <c r="V25" s="7" t="str">
        <f>HYPERLINK("https://www.ejacket.nsf.gov/ej/showProposal.do?ID="&amp;ckCodingTable[[#This Row],[prop_id]],"eJ")</f>
        <v>eJ</v>
      </c>
      <c r="W25" t="s">
        <v>478</v>
      </c>
      <c r="X25" t="s">
        <v>896</v>
      </c>
      <c r="Y25" t="s">
        <v>897</v>
      </c>
      <c r="Z25" t="s">
        <v>1544</v>
      </c>
      <c r="AA25" t="s">
        <v>552</v>
      </c>
      <c r="AB25" s="111" t="str">
        <f>HYPERLINK("mailto:"&amp;ckCodingTable[[#This Row],[email]]&amp;"&amp;subject=Your NSF Proposal:  "&amp;ckCodingTable[[#This Row],[Div]]&amp;" "&amp;ckCodingTable[[#This Row],[prop_id]], ckCodingTable[[#This Row],[email]])</f>
        <v>gillat.kol@gmail.com</v>
      </c>
      <c r="AC25" s="30">
        <v>43132</v>
      </c>
      <c r="AD25">
        <v>60</v>
      </c>
      <c r="AE25">
        <v>2</v>
      </c>
      <c r="AG25" s="112">
        <v>2</v>
      </c>
      <c r="AH25" t="s">
        <v>1545</v>
      </c>
      <c r="AI25" s="26">
        <v>6.2222222222222223</v>
      </c>
      <c r="AJ25" s="22">
        <v>43059.575694444444</v>
      </c>
      <c r="AL25">
        <v>9</v>
      </c>
      <c r="AN25" s="112">
        <v>9</v>
      </c>
      <c r="AO25" s="112"/>
      <c r="AP25" s="112"/>
      <c r="AQ25" s="112"/>
      <c r="AR25" s="7" t="str">
        <f>HYPERLINK("https://www.ejacket.nsf.gov/ej/showProposal.do?ID="&amp;ckCodingTable[[#This Row],[prop_id]],"eJ")</f>
        <v>eJ</v>
      </c>
      <c r="AS25" t="s">
        <v>172</v>
      </c>
      <c r="AT25" t="s">
        <v>1546</v>
      </c>
      <c r="AU25" t="b">
        <f>IF(ckCodingTable[[#This Row],[ILN]]="N",SUBSTITUTE(AT24," ","")&lt;&gt;SUBSTITUTE(ckCodingTable[[#This Row],[prop_titl_txt]]," ",""), FALSE)</f>
        <v>0</v>
      </c>
      <c r="AV25">
        <v>0</v>
      </c>
      <c r="AW25" s="13">
        <v>550000</v>
      </c>
      <c r="AX25" s="13">
        <v>550000</v>
      </c>
      <c r="AY25" s="13"/>
      <c r="AZ25" s="13"/>
      <c r="BA25" s="13"/>
      <c r="BB25" s="13"/>
      <c r="BC25">
        <v>5</v>
      </c>
      <c r="BD25">
        <v>5</v>
      </c>
      <c r="BE25">
        <v>5</v>
      </c>
      <c r="BH25">
        <v>0</v>
      </c>
      <c r="BI25">
        <v>0</v>
      </c>
      <c r="BJ25">
        <v>0</v>
      </c>
      <c r="BK25">
        <v>0</v>
      </c>
      <c r="BL25" t="s">
        <v>1547</v>
      </c>
    </row>
    <row r="26" spans="1:64" x14ac:dyDescent="0.4">
      <c r="A26" s="30"/>
      <c r="B26" s="30">
        <v>42935.54583333333</v>
      </c>
      <c r="C26" t="s">
        <v>1430</v>
      </c>
      <c r="D26" t="s">
        <v>477</v>
      </c>
      <c r="E26" t="s">
        <v>582</v>
      </c>
      <c r="F26" t="s">
        <v>171</v>
      </c>
      <c r="G26" t="s">
        <v>169</v>
      </c>
      <c r="H26" s="21" t="s">
        <v>94</v>
      </c>
      <c r="I26" s="86">
        <v>1</v>
      </c>
      <c r="J26" s="86">
        <v>0</v>
      </c>
      <c r="K26" t="s">
        <v>1431</v>
      </c>
      <c r="L26" t="s">
        <v>654</v>
      </c>
      <c r="M26" t="s">
        <v>1548</v>
      </c>
      <c r="N26" t="str">
        <f>IF(SUM(ckCodingTable[[#This Row],[NfmlPIs]:[NnonWhtAsnPIs]])&gt;0,"WMD","")</f>
        <v/>
      </c>
      <c r="O26" t="b">
        <f>_xlfn.XOR(IFERROR(MATCH(ckCodingTable[[#This Row],[st_code]],EpscorTable[],0)&gt;0,FALSE),IFERROR(FIND("9150",ckCodingTable[[#This Row],[propPRCs]])&gt;0,FALSE))</f>
        <v>0</v>
      </c>
      <c r="P26" s="21" t="b">
        <f>_xlfn.XOR(ckCodingTable[[#This Row],[wmd]]&lt;&gt;"",IFERROR(FIND("9102",ckCodingTable[[#This Row],[propPRCs]])&gt;0,FALSE))</f>
        <v>0</v>
      </c>
      <c r="Q26" t="s">
        <v>1432</v>
      </c>
      <c r="R26" s="22">
        <v>43082.668912037036</v>
      </c>
      <c r="S26" s="108">
        <f>S25+(ckCodingTable[[#This Row],[ILN]]&lt;"M")</f>
        <v>25</v>
      </c>
      <c r="T26" s="21" t="s">
        <v>95</v>
      </c>
      <c r="U26" t="s">
        <v>927</v>
      </c>
      <c r="V26" s="7" t="str">
        <f>HYPERLINK("https://www.ejacket.nsf.gov/ej/showProposal.do?ID="&amp;ckCodingTable[[#This Row],[prop_id]],"eJ")</f>
        <v>eJ</v>
      </c>
      <c r="W26" t="s">
        <v>478</v>
      </c>
      <c r="X26" t="s">
        <v>927</v>
      </c>
      <c r="Y26" t="s">
        <v>928</v>
      </c>
      <c r="Z26" t="s">
        <v>1549</v>
      </c>
      <c r="AA26" t="s">
        <v>1550</v>
      </c>
      <c r="AB26" s="111" t="str">
        <f>HYPERLINK("mailto:"&amp;ckCodingTable[[#This Row],[email]]&amp;"&amp;subject=Your NSF Proposal:  "&amp;ckCodingTable[[#This Row],[Div]]&amp;" "&amp;ckCodingTable[[#This Row],[prop_id]], ckCodingTable[[#This Row],[email]])</f>
        <v>sharathr@vt.edu</v>
      </c>
      <c r="AC26" s="30">
        <v>43110</v>
      </c>
      <c r="AD26">
        <v>60</v>
      </c>
      <c r="AE26">
        <v>1</v>
      </c>
      <c r="AG26" s="112"/>
      <c r="AH26" t="s">
        <v>1551</v>
      </c>
      <c r="AI26" s="26">
        <v>6.5</v>
      </c>
      <c r="AJ26" s="22">
        <v>43032.486805555556</v>
      </c>
      <c r="AK26" s="21">
        <v>2</v>
      </c>
      <c r="AL26">
        <v>4</v>
      </c>
      <c r="AN26" s="112"/>
      <c r="AO26" s="112"/>
      <c r="AP26" s="112"/>
      <c r="AQ26" s="112"/>
      <c r="AR26" s="7" t="str">
        <f>HYPERLINK("https://www.ejacket.nsf.gov/ej/showProposal.do?ID="&amp;ckCodingTable[[#This Row],[prop_id]],"eJ")</f>
        <v>eJ</v>
      </c>
      <c r="AS26" t="s">
        <v>172</v>
      </c>
      <c r="AT26" t="s">
        <v>1552</v>
      </c>
      <c r="AU26" t="b">
        <f>IF(ckCodingTable[[#This Row],[ILN]]="N",SUBSTITUTE(AT25," ","")&lt;&gt;SUBSTITUTE(ckCodingTable[[#This Row],[prop_titl_txt]]," ",""), FALSE)</f>
        <v>0</v>
      </c>
      <c r="AV26">
        <v>0</v>
      </c>
      <c r="AW26" s="13">
        <v>533991</v>
      </c>
      <c r="AX26" s="13">
        <v>533991</v>
      </c>
      <c r="AY26" s="13"/>
      <c r="AZ26" s="13">
        <v>7500</v>
      </c>
      <c r="BA26" s="13"/>
      <c r="BB26" s="13"/>
      <c r="BC26">
        <v>5</v>
      </c>
      <c r="BD26">
        <v>5</v>
      </c>
      <c r="BE26">
        <v>6.5</v>
      </c>
      <c r="BH26">
        <v>0</v>
      </c>
      <c r="BI26">
        <v>0</v>
      </c>
      <c r="BJ26">
        <v>0</v>
      </c>
      <c r="BK26">
        <v>0</v>
      </c>
      <c r="BL26" t="s">
        <v>1553</v>
      </c>
    </row>
    <row r="27" spans="1:64" x14ac:dyDescent="0.4">
      <c r="A27" s="30"/>
      <c r="B27" s="30">
        <v>42935.576388888891</v>
      </c>
      <c r="C27" t="s">
        <v>1430</v>
      </c>
      <c r="D27" t="s">
        <v>477</v>
      </c>
      <c r="E27" t="s">
        <v>582</v>
      </c>
      <c r="F27" t="s">
        <v>171</v>
      </c>
      <c r="G27" t="s">
        <v>169</v>
      </c>
      <c r="H27" s="21" t="s">
        <v>94</v>
      </c>
      <c r="I27" s="86">
        <v>1</v>
      </c>
      <c r="J27" s="86">
        <v>0</v>
      </c>
      <c r="K27" t="s">
        <v>1431</v>
      </c>
      <c r="L27" t="s">
        <v>611</v>
      </c>
      <c r="M27" t="s">
        <v>230</v>
      </c>
      <c r="N27" t="str">
        <f>IF(SUM(ckCodingTable[[#This Row],[NfmlPIs]:[NnonWhtAsnPIs]])&gt;0,"WMD","")</f>
        <v/>
      </c>
      <c r="O27" t="b">
        <f>_xlfn.XOR(IFERROR(MATCH(ckCodingTable[[#This Row],[st_code]],EpscorTable[],0)&gt;0,FALSE),IFERROR(FIND("9150",ckCodingTable[[#This Row],[propPRCs]])&gt;0,FALSE))</f>
        <v>0</v>
      </c>
      <c r="P27" s="21" t="b">
        <f>_xlfn.XOR(ckCodingTable[[#This Row],[wmd]]&lt;&gt;"",IFERROR(FIND("9102",ckCodingTable[[#This Row],[propPRCs]])&gt;0,FALSE))</f>
        <v>0</v>
      </c>
      <c r="Q27" t="s">
        <v>1432</v>
      </c>
      <c r="S27" s="108">
        <f>S26+(ckCodingTable[[#This Row],[ILN]]&lt;"M")</f>
        <v>26</v>
      </c>
      <c r="T27" s="21" t="s">
        <v>95</v>
      </c>
      <c r="U27" t="s">
        <v>936</v>
      </c>
      <c r="V27" s="7" t="str">
        <f>HYPERLINK("https://www.ejacket.nsf.gov/ej/showProposal.do?ID="&amp;ckCodingTable[[#This Row],[prop_id]],"eJ")</f>
        <v>eJ</v>
      </c>
      <c r="W27" t="s">
        <v>478</v>
      </c>
      <c r="X27" t="s">
        <v>936</v>
      </c>
      <c r="Y27" t="s">
        <v>937</v>
      </c>
      <c r="Z27" t="s">
        <v>1554</v>
      </c>
      <c r="AA27" t="s">
        <v>501</v>
      </c>
      <c r="AB27" s="111" t="str">
        <f>HYPERLINK("mailto:"&amp;ckCodingTable[[#This Row],[email]]&amp;"&amp;subject=Your NSF Proposal:  "&amp;ckCodingTable[[#This Row],[Div]]&amp;" "&amp;ckCodingTable[[#This Row],[prop_id]], ckCodingTable[[#This Row],[email]])</f>
        <v xml:space="preserve"> hardt@eecs.berkeley.edu</v>
      </c>
      <c r="AC27" s="30">
        <v>43132</v>
      </c>
      <c r="AD27">
        <v>60</v>
      </c>
      <c r="AE27">
        <v>1</v>
      </c>
      <c r="AG27" s="112">
        <v>1</v>
      </c>
      <c r="AH27" t="s">
        <v>1555</v>
      </c>
      <c r="AI27" s="26">
        <v>8.75</v>
      </c>
      <c r="AJ27" s="22">
        <v>43059.785416666666</v>
      </c>
      <c r="AL27">
        <v>4</v>
      </c>
      <c r="AN27" s="112">
        <v>4</v>
      </c>
      <c r="AO27" s="112"/>
      <c r="AP27" s="112"/>
      <c r="AQ27" s="112"/>
      <c r="AR27" s="7" t="str">
        <f>HYPERLINK("https://www.ejacket.nsf.gov/ej/showProposal.do?ID="&amp;ckCodingTable[[#This Row],[prop_id]],"eJ")</f>
        <v>eJ</v>
      </c>
      <c r="AS27" t="s">
        <v>172</v>
      </c>
      <c r="AT27" t="s">
        <v>1556</v>
      </c>
      <c r="AU27" t="b">
        <f>IF(ckCodingTable[[#This Row],[ILN]]="N",SUBSTITUTE(AT26," ","")&lt;&gt;SUBSTITUTE(ckCodingTable[[#This Row],[prop_titl_txt]]," ",""), FALSE)</f>
        <v>0</v>
      </c>
      <c r="AV27">
        <v>0</v>
      </c>
      <c r="AW27" s="13">
        <v>499434</v>
      </c>
      <c r="AX27" s="13">
        <v>499434</v>
      </c>
      <c r="AY27" s="13"/>
      <c r="AZ27" s="13"/>
      <c r="BA27" s="13"/>
      <c r="BB27" s="13"/>
      <c r="BC27">
        <v>5</v>
      </c>
      <c r="BD27">
        <v>5</v>
      </c>
      <c r="BE27">
        <v>0.8</v>
      </c>
      <c r="BH27">
        <v>0</v>
      </c>
      <c r="BI27">
        <v>0</v>
      </c>
      <c r="BJ27">
        <v>0</v>
      </c>
      <c r="BK27">
        <v>0</v>
      </c>
      <c r="BL27" t="s">
        <v>1557</v>
      </c>
    </row>
    <row r="28" spans="1:64" x14ac:dyDescent="0.4">
      <c r="A28" s="30"/>
      <c r="B28" s="30">
        <v>42935.599305555559</v>
      </c>
      <c r="C28" t="s">
        <v>1430</v>
      </c>
      <c r="D28" t="s">
        <v>477</v>
      </c>
      <c r="E28" t="s">
        <v>582</v>
      </c>
      <c r="F28" t="s">
        <v>171</v>
      </c>
      <c r="G28" t="s">
        <v>169</v>
      </c>
      <c r="H28" s="21" t="s">
        <v>94</v>
      </c>
      <c r="I28" s="86">
        <v>1</v>
      </c>
      <c r="J28" s="86">
        <v>0</v>
      </c>
      <c r="K28" t="s">
        <v>1431</v>
      </c>
      <c r="L28" t="s">
        <v>611</v>
      </c>
      <c r="M28" t="s">
        <v>231</v>
      </c>
      <c r="N28" t="str">
        <f>IF(SUM(ckCodingTable[[#This Row],[NfmlPIs]:[NnonWhtAsnPIs]])&gt;0,"WMD","")</f>
        <v/>
      </c>
      <c r="O28" t="b">
        <f>_xlfn.XOR(IFERROR(MATCH(ckCodingTable[[#This Row],[st_code]],EpscorTable[],0)&gt;0,FALSE),IFERROR(FIND("9150",ckCodingTable[[#This Row],[propPRCs]])&gt;0,FALSE))</f>
        <v>0</v>
      </c>
      <c r="P28" s="21" t="b">
        <f>_xlfn.XOR(ckCodingTable[[#This Row],[wmd]]&lt;&gt;"",IFERROR(FIND("9102",ckCodingTable[[#This Row],[propPRCs]])&gt;0,FALSE))</f>
        <v>0</v>
      </c>
      <c r="Q28" t="s">
        <v>1432</v>
      </c>
      <c r="S28" s="108">
        <f>S27+(ckCodingTable[[#This Row],[ILN]]&lt;"M")</f>
        <v>27</v>
      </c>
      <c r="T28" s="21" t="s">
        <v>95</v>
      </c>
      <c r="U28" t="s">
        <v>944</v>
      </c>
      <c r="V28" s="7" t="str">
        <f>HYPERLINK("https://www.ejacket.nsf.gov/ej/showProposal.do?ID="&amp;ckCodingTable[[#This Row],[prop_id]],"eJ")</f>
        <v>eJ</v>
      </c>
      <c r="W28" t="s">
        <v>478</v>
      </c>
      <c r="X28" t="s">
        <v>944</v>
      </c>
      <c r="Y28" t="s">
        <v>945</v>
      </c>
      <c r="Z28" t="s">
        <v>1558</v>
      </c>
      <c r="AA28" t="s">
        <v>502</v>
      </c>
      <c r="AB28" s="111" t="str">
        <f>HYPERLINK("mailto:"&amp;ckCodingTable[[#This Row],[email]]&amp;"&amp;subject=Your NSF Proposal:  "&amp;ckCodingTable[[#This Row],[Div]]&amp;" "&amp;ckCodingTable[[#This Row],[prop_id]], ckCodingTable[[#This Row],[email]])</f>
        <v>jullman@ccs.neu.edu</v>
      </c>
      <c r="AC28" s="30">
        <v>43282</v>
      </c>
      <c r="AD28">
        <v>60</v>
      </c>
      <c r="AE28">
        <v>1</v>
      </c>
      <c r="AG28" s="112">
        <v>1</v>
      </c>
      <c r="AH28" t="s">
        <v>551</v>
      </c>
      <c r="AI28" s="26">
        <v>8.5</v>
      </c>
      <c r="AJ28" s="22">
        <v>43059.227083333331</v>
      </c>
      <c r="AL28">
        <v>4</v>
      </c>
      <c r="AN28" s="112">
        <v>4</v>
      </c>
      <c r="AO28" s="112"/>
      <c r="AP28" s="112"/>
      <c r="AQ28" s="112"/>
      <c r="AR28" s="7" t="str">
        <f>HYPERLINK("https://www.ejacket.nsf.gov/ej/showProposal.do?ID="&amp;ckCodingTable[[#This Row],[prop_id]],"eJ")</f>
        <v>eJ</v>
      </c>
      <c r="AS28" t="s">
        <v>172</v>
      </c>
      <c r="AT28" t="s">
        <v>1559</v>
      </c>
      <c r="AU28" t="b">
        <f>IF(ckCodingTable[[#This Row],[ILN]]="N",SUBSTITUTE(AT27," ","")&lt;&gt;SUBSTITUTE(ckCodingTable[[#This Row],[prop_titl_txt]]," ",""), FALSE)</f>
        <v>0</v>
      </c>
      <c r="AV28">
        <v>0</v>
      </c>
      <c r="AW28" s="13">
        <v>545883</v>
      </c>
      <c r="AX28" s="13">
        <v>545883</v>
      </c>
      <c r="AY28" s="13"/>
      <c r="AZ28" s="13">
        <v>15928</v>
      </c>
      <c r="BA28" s="13"/>
      <c r="BB28" s="13"/>
      <c r="BC28">
        <v>5</v>
      </c>
      <c r="BD28">
        <v>5</v>
      </c>
      <c r="BE28">
        <v>5</v>
      </c>
      <c r="BH28">
        <v>0</v>
      </c>
      <c r="BI28">
        <v>0</v>
      </c>
      <c r="BJ28">
        <v>0</v>
      </c>
      <c r="BK28">
        <v>0</v>
      </c>
      <c r="BL28" t="s">
        <v>1560</v>
      </c>
    </row>
    <row r="29" spans="1:64" x14ac:dyDescent="0.4">
      <c r="A29" s="30"/>
      <c r="B29" s="30">
        <v>42935.603472222225</v>
      </c>
      <c r="C29" t="s">
        <v>1430</v>
      </c>
      <c r="D29" t="s">
        <v>477</v>
      </c>
      <c r="E29" t="s">
        <v>582</v>
      </c>
      <c r="F29" t="s">
        <v>171</v>
      </c>
      <c r="G29" t="s">
        <v>169</v>
      </c>
      <c r="H29" s="21" t="s">
        <v>94</v>
      </c>
      <c r="I29" s="86">
        <v>1</v>
      </c>
      <c r="J29" s="86">
        <v>0</v>
      </c>
      <c r="K29" t="s">
        <v>1431</v>
      </c>
      <c r="L29" t="s">
        <v>611</v>
      </c>
      <c r="M29" t="s">
        <v>498</v>
      </c>
      <c r="N29" t="str">
        <f>IF(SUM(ckCodingTable[[#This Row],[NfmlPIs]:[NnonWhtAsnPIs]])&gt;0,"WMD","")</f>
        <v/>
      </c>
      <c r="O29" t="b">
        <f>_xlfn.XOR(IFERROR(MATCH(ckCodingTable[[#This Row],[st_code]],EpscorTable[],0)&gt;0,FALSE),IFERROR(FIND("9150",ckCodingTable[[#This Row],[propPRCs]])&gt;0,FALSE))</f>
        <v>0</v>
      </c>
      <c r="P29" s="21" t="b">
        <f>_xlfn.XOR(ckCodingTable[[#This Row],[wmd]]&lt;&gt;"",IFERROR(FIND("9102",ckCodingTable[[#This Row],[propPRCs]])&gt;0,FALSE))</f>
        <v>0</v>
      </c>
      <c r="Q29" t="s">
        <v>1432</v>
      </c>
      <c r="R29" s="22">
        <v>43082.663194444445</v>
      </c>
      <c r="S29" s="108">
        <f>S28+(ckCodingTable[[#This Row],[ILN]]&lt;"M")</f>
        <v>28</v>
      </c>
      <c r="T29" s="21" t="s">
        <v>95</v>
      </c>
      <c r="U29" t="s">
        <v>952</v>
      </c>
      <c r="V29" s="7" t="str">
        <f>HYPERLINK("https://www.ejacket.nsf.gov/ej/showProposal.do?ID="&amp;ckCodingTable[[#This Row],[prop_id]],"eJ")</f>
        <v>eJ</v>
      </c>
      <c r="W29" t="s">
        <v>478</v>
      </c>
      <c r="X29" t="s">
        <v>952</v>
      </c>
      <c r="Y29" t="s">
        <v>953</v>
      </c>
      <c r="Z29" t="s">
        <v>1561</v>
      </c>
      <c r="AA29" t="s">
        <v>1562</v>
      </c>
      <c r="AB29" s="111" t="str">
        <f>HYPERLINK("mailto:"&amp;ckCodingTable[[#This Row],[email]]&amp;"&amp;subject=Your NSF Proposal:  "&amp;ckCodingTable[[#This Row],[Div]]&amp;" "&amp;ckCodingTable[[#This Row],[prop_id]], ckCodingTable[[#This Row],[email]])</f>
        <v>pranjal.iitm@gmail.com</v>
      </c>
      <c r="AC29" s="30">
        <v>43101</v>
      </c>
      <c r="AD29">
        <v>60</v>
      </c>
      <c r="AE29">
        <v>1</v>
      </c>
      <c r="AG29" s="112">
        <v>1</v>
      </c>
      <c r="AH29" t="s">
        <v>1563</v>
      </c>
      <c r="AI29" s="26">
        <v>5.5</v>
      </c>
      <c r="AJ29" s="22">
        <v>43060.010416666664</v>
      </c>
      <c r="AK29" s="21">
        <v>1</v>
      </c>
      <c r="AL29">
        <v>4</v>
      </c>
      <c r="AN29" s="112">
        <v>4</v>
      </c>
      <c r="AO29" s="112"/>
      <c r="AP29" s="112"/>
      <c r="AQ29" s="112"/>
      <c r="AR29" s="7" t="str">
        <f>HYPERLINK("https://www.ejacket.nsf.gov/ej/showProposal.do?ID="&amp;ckCodingTable[[#This Row],[prop_id]],"eJ")</f>
        <v>eJ</v>
      </c>
      <c r="AS29" t="s">
        <v>172</v>
      </c>
      <c r="AT29" t="s">
        <v>1564</v>
      </c>
      <c r="AU29" t="b">
        <f>IF(ckCodingTable[[#This Row],[ILN]]="N",SUBSTITUTE(AT28," ","")&lt;&gt;SUBSTITUTE(ckCodingTable[[#This Row],[prop_titl_txt]]," ",""), FALSE)</f>
        <v>0</v>
      </c>
      <c r="AV29">
        <v>0</v>
      </c>
      <c r="AW29" s="13">
        <v>695874</v>
      </c>
      <c r="AX29" s="13">
        <v>695874</v>
      </c>
      <c r="AY29" s="13"/>
      <c r="AZ29" s="13">
        <v>12875</v>
      </c>
      <c r="BA29" s="13"/>
      <c r="BB29" s="13"/>
      <c r="BC29">
        <v>5</v>
      </c>
      <c r="BD29">
        <v>5</v>
      </c>
      <c r="BE29">
        <v>5</v>
      </c>
      <c r="BH29">
        <v>0</v>
      </c>
      <c r="BI29">
        <v>0</v>
      </c>
      <c r="BJ29">
        <v>0</v>
      </c>
      <c r="BK29">
        <v>0</v>
      </c>
      <c r="BL29" t="s">
        <v>1565</v>
      </c>
    </row>
    <row r="30" spans="1:64" x14ac:dyDescent="0.4">
      <c r="A30" s="30"/>
      <c r="B30" s="30">
        <v>42935.620138888888</v>
      </c>
      <c r="C30" t="s">
        <v>1430</v>
      </c>
      <c r="D30" t="s">
        <v>477</v>
      </c>
      <c r="E30" t="s">
        <v>582</v>
      </c>
      <c r="F30" t="s">
        <v>171</v>
      </c>
      <c r="G30" t="s">
        <v>169</v>
      </c>
      <c r="H30" s="21" t="s">
        <v>94</v>
      </c>
      <c r="I30" s="86">
        <v>1</v>
      </c>
      <c r="J30" s="86">
        <v>0</v>
      </c>
      <c r="K30" t="s">
        <v>1431</v>
      </c>
      <c r="L30" t="s">
        <v>654</v>
      </c>
      <c r="M30" t="s">
        <v>231</v>
      </c>
      <c r="N30" t="str">
        <f>IF(SUM(ckCodingTable[[#This Row],[NfmlPIs]:[NnonWhtAsnPIs]])&gt;0,"WMD","")</f>
        <v/>
      </c>
      <c r="O30" t="b">
        <f>_xlfn.XOR(IFERROR(MATCH(ckCodingTable[[#This Row],[st_code]],EpscorTable[],0)&gt;0,FALSE),IFERROR(FIND("9150",ckCodingTable[[#This Row],[propPRCs]])&gt;0,FALSE))</f>
        <v>0</v>
      </c>
      <c r="P30" s="21" t="b">
        <f>_xlfn.XOR(ckCodingTable[[#This Row],[wmd]]&lt;&gt;"",IFERROR(FIND("9102",ckCodingTable[[#This Row],[propPRCs]])&gt;0,FALSE))</f>
        <v>0</v>
      </c>
      <c r="Q30" t="s">
        <v>1432</v>
      </c>
      <c r="S30" s="108">
        <f>S29+(ckCodingTable[[#This Row],[ILN]]&lt;"M")</f>
        <v>29</v>
      </c>
      <c r="T30" s="21" t="s">
        <v>95</v>
      </c>
      <c r="U30" t="s">
        <v>961</v>
      </c>
      <c r="V30" s="7" t="str">
        <f>HYPERLINK("https://www.ejacket.nsf.gov/ej/showProposal.do?ID="&amp;ckCodingTable[[#This Row],[prop_id]],"eJ")</f>
        <v>eJ</v>
      </c>
      <c r="W30" t="s">
        <v>478</v>
      </c>
      <c r="X30" t="s">
        <v>961</v>
      </c>
      <c r="Y30" t="s">
        <v>489</v>
      </c>
      <c r="Z30" t="s">
        <v>1566</v>
      </c>
      <c r="AA30" t="s">
        <v>502</v>
      </c>
      <c r="AB30" s="111" t="str">
        <f>HYPERLINK("mailto:"&amp;ckCodingTable[[#This Row],[email]]&amp;"&amp;subject=Your NSF Proposal:  "&amp;ckCodingTable[[#This Row],[Div]]&amp;" "&amp;ckCodingTable[[#This Row],[prop_id]], ckCodingTable[[#This Row],[email]])</f>
        <v>hu.nguyen@neu.edu</v>
      </c>
      <c r="AC30" s="30">
        <v>43252</v>
      </c>
      <c r="AD30">
        <v>60</v>
      </c>
      <c r="AE30">
        <v>1</v>
      </c>
      <c r="AG30" s="112">
        <v>1</v>
      </c>
      <c r="AH30" t="s">
        <v>1567</v>
      </c>
      <c r="AI30" s="26">
        <v>7.5</v>
      </c>
      <c r="AJ30" s="22">
        <v>43059.929166666669</v>
      </c>
      <c r="AL30">
        <v>4</v>
      </c>
      <c r="AN30" s="112">
        <v>4</v>
      </c>
      <c r="AO30" s="112"/>
      <c r="AP30" s="112"/>
      <c r="AQ30" s="112"/>
      <c r="AR30" s="7" t="str">
        <f>HYPERLINK("https://www.ejacket.nsf.gov/ej/showProposal.do?ID="&amp;ckCodingTable[[#This Row],[prop_id]],"eJ")</f>
        <v>eJ</v>
      </c>
      <c r="AS30" t="s">
        <v>172</v>
      </c>
      <c r="AT30" t="s">
        <v>1568</v>
      </c>
      <c r="AU30" t="b">
        <f>IF(ckCodingTable[[#This Row],[ILN]]="N",SUBSTITUTE(AT29," ","")&lt;&gt;SUBSTITUTE(ckCodingTable[[#This Row],[prop_titl_txt]]," ",""), FALSE)</f>
        <v>0</v>
      </c>
      <c r="AV30">
        <v>0</v>
      </c>
      <c r="AW30" s="13">
        <v>551453</v>
      </c>
      <c r="AX30" s="13">
        <v>551453</v>
      </c>
      <c r="AY30" s="13"/>
      <c r="AZ30" s="13">
        <v>13273</v>
      </c>
      <c r="BA30" s="13"/>
      <c r="BB30" s="13"/>
      <c r="BC30">
        <v>5</v>
      </c>
      <c r="BD30">
        <v>5</v>
      </c>
      <c r="BE30">
        <v>5</v>
      </c>
      <c r="BH30">
        <v>0</v>
      </c>
      <c r="BI30">
        <v>0</v>
      </c>
      <c r="BJ30">
        <v>0</v>
      </c>
      <c r="BK30">
        <v>0</v>
      </c>
      <c r="BL30" t="s">
        <v>1569</v>
      </c>
    </row>
    <row r="31" spans="1:64" x14ac:dyDescent="0.4">
      <c r="A31" s="30"/>
      <c r="B31" s="30">
        <v>42935.633333333331</v>
      </c>
      <c r="C31" t="s">
        <v>1430</v>
      </c>
      <c r="D31" t="s">
        <v>477</v>
      </c>
      <c r="E31" t="s">
        <v>582</v>
      </c>
      <c r="F31" t="s">
        <v>171</v>
      </c>
      <c r="G31" t="s">
        <v>169</v>
      </c>
      <c r="H31" s="21" t="s">
        <v>94</v>
      </c>
      <c r="I31" s="86">
        <v>1</v>
      </c>
      <c r="J31" s="86">
        <v>0</v>
      </c>
      <c r="K31" t="s">
        <v>1431</v>
      </c>
      <c r="L31" t="s">
        <v>604</v>
      </c>
      <c r="M31" t="s">
        <v>310</v>
      </c>
      <c r="N31" t="str">
        <f>IF(SUM(ckCodingTable[[#This Row],[NfmlPIs]:[NnonWhtAsnPIs]])&gt;0,"WMD","")</f>
        <v/>
      </c>
      <c r="O31" t="b">
        <f>_xlfn.XOR(IFERROR(MATCH(ckCodingTable[[#This Row],[st_code]],EpscorTable[],0)&gt;0,FALSE),IFERROR(FIND("9150",ckCodingTable[[#This Row],[propPRCs]])&gt;0,FALSE))</f>
        <v>0</v>
      </c>
      <c r="P31" s="21" t="b">
        <f>_xlfn.XOR(ckCodingTable[[#This Row],[wmd]]&lt;&gt;"",IFERROR(FIND("9102",ckCodingTable[[#This Row],[propPRCs]])&gt;0,FALSE))</f>
        <v>0</v>
      </c>
      <c r="Q31" t="s">
        <v>1439</v>
      </c>
      <c r="S31" s="108">
        <f>S30+(ckCodingTable[[#This Row],[ILN]]&lt;"M")</f>
        <v>30</v>
      </c>
      <c r="T31" s="21" t="s">
        <v>95</v>
      </c>
      <c r="U31" t="s">
        <v>971</v>
      </c>
      <c r="V31" s="7" t="str">
        <f>HYPERLINK("https://www.ejacket.nsf.gov/ej/showProposal.do?ID="&amp;ckCodingTable[[#This Row],[prop_id]],"eJ")</f>
        <v>eJ</v>
      </c>
      <c r="W31" t="s">
        <v>478</v>
      </c>
      <c r="X31" t="s">
        <v>971</v>
      </c>
      <c r="Y31" t="s">
        <v>972</v>
      </c>
      <c r="Z31" t="s">
        <v>1445</v>
      </c>
      <c r="AA31" t="s">
        <v>1570</v>
      </c>
      <c r="AB31" s="111" t="str">
        <f>HYPERLINK("mailto:"&amp;ckCodingTable[[#This Row],[email]]&amp;"&amp;subject=Your NSF Proposal:  "&amp;ckCodingTable[[#This Row],[Div]]&amp;" "&amp;ckCodingTable[[#This Row],[prop_id]], ckCodingTable[[#This Row],[email]])</f>
        <v>Benjamin.Raichel@utdallas.edu</v>
      </c>
      <c r="AC31" s="30">
        <v>43344</v>
      </c>
      <c r="AD31">
        <v>60</v>
      </c>
      <c r="AE31">
        <v>1</v>
      </c>
      <c r="AG31" s="112">
        <v>1</v>
      </c>
      <c r="AH31" t="s">
        <v>1466</v>
      </c>
      <c r="AI31" s="26">
        <v>7.5</v>
      </c>
      <c r="AJ31" s="22">
        <v>43030.181250000001</v>
      </c>
      <c r="AK31" s="21">
        <v>1</v>
      </c>
      <c r="AL31">
        <v>4</v>
      </c>
      <c r="AN31" s="112">
        <v>4</v>
      </c>
      <c r="AO31" s="112"/>
      <c r="AP31" s="112"/>
      <c r="AQ31" s="112"/>
      <c r="AR31" s="7" t="str">
        <f>HYPERLINK("https://www.ejacket.nsf.gov/ej/showProposal.do?ID="&amp;ckCodingTable[[#This Row],[prop_id]],"eJ")</f>
        <v>eJ</v>
      </c>
      <c r="AS31" t="s">
        <v>172</v>
      </c>
      <c r="AT31" t="s">
        <v>1571</v>
      </c>
      <c r="AU31" t="b">
        <f>IF(ckCodingTable[[#This Row],[ILN]]="N",SUBSTITUTE(AT30," ","")&lt;&gt;SUBSTITUTE(ckCodingTable[[#This Row],[prop_titl_txt]]," ",""), FALSE)</f>
        <v>0</v>
      </c>
      <c r="AV31">
        <v>0</v>
      </c>
      <c r="AW31" s="13">
        <v>582785</v>
      </c>
      <c r="AX31" s="13">
        <v>582785</v>
      </c>
      <c r="AY31" s="13"/>
      <c r="AZ31" s="13">
        <v>7500</v>
      </c>
      <c r="BA31" s="13"/>
      <c r="BB31" s="13"/>
      <c r="BC31">
        <v>10</v>
      </c>
      <c r="BD31">
        <v>5</v>
      </c>
      <c r="BE31">
        <v>5</v>
      </c>
      <c r="BH31">
        <v>0</v>
      </c>
      <c r="BI31">
        <v>0</v>
      </c>
      <c r="BJ31">
        <v>0</v>
      </c>
      <c r="BK31">
        <v>0</v>
      </c>
      <c r="BL31" t="s">
        <v>1572</v>
      </c>
    </row>
    <row r="32" spans="1:64" x14ac:dyDescent="0.4">
      <c r="A32" s="30"/>
      <c r="B32" s="30">
        <v>42935.638888888891</v>
      </c>
      <c r="C32" t="s">
        <v>1430</v>
      </c>
      <c r="D32" t="s">
        <v>477</v>
      </c>
      <c r="E32" t="s">
        <v>582</v>
      </c>
      <c r="F32" t="s">
        <v>171</v>
      </c>
      <c r="G32" t="s">
        <v>169</v>
      </c>
      <c r="H32" s="21" t="s">
        <v>94</v>
      </c>
      <c r="I32" s="86">
        <v>1</v>
      </c>
      <c r="J32" s="86">
        <v>0</v>
      </c>
      <c r="K32" t="s">
        <v>1431</v>
      </c>
      <c r="L32" t="s">
        <v>654</v>
      </c>
      <c r="M32" t="s">
        <v>496</v>
      </c>
      <c r="N32" t="str">
        <f>IF(SUM(ckCodingTable[[#This Row],[NfmlPIs]:[NnonWhtAsnPIs]])&gt;0,"WMD","")</f>
        <v/>
      </c>
      <c r="O32" t="b">
        <f>_xlfn.XOR(IFERROR(MATCH(ckCodingTable[[#This Row],[st_code]],EpscorTable[],0)&gt;0,FALSE),IFERROR(FIND("9150",ckCodingTable[[#This Row],[propPRCs]])&gt;0,FALSE))</f>
        <v>0</v>
      </c>
      <c r="P32" s="21" t="b">
        <f>_xlfn.XOR(ckCodingTable[[#This Row],[wmd]]&lt;&gt;"",IFERROR(FIND("9102",ckCodingTable[[#This Row],[propPRCs]])&gt;0,FALSE))</f>
        <v>0</v>
      </c>
      <c r="Q32" t="s">
        <v>1444</v>
      </c>
      <c r="S32" s="108">
        <f>S31+(ckCodingTable[[#This Row],[ILN]]&lt;"M")</f>
        <v>31</v>
      </c>
      <c r="T32" s="21" t="s">
        <v>95</v>
      </c>
      <c r="U32" t="s">
        <v>979</v>
      </c>
      <c r="V32" s="7" t="str">
        <f>HYPERLINK("https://www.ejacket.nsf.gov/ej/showProposal.do?ID="&amp;ckCodingTable[[#This Row],[prop_id]],"eJ")</f>
        <v>eJ</v>
      </c>
      <c r="W32" t="s">
        <v>478</v>
      </c>
      <c r="X32" t="s">
        <v>979</v>
      </c>
      <c r="Y32" t="s">
        <v>980</v>
      </c>
      <c r="Z32" t="s">
        <v>1573</v>
      </c>
      <c r="AA32" t="s">
        <v>497</v>
      </c>
      <c r="AB32" s="111" t="str">
        <f>HYPERLINK("mailto:"&amp;ckCodingTable[[#This Row],[email]]&amp;"&amp;subject=Your NSF Proposal:  "&amp;ckCodingTable[[#This Row],[Div]]&amp;" "&amp;ckCodingTable[[#This Row],[prop_id]], ckCodingTable[[#This Row],[email]])</f>
        <v>haeupler@cs.cmu.edu</v>
      </c>
      <c r="AC32" s="30">
        <v>43101</v>
      </c>
      <c r="AD32">
        <v>60</v>
      </c>
      <c r="AE32">
        <v>2</v>
      </c>
      <c r="AG32" s="112">
        <v>1</v>
      </c>
      <c r="AH32" t="s">
        <v>1574</v>
      </c>
      <c r="AI32" s="26">
        <v>7.75</v>
      </c>
      <c r="AJ32" s="22">
        <v>43059.921527777777</v>
      </c>
      <c r="AK32" s="21">
        <v>1</v>
      </c>
      <c r="AL32">
        <v>8</v>
      </c>
      <c r="AN32" s="112">
        <v>4</v>
      </c>
      <c r="AO32" s="112"/>
      <c r="AP32" s="112"/>
      <c r="AQ32" s="112"/>
      <c r="AR32" s="7" t="str">
        <f>HYPERLINK("https://www.ejacket.nsf.gov/ej/showProposal.do?ID="&amp;ckCodingTable[[#This Row],[prop_id]],"eJ")</f>
        <v>eJ</v>
      </c>
      <c r="AS32" t="s">
        <v>172</v>
      </c>
      <c r="AT32" t="s">
        <v>1575</v>
      </c>
      <c r="AU32" t="b">
        <f>IF(ckCodingTable[[#This Row],[ILN]]="N",SUBSTITUTE(AT31," ","")&lt;&gt;SUBSTITUTE(ckCodingTable[[#This Row],[prop_titl_txt]]," ",""), FALSE)</f>
        <v>0</v>
      </c>
      <c r="AV32">
        <v>0</v>
      </c>
      <c r="AW32" s="13">
        <v>613868</v>
      </c>
      <c r="AX32" s="13">
        <v>613868</v>
      </c>
      <c r="AY32" s="13"/>
      <c r="AZ32" s="13"/>
      <c r="BA32" s="13"/>
      <c r="BB32" s="13"/>
      <c r="BC32">
        <v>5</v>
      </c>
      <c r="BD32">
        <v>5</v>
      </c>
      <c r="BE32">
        <v>1.25</v>
      </c>
      <c r="BH32">
        <v>0</v>
      </c>
      <c r="BI32">
        <v>0</v>
      </c>
      <c r="BJ32">
        <v>0</v>
      </c>
      <c r="BK32">
        <v>0</v>
      </c>
      <c r="BL32" t="s">
        <v>1576</v>
      </c>
    </row>
    <row r="33" spans="1:64" x14ac:dyDescent="0.4">
      <c r="A33" s="30"/>
      <c r="B33" s="30">
        <v>42935.654166666667</v>
      </c>
      <c r="C33" t="s">
        <v>1430</v>
      </c>
      <c r="D33" t="s">
        <v>477</v>
      </c>
      <c r="E33" t="s">
        <v>582</v>
      </c>
      <c r="F33" t="s">
        <v>171</v>
      </c>
      <c r="G33" t="s">
        <v>169</v>
      </c>
      <c r="H33" s="21" t="s">
        <v>94</v>
      </c>
      <c r="I33" s="86">
        <v>1</v>
      </c>
      <c r="J33" s="86">
        <v>0</v>
      </c>
      <c r="K33" t="s">
        <v>1431</v>
      </c>
      <c r="L33" t="s">
        <v>611</v>
      </c>
      <c r="M33" t="s">
        <v>557</v>
      </c>
      <c r="N33" t="str">
        <f>IF(SUM(ckCodingTable[[#This Row],[NfmlPIs]:[NnonWhtAsnPIs]])&gt;0,"WMD","")</f>
        <v/>
      </c>
      <c r="O33" t="b">
        <f>_xlfn.XOR(IFERROR(MATCH(ckCodingTable[[#This Row],[st_code]],EpscorTable[],0)&gt;0,FALSE),IFERROR(FIND("9150",ckCodingTable[[#This Row],[propPRCs]])&gt;0,FALSE))</f>
        <v>0</v>
      </c>
      <c r="P33" s="21" t="b">
        <f>_xlfn.XOR(ckCodingTable[[#This Row],[wmd]]&lt;&gt;"",IFERROR(FIND("9102",ckCodingTable[[#This Row],[propPRCs]])&gt;0,FALSE))</f>
        <v>0</v>
      </c>
      <c r="Q33" t="s">
        <v>1469</v>
      </c>
      <c r="R33" s="22">
        <v>43082.669247685182</v>
      </c>
      <c r="S33" s="108">
        <f>S32+(ckCodingTable[[#This Row],[ILN]]&lt;"M")</f>
        <v>32</v>
      </c>
      <c r="T33" s="21" t="s">
        <v>95</v>
      </c>
      <c r="U33" t="s">
        <v>992</v>
      </c>
      <c r="V33" s="7" t="str">
        <f>HYPERLINK("https://www.ejacket.nsf.gov/ej/showProposal.do?ID="&amp;ckCodingTable[[#This Row],[prop_id]],"eJ")</f>
        <v>eJ</v>
      </c>
      <c r="W33" t="s">
        <v>478</v>
      </c>
      <c r="X33" t="s">
        <v>992</v>
      </c>
      <c r="Y33" t="s">
        <v>993</v>
      </c>
      <c r="Z33" t="s">
        <v>1577</v>
      </c>
      <c r="AA33" t="s">
        <v>1578</v>
      </c>
      <c r="AB33" s="111" t="str">
        <f>HYPERLINK("mailto:"&amp;ckCodingTable[[#This Row],[email]]&amp;"&amp;subject=Your NSF Proposal:  "&amp;ckCodingTable[[#This Row],[Div]]&amp;" "&amp;ckCodingTable[[#This Row],[prop_id]], ckCodingTable[[#This Row],[email]])</f>
        <v>nxie@cs.fiu.edu</v>
      </c>
      <c r="AC33" s="30">
        <v>43221</v>
      </c>
      <c r="AD33">
        <v>60</v>
      </c>
      <c r="AE33">
        <v>1</v>
      </c>
      <c r="AG33" s="112">
        <v>1</v>
      </c>
      <c r="AH33" t="s">
        <v>1579</v>
      </c>
      <c r="AI33" s="26">
        <v>3.5</v>
      </c>
      <c r="AJ33" s="22">
        <v>43059.477083333331</v>
      </c>
      <c r="AK33" s="21">
        <v>1</v>
      </c>
      <c r="AL33">
        <v>4</v>
      </c>
      <c r="AN33" s="112">
        <v>4</v>
      </c>
      <c r="AO33" s="112"/>
      <c r="AP33" s="112"/>
      <c r="AQ33" s="112"/>
      <c r="AR33" s="7" t="str">
        <f>HYPERLINK("https://www.ejacket.nsf.gov/ej/showProposal.do?ID="&amp;ckCodingTable[[#This Row],[prop_id]],"eJ")</f>
        <v>eJ</v>
      </c>
      <c r="AS33" t="s">
        <v>172</v>
      </c>
      <c r="AT33" t="s">
        <v>1580</v>
      </c>
      <c r="AU33" t="b">
        <f>IF(ckCodingTable[[#This Row],[ILN]]="N",SUBSTITUTE(AT32," ","")&lt;&gt;SUBSTITUTE(ckCodingTable[[#This Row],[prop_titl_txt]]," ",""), FALSE)</f>
        <v>0</v>
      </c>
      <c r="AV33">
        <v>0</v>
      </c>
      <c r="AW33" s="13">
        <v>520820</v>
      </c>
      <c r="AX33" s="13">
        <v>520820</v>
      </c>
      <c r="AY33" s="13"/>
      <c r="AZ33" s="13">
        <v>15000</v>
      </c>
      <c r="BA33" s="13"/>
      <c r="BB33" s="13"/>
      <c r="BC33">
        <v>5</v>
      </c>
      <c r="BD33">
        <v>5</v>
      </c>
      <c r="BE33">
        <v>7.5</v>
      </c>
      <c r="BH33">
        <v>0</v>
      </c>
      <c r="BI33">
        <v>0</v>
      </c>
      <c r="BJ33">
        <v>0</v>
      </c>
      <c r="BK33">
        <v>0</v>
      </c>
      <c r="BL33" t="s">
        <v>1581</v>
      </c>
    </row>
    <row r="34" spans="1:64" x14ac:dyDescent="0.4">
      <c r="A34" s="30"/>
      <c r="B34" s="30">
        <v>42935.679166666669</v>
      </c>
      <c r="C34" t="s">
        <v>1430</v>
      </c>
      <c r="D34" t="s">
        <v>477</v>
      </c>
      <c r="E34" t="s">
        <v>582</v>
      </c>
      <c r="F34" t="s">
        <v>171</v>
      </c>
      <c r="G34" t="s">
        <v>169</v>
      </c>
      <c r="H34" s="21" t="s">
        <v>94</v>
      </c>
      <c r="I34" s="86">
        <v>1</v>
      </c>
      <c r="J34" s="86">
        <v>0</v>
      </c>
      <c r="K34" t="s">
        <v>1431</v>
      </c>
      <c r="L34" t="s">
        <v>611</v>
      </c>
      <c r="M34" t="s">
        <v>310</v>
      </c>
      <c r="N34" t="str">
        <f>IF(SUM(ckCodingTable[[#This Row],[NfmlPIs]:[NnonWhtAsnPIs]])&gt;0,"WMD","")</f>
        <v/>
      </c>
      <c r="O34" t="b">
        <f>_xlfn.XOR(IFERROR(MATCH(ckCodingTable[[#This Row],[st_code]],EpscorTable[],0)&gt;0,FALSE),IFERROR(FIND("9150",ckCodingTable[[#This Row],[propPRCs]])&gt;0,FALSE))</f>
        <v>0</v>
      </c>
      <c r="P34" s="21" t="b">
        <f>_xlfn.XOR(ckCodingTable[[#This Row],[wmd]]&lt;&gt;"",IFERROR(FIND("9102",ckCodingTable[[#This Row],[propPRCs]])&gt;0,FALSE))</f>
        <v>0</v>
      </c>
      <c r="Q34" t="s">
        <v>1432</v>
      </c>
      <c r="S34" s="108">
        <f>S33+(ckCodingTable[[#This Row],[ILN]]&lt;"M")</f>
        <v>33</v>
      </c>
      <c r="T34" s="21" t="s">
        <v>95</v>
      </c>
      <c r="U34" t="s">
        <v>1004</v>
      </c>
      <c r="V34" s="7" t="str">
        <f>HYPERLINK("https://www.ejacket.nsf.gov/ej/showProposal.do?ID="&amp;ckCodingTable[[#This Row],[prop_id]],"eJ")</f>
        <v>eJ</v>
      </c>
      <c r="W34" t="s">
        <v>478</v>
      </c>
      <c r="X34" t="s">
        <v>1004</v>
      </c>
      <c r="Y34" t="s">
        <v>1005</v>
      </c>
      <c r="Z34" t="s">
        <v>1582</v>
      </c>
      <c r="AA34" t="s">
        <v>550</v>
      </c>
      <c r="AB34" s="111" t="str">
        <f>HYPERLINK("mailto:"&amp;ckCodingTable[[#This Row],[email]]&amp;"&amp;subject=Your NSF Proposal:  "&amp;ckCodingTable[[#This Row],[Div]]&amp;" "&amp;ckCodingTable[[#This Row],[prop_id]], ckCodingTable[[#This Row],[email]])</f>
        <v>ecprice@cs.utexas.edu</v>
      </c>
      <c r="AC34" s="30">
        <v>43344</v>
      </c>
      <c r="AD34">
        <v>60</v>
      </c>
      <c r="AE34">
        <v>1</v>
      </c>
      <c r="AG34" s="112">
        <v>1</v>
      </c>
      <c r="AH34" t="s">
        <v>1466</v>
      </c>
      <c r="AI34" s="26">
        <v>7.5</v>
      </c>
      <c r="AJ34" s="22">
        <v>43060.310416666667</v>
      </c>
      <c r="AK34" s="21">
        <v>2</v>
      </c>
      <c r="AL34">
        <v>4</v>
      </c>
      <c r="AN34" s="112">
        <v>4</v>
      </c>
      <c r="AO34" s="112"/>
      <c r="AP34" s="112"/>
      <c r="AQ34" s="112"/>
      <c r="AR34" s="7" t="str">
        <f>HYPERLINK("https://www.ejacket.nsf.gov/ej/showProposal.do?ID="&amp;ckCodingTable[[#This Row],[prop_id]],"eJ")</f>
        <v>eJ</v>
      </c>
      <c r="AS34" t="s">
        <v>172</v>
      </c>
      <c r="AT34" t="s">
        <v>1583</v>
      </c>
      <c r="AU34" t="b">
        <f>IF(ckCodingTable[[#This Row],[ILN]]="N",SUBSTITUTE(AT33," ","")&lt;&gt;SUBSTITUTE(ckCodingTable[[#This Row],[prop_titl_txt]]," ",""), FALSE)</f>
        <v>0</v>
      </c>
      <c r="AV34">
        <v>0</v>
      </c>
      <c r="AW34" s="13">
        <v>499575</v>
      </c>
      <c r="AX34" s="13">
        <v>499575</v>
      </c>
      <c r="AY34" s="13"/>
      <c r="AZ34" s="13"/>
      <c r="BA34" s="13"/>
      <c r="BB34" s="13"/>
      <c r="BC34">
        <v>5</v>
      </c>
      <c r="BD34">
        <v>5</v>
      </c>
      <c r="BE34">
        <v>5</v>
      </c>
      <c r="BH34">
        <v>0</v>
      </c>
      <c r="BI34">
        <v>0</v>
      </c>
      <c r="BJ34">
        <v>0</v>
      </c>
      <c r="BK34">
        <v>0</v>
      </c>
      <c r="BL34" t="s">
        <v>1584</v>
      </c>
    </row>
    <row r="35" spans="1:64" x14ac:dyDescent="0.4">
      <c r="A35" s="30"/>
      <c r="B35" s="30">
        <v>42935.680555555555</v>
      </c>
      <c r="C35" t="s">
        <v>1430</v>
      </c>
      <c r="D35" t="s">
        <v>477</v>
      </c>
      <c r="E35" t="s">
        <v>582</v>
      </c>
      <c r="F35" t="s">
        <v>171</v>
      </c>
      <c r="G35" t="s">
        <v>169</v>
      </c>
      <c r="H35" s="21" t="s">
        <v>94</v>
      </c>
      <c r="I35" s="86">
        <v>1</v>
      </c>
      <c r="J35" s="86">
        <v>0</v>
      </c>
      <c r="K35" t="s">
        <v>1431</v>
      </c>
      <c r="L35" t="s">
        <v>604</v>
      </c>
      <c r="M35" t="s">
        <v>310</v>
      </c>
      <c r="N35" t="str">
        <f>IF(SUM(ckCodingTable[[#This Row],[NfmlPIs]:[NnonWhtAsnPIs]])&gt;0,"WMD","")</f>
        <v/>
      </c>
      <c r="O35" t="b">
        <f>_xlfn.XOR(IFERROR(MATCH(ckCodingTable[[#This Row],[st_code]],EpscorTable[],0)&gt;0,FALSE),IFERROR(FIND("9150",ckCodingTable[[#This Row],[propPRCs]])&gt;0,FALSE))</f>
        <v>0</v>
      </c>
      <c r="P35" s="21" t="b">
        <f>_xlfn.XOR(ckCodingTable[[#This Row],[wmd]]&lt;&gt;"",IFERROR(FIND("9102",ckCodingTable[[#This Row],[propPRCs]])&gt;0,FALSE))</f>
        <v>0</v>
      </c>
      <c r="Q35" t="s">
        <v>1439</v>
      </c>
      <c r="R35" s="22">
        <v>43082.668969907405</v>
      </c>
      <c r="S35" s="108">
        <f>S34+(ckCodingTable[[#This Row],[ILN]]&lt;"M")</f>
        <v>34</v>
      </c>
      <c r="T35" s="21" t="s">
        <v>95</v>
      </c>
      <c r="U35" t="s">
        <v>1012</v>
      </c>
      <c r="V35" s="7" t="str">
        <f>HYPERLINK("https://www.ejacket.nsf.gov/ej/showProposal.do?ID="&amp;ckCodingTable[[#This Row],[prop_id]],"eJ")</f>
        <v>eJ</v>
      </c>
      <c r="W35" t="s">
        <v>478</v>
      </c>
      <c r="X35" t="s">
        <v>1012</v>
      </c>
      <c r="Y35" t="s">
        <v>1013</v>
      </c>
      <c r="Z35" t="s">
        <v>1585</v>
      </c>
      <c r="AA35" t="s">
        <v>1586</v>
      </c>
      <c r="AB35" s="111" t="str">
        <f>HYPERLINK("mailto:"&amp;ckCodingTable[[#This Row],[email]]&amp;"&amp;subject=Your NSF Proposal:  "&amp;ckCodingTable[[#This Row],[Div]]&amp;" "&amp;ckCodingTable[[#This Row],[prop_id]], ckCodingTable[[#This Row],[email]])</f>
        <v>MATTHEW.GIBSON@UTSA.EDU</v>
      </c>
      <c r="AC35" s="30">
        <v>43132</v>
      </c>
      <c r="AD35">
        <v>60</v>
      </c>
      <c r="AE35">
        <v>1</v>
      </c>
      <c r="AG35" s="112">
        <v>1</v>
      </c>
      <c r="AH35" t="s">
        <v>1587</v>
      </c>
      <c r="AI35" s="26">
        <v>4.75</v>
      </c>
      <c r="AJ35" s="22">
        <v>43030.177777777775</v>
      </c>
      <c r="AL35">
        <v>4</v>
      </c>
      <c r="AN35" s="112">
        <v>4</v>
      </c>
      <c r="AO35" s="112"/>
      <c r="AP35" s="112"/>
      <c r="AQ35" s="112"/>
      <c r="AR35" s="7" t="str">
        <f>HYPERLINK("https://www.ejacket.nsf.gov/ej/showProposal.do?ID="&amp;ckCodingTable[[#This Row],[prop_id]],"eJ")</f>
        <v>eJ</v>
      </c>
      <c r="AS35" t="s">
        <v>172</v>
      </c>
      <c r="AT35" t="s">
        <v>1588</v>
      </c>
      <c r="AU35" t="b">
        <f>IF(ckCodingTable[[#This Row],[ILN]]="N",SUBSTITUTE(AT34," ","")&lt;&gt;SUBSTITUTE(ckCodingTable[[#This Row],[prop_titl_txt]]," ",""), FALSE)</f>
        <v>0</v>
      </c>
      <c r="AV35">
        <v>0</v>
      </c>
      <c r="AW35" s="13">
        <v>415497</v>
      </c>
      <c r="AX35" s="13">
        <v>415497</v>
      </c>
      <c r="AY35" s="13"/>
      <c r="AZ35" s="13">
        <v>12250</v>
      </c>
      <c r="BA35" s="13"/>
      <c r="BB35" s="13">
        <v>16000</v>
      </c>
      <c r="BC35">
        <v>5</v>
      </c>
      <c r="BD35">
        <v>5</v>
      </c>
      <c r="BE35">
        <v>5</v>
      </c>
      <c r="BH35">
        <v>0</v>
      </c>
      <c r="BI35">
        <v>0</v>
      </c>
      <c r="BJ35">
        <v>0</v>
      </c>
      <c r="BK35">
        <v>0</v>
      </c>
      <c r="BL35" t="s">
        <v>1589</v>
      </c>
    </row>
    <row r="36" spans="1:64" x14ac:dyDescent="0.4">
      <c r="A36" s="30"/>
      <c r="B36" s="30">
        <v>42935.680555555555</v>
      </c>
      <c r="C36" t="s">
        <v>1430</v>
      </c>
      <c r="D36" t="s">
        <v>477</v>
      </c>
      <c r="E36" t="s">
        <v>582</v>
      </c>
      <c r="F36" t="s">
        <v>171</v>
      </c>
      <c r="G36" t="s">
        <v>169</v>
      </c>
      <c r="H36" s="21" t="s">
        <v>94</v>
      </c>
      <c r="I36" s="86">
        <v>1</v>
      </c>
      <c r="J36" s="86">
        <v>0</v>
      </c>
      <c r="K36" t="s">
        <v>1431</v>
      </c>
      <c r="L36" t="s">
        <v>611</v>
      </c>
      <c r="M36" t="s">
        <v>498</v>
      </c>
      <c r="N36" t="str">
        <f>IF(SUM(ckCodingTable[[#This Row],[NfmlPIs]:[NnonWhtAsnPIs]])&gt;0,"WMD","")</f>
        <v/>
      </c>
      <c r="O36" t="b">
        <f>_xlfn.XOR(IFERROR(MATCH(ckCodingTable[[#This Row],[st_code]],EpscorTable[],0)&gt;0,FALSE),IFERROR(FIND("9150",ckCodingTable[[#This Row],[propPRCs]])&gt;0,FALSE))</f>
        <v>0</v>
      </c>
      <c r="P36" s="21" t="b">
        <f>_xlfn.XOR(ckCodingTable[[#This Row],[wmd]]&lt;&gt;"",IFERROR(FIND("9102",ckCodingTable[[#This Row],[propPRCs]])&gt;0,FALSE))</f>
        <v>0</v>
      </c>
      <c r="Q36" t="s">
        <v>1432</v>
      </c>
      <c r="R36" s="22">
        <v>43082.663263888891</v>
      </c>
      <c r="S36" s="108">
        <f>S35+(ckCodingTable[[#This Row],[ILN]]&lt;"M")</f>
        <v>35</v>
      </c>
      <c r="T36" s="21" t="s">
        <v>95</v>
      </c>
      <c r="U36" t="s">
        <v>1021</v>
      </c>
      <c r="V36" s="7" t="str">
        <f>HYPERLINK("https://www.ejacket.nsf.gov/ej/showProposal.do?ID="&amp;ckCodingTable[[#This Row],[prop_id]],"eJ")</f>
        <v>eJ</v>
      </c>
      <c r="W36" t="s">
        <v>478</v>
      </c>
      <c r="X36" t="s">
        <v>1021</v>
      </c>
      <c r="Y36" t="s">
        <v>1022</v>
      </c>
      <c r="Z36" t="s">
        <v>1590</v>
      </c>
      <c r="AA36" t="s">
        <v>1591</v>
      </c>
      <c r="AB36" s="111" t="str">
        <f>HYPERLINK("mailto:"&amp;ckCodingTable[[#This Row],[email]]&amp;"&amp;subject=Your NSF Proposal:  "&amp;ckCodingTable[[#This Row],[Div]]&amp;" "&amp;ckCodingTable[[#This Row],[prop_id]], ckCodingTable[[#This Row],[email]])</f>
        <v>periklis.research@gmail.com</v>
      </c>
      <c r="AC36" s="30">
        <v>43252</v>
      </c>
      <c r="AD36">
        <v>60</v>
      </c>
      <c r="AE36">
        <v>1</v>
      </c>
      <c r="AG36" s="112">
        <v>1</v>
      </c>
      <c r="AH36" t="s">
        <v>560</v>
      </c>
      <c r="AI36" s="26">
        <v>4.5</v>
      </c>
      <c r="AJ36" s="22">
        <v>43059.227777777778</v>
      </c>
      <c r="AL36">
        <v>4</v>
      </c>
      <c r="AN36" s="112">
        <v>4</v>
      </c>
      <c r="AO36" s="112"/>
      <c r="AP36" s="112"/>
      <c r="AQ36" s="112"/>
      <c r="AR36" s="7" t="str">
        <f>HYPERLINK("https://www.ejacket.nsf.gov/ej/showProposal.do?ID="&amp;ckCodingTable[[#This Row],[prop_id]],"eJ")</f>
        <v>eJ</v>
      </c>
      <c r="AS36" t="s">
        <v>172</v>
      </c>
      <c r="AT36" t="s">
        <v>1592</v>
      </c>
      <c r="AU36" t="b">
        <f>IF(ckCodingTable[[#This Row],[ILN]]="N",SUBSTITUTE(AT35," ","")&lt;&gt;SUBSTITUTE(ckCodingTable[[#This Row],[prop_titl_txt]]," ",""), FALSE)</f>
        <v>0</v>
      </c>
      <c r="AV36">
        <v>0</v>
      </c>
      <c r="AW36" s="13">
        <v>667571</v>
      </c>
      <c r="AX36" s="13">
        <v>667571</v>
      </c>
      <c r="AY36" s="13"/>
      <c r="AZ36" s="13">
        <v>25000</v>
      </c>
      <c r="BA36" s="13"/>
      <c r="BB36" s="13"/>
      <c r="BC36">
        <v>5</v>
      </c>
      <c r="BD36">
        <v>5</v>
      </c>
      <c r="BE36">
        <v>5</v>
      </c>
      <c r="BH36">
        <v>0</v>
      </c>
      <c r="BI36">
        <v>0</v>
      </c>
      <c r="BJ36">
        <v>0</v>
      </c>
      <c r="BK36">
        <v>0</v>
      </c>
      <c r="BL36" t="s">
        <v>1301</v>
      </c>
    </row>
    <row r="37" spans="1:64" x14ac:dyDescent="0.4">
      <c r="A37" s="30"/>
      <c r="B37" s="30">
        <v>42935.68472222222</v>
      </c>
      <c r="C37" t="s">
        <v>1430</v>
      </c>
      <c r="D37" t="s">
        <v>477</v>
      </c>
      <c r="E37" t="s">
        <v>582</v>
      </c>
      <c r="F37" t="s">
        <v>171</v>
      </c>
      <c r="G37" t="s">
        <v>169</v>
      </c>
      <c r="H37" s="21" t="s">
        <v>94</v>
      </c>
      <c r="I37" s="86">
        <v>1</v>
      </c>
      <c r="J37" s="86">
        <v>0</v>
      </c>
      <c r="K37" t="s">
        <v>1431</v>
      </c>
      <c r="L37" t="s">
        <v>611</v>
      </c>
      <c r="M37" t="s">
        <v>496</v>
      </c>
      <c r="N37" t="str">
        <f>IF(SUM(ckCodingTable[[#This Row],[NfmlPIs]:[NnonWhtAsnPIs]])&gt;0,"WMD","")</f>
        <v/>
      </c>
      <c r="O37" t="b">
        <f>_xlfn.XOR(IFERROR(MATCH(ckCodingTable[[#This Row],[st_code]],EpscorTable[],0)&gt;0,FALSE),IFERROR(FIND("9150",ckCodingTable[[#This Row],[propPRCs]])&gt;0,FALSE))</f>
        <v>0</v>
      </c>
      <c r="P37" s="21" t="b">
        <f>_xlfn.XOR(ckCodingTable[[#This Row],[wmd]]&lt;&gt;"",IFERROR(FIND("9102",ckCodingTable[[#This Row],[propPRCs]])&gt;0,FALSE))</f>
        <v>0</v>
      </c>
      <c r="Q37" t="s">
        <v>1539</v>
      </c>
      <c r="R37" s="22">
        <v>43082.66333333333</v>
      </c>
      <c r="S37" s="108">
        <f>S36+(ckCodingTable[[#This Row],[ILN]]&lt;"M")</f>
        <v>36</v>
      </c>
      <c r="T37" s="21" t="s">
        <v>95</v>
      </c>
      <c r="U37" t="s">
        <v>1030</v>
      </c>
      <c r="V37" s="7" t="str">
        <f>HYPERLINK("https://www.ejacket.nsf.gov/ej/showProposal.do?ID="&amp;ckCodingTable[[#This Row],[prop_id]],"eJ")</f>
        <v>eJ</v>
      </c>
      <c r="W37" t="s">
        <v>478</v>
      </c>
      <c r="X37" t="s">
        <v>1030</v>
      </c>
      <c r="Y37" t="s">
        <v>1031</v>
      </c>
      <c r="Z37" t="s">
        <v>1593</v>
      </c>
      <c r="AA37" t="s">
        <v>1594</v>
      </c>
      <c r="AB37" s="111" t="str">
        <f>HYPERLINK("mailto:"&amp;ckCodingTable[[#This Row],[email]]&amp;"&amp;subject=Your NSF Proposal:  "&amp;ckCodingTable[[#This Row],[Div]]&amp;" "&amp;ckCodingTable[[#This Row],[prop_id]], ckCodingTable[[#This Row],[email]])</f>
        <v>gkatz@drexel.edu</v>
      </c>
      <c r="AC37" s="30">
        <v>43132</v>
      </c>
      <c r="AD37">
        <v>60</v>
      </c>
      <c r="AE37">
        <v>1</v>
      </c>
      <c r="AG37" s="112">
        <v>1</v>
      </c>
      <c r="AH37" t="s">
        <v>1461</v>
      </c>
      <c r="AI37" s="26">
        <v>6.5</v>
      </c>
      <c r="AJ37" s="22">
        <v>43059.229166666664</v>
      </c>
      <c r="AL37">
        <v>4</v>
      </c>
      <c r="AN37" s="112">
        <v>4</v>
      </c>
      <c r="AO37" s="112"/>
      <c r="AP37" s="112"/>
      <c r="AQ37" s="112"/>
      <c r="AR37" s="7" t="str">
        <f>HYPERLINK("https://www.ejacket.nsf.gov/ej/showProposal.do?ID="&amp;ckCodingTable[[#This Row],[prop_id]],"eJ")</f>
        <v>eJ</v>
      </c>
      <c r="AS37" t="s">
        <v>172</v>
      </c>
      <c r="AT37" t="s">
        <v>1595</v>
      </c>
      <c r="AU37" t="b">
        <f>IF(ckCodingTable[[#This Row],[ILN]]="N",SUBSTITUTE(AT36," ","")&lt;&gt;SUBSTITUTE(ckCodingTable[[#This Row],[prop_titl_txt]]," ",""), FALSE)</f>
        <v>0</v>
      </c>
      <c r="AV37">
        <v>0</v>
      </c>
      <c r="AW37" s="13">
        <v>559983</v>
      </c>
      <c r="AX37" s="13">
        <v>559983</v>
      </c>
      <c r="AY37" s="13"/>
      <c r="AZ37" s="13">
        <v>10000</v>
      </c>
      <c r="BA37" s="13"/>
      <c r="BB37" s="13"/>
      <c r="BC37">
        <v>5</v>
      </c>
      <c r="BD37">
        <v>5</v>
      </c>
      <c r="BE37">
        <v>5</v>
      </c>
      <c r="BH37">
        <v>0</v>
      </c>
      <c r="BI37">
        <v>0</v>
      </c>
      <c r="BJ37">
        <v>0</v>
      </c>
      <c r="BK37">
        <v>0</v>
      </c>
      <c r="BL37" t="s">
        <v>1288</v>
      </c>
    </row>
    <row r="38" spans="1:64" x14ac:dyDescent="0.4">
      <c r="A38" s="30"/>
      <c r="B38" s="30">
        <v>42935.69027777778</v>
      </c>
      <c r="C38" t="s">
        <v>1430</v>
      </c>
      <c r="D38" t="s">
        <v>477</v>
      </c>
      <c r="E38" t="s">
        <v>582</v>
      </c>
      <c r="F38" t="s">
        <v>171</v>
      </c>
      <c r="G38" t="s">
        <v>169</v>
      </c>
      <c r="H38" s="21" t="s">
        <v>94</v>
      </c>
      <c r="I38" s="86">
        <v>1</v>
      </c>
      <c r="J38" s="86">
        <v>0</v>
      </c>
      <c r="K38" t="s">
        <v>1431</v>
      </c>
      <c r="L38" t="s">
        <v>604</v>
      </c>
      <c r="M38" t="s">
        <v>310</v>
      </c>
      <c r="N38" t="str">
        <f>IF(SUM(ckCodingTable[[#This Row],[NfmlPIs]:[NnonWhtAsnPIs]])&gt;0,"WMD","")</f>
        <v/>
      </c>
      <c r="O38" t="b">
        <f>_xlfn.XOR(IFERROR(MATCH(ckCodingTable[[#This Row],[st_code]],EpscorTable[],0)&gt;0,FALSE),IFERROR(FIND("9150",ckCodingTable[[#This Row],[propPRCs]])&gt;0,FALSE))</f>
        <v>0</v>
      </c>
      <c r="P38" s="21" t="b">
        <f>_xlfn.XOR(ckCodingTable[[#This Row],[wmd]]&lt;&gt;"",IFERROR(FIND("9102",ckCodingTable[[#This Row],[propPRCs]])&gt;0,FALSE))</f>
        <v>0</v>
      </c>
      <c r="Q38" t="s">
        <v>1439</v>
      </c>
      <c r="S38" s="108">
        <f>S37+(ckCodingTable[[#This Row],[ILN]]&lt;"M")</f>
        <v>37</v>
      </c>
      <c r="T38" s="21" t="s">
        <v>95</v>
      </c>
      <c r="U38" t="s">
        <v>1039</v>
      </c>
      <c r="V38" s="7" t="str">
        <f>HYPERLINK("https://www.ejacket.nsf.gov/ej/showProposal.do?ID="&amp;ckCodingTable[[#This Row],[prop_id]],"eJ")</f>
        <v>eJ</v>
      </c>
      <c r="W38" t="s">
        <v>478</v>
      </c>
      <c r="X38" t="s">
        <v>1039</v>
      </c>
      <c r="Y38" t="s">
        <v>1040</v>
      </c>
      <c r="Z38" t="s">
        <v>1534</v>
      </c>
      <c r="AA38" t="s">
        <v>550</v>
      </c>
      <c r="AB38" s="111" t="str">
        <f>HYPERLINK("mailto:"&amp;ckCodingTable[[#This Row],[email]]&amp;"&amp;subject=Your NSF Proposal:  "&amp;ckCodingTable[[#This Row],[Div]]&amp;" "&amp;ckCodingTable[[#This Row],[prop_id]], ckCodingTable[[#This Row],[email]])</f>
        <v>evouga@cs.utexas.edu</v>
      </c>
      <c r="AC38" s="30">
        <v>43344</v>
      </c>
      <c r="AD38">
        <v>60</v>
      </c>
      <c r="AE38">
        <v>1</v>
      </c>
      <c r="AG38" s="112">
        <v>1</v>
      </c>
      <c r="AH38" t="s">
        <v>1461</v>
      </c>
      <c r="AI38" s="26">
        <v>6.5</v>
      </c>
      <c r="AJ38" s="22">
        <v>43031.392361111109</v>
      </c>
      <c r="AL38">
        <v>4</v>
      </c>
      <c r="AN38" s="112">
        <v>4</v>
      </c>
      <c r="AO38" s="112"/>
      <c r="AP38" s="112"/>
      <c r="AQ38" s="112"/>
      <c r="AR38" s="7" t="str">
        <f>HYPERLINK("https://www.ejacket.nsf.gov/ej/showProposal.do?ID="&amp;ckCodingTable[[#This Row],[prop_id]],"eJ")</f>
        <v>eJ</v>
      </c>
      <c r="AS38" t="s">
        <v>172</v>
      </c>
      <c r="AT38" t="s">
        <v>1596</v>
      </c>
      <c r="AU38" t="b">
        <f>IF(ckCodingTable[[#This Row],[ILN]]="N",SUBSTITUTE(AT37," ","")&lt;&gt;SUBSTITUTE(ckCodingTable[[#This Row],[prop_titl_txt]]," ",""), FALSE)</f>
        <v>0</v>
      </c>
      <c r="AV38">
        <v>0</v>
      </c>
      <c r="AW38" s="13">
        <v>523537</v>
      </c>
      <c r="AX38" s="13">
        <v>523537</v>
      </c>
      <c r="AY38" s="13"/>
      <c r="AZ38" s="13">
        <v>15000</v>
      </c>
      <c r="BA38" s="13"/>
      <c r="BB38" s="13"/>
      <c r="BC38">
        <v>7</v>
      </c>
      <c r="BD38">
        <v>5</v>
      </c>
      <c r="BE38">
        <v>2</v>
      </c>
      <c r="BH38">
        <v>0</v>
      </c>
      <c r="BI38">
        <v>0</v>
      </c>
      <c r="BJ38">
        <v>0</v>
      </c>
      <c r="BK38">
        <v>0</v>
      </c>
      <c r="BL38" t="s">
        <v>1597</v>
      </c>
    </row>
    <row r="39" spans="1:64" x14ac:dyDescent="0.4">
      <c r="A39" s="30"/>
      <c r="B39" s="30">
        <v>42935.696527777778</v>
      </c>
      <c r="C39" t="s">
        <v>1430</v>
      </c>
      <c r="D39" t="s">
        <v>477</v>
      </c>
      <c r="E39" t="s">
        <v>582</v>
      </c>
      <c r="F39" t="s">
        <v>171</v>
      </c>
      <c r="G39" t="s">
        <v>169</v>
      </c>
      <c r="H39" s="21" t="s">
        <v>94</v>
      </c>
      <c r="I39" s="86">
        <v>1</v>
      </c>
      <c r="J39" s="86">
        <v>0</v>
      </c>
      <c r="K39" t="s">
        <v>1431</v>
      </c>
      <c r="L39" t="s">
        <v>604</v>
      </c>
      <c r="M39" t="s">
        <v>1598</v>
      </c>
      <c r="N39" t="str">
        <f>IF(SUM(ckCodingTable[[#This Row],[NfmlPIs]:[NnonWhtAsnPIs]])&gt;0,"WMD","")</f>
        <v/>
      </c>
      <c r="O39" t="b">
        <f>_xlfn.XOR(IFERROR(MATCH(ckCodingTable[[#This Row],[st_code]],EpscorTable[],0)&gt;0,FALSE),IFERROR(FIND("9150",ckCodingTable[[#This Row],[propPRCs]])&gt;0,FALSE))</f>
        <v>0</v>
      </c>
      <c r="P39" s="21" t="b">
        <f>_xlfn.XOR(ckCodingTable[[#This Row],[wmd]]&lt;&gt;"",IFERROR(FIND("9102",ckCodingTable[[#This Row],[propPRCs]])&gt;0,FALSE))</f>
        <v>0</v>
      </c>
      <c r="Q39" t="s">
        <v>1439</v>
      </c>
      <c r="S39" s="108">
        <f>S38+(ckCodingTable[[#This Row],[ILN]]&lt;"M")</f>
        <v>38</v>
      </c>
      <c r="T39" s="21" t="s">
        <v>95</v>
      </c>
      <c r="U39" t="s">
        <v>1048</v>
      </c>
      <c r="V39" s="7" t="str">
        <f>HYPERLINK("https://www.ejacket.nsf.gov/ej/showProposal.do?ID="&amp;ckCodingTable[[#This Row],[prop_id]],"eJ")</f>
        <v>eJ</v>
      </c>
      <c r="W39" t="s">
        <v>478</v>
      </c>
      <c r="X39" t="s">
        <v>1048</v>
      </c>
      <c r="Y39" t="s">
        <v>1049</v>
      </c>
      <c r="Z39" t="s">
        <v>1599</v>
      </c>
      <c r="AA39" t="s">
        <v>1600</v>
      </c>
      <c r="AB39" s="111" t="str">
        <f>HYPERLINK("mailto:"&amp;ckCodingTable[[#This Row],[email]]&amp;"&amp;subject=Your NSF Proposal:  "&amp;ckCodingTable[[#This Row],[Div]]&amp;" "&amp;ckCodingTable[[#This Row],[prop_id]], ckCodingTable[[#This Row],[email]])</f>
        <v>nayyeria@eecs.oregonstate.edu</v>
      </c>
      <c r="AC39" s="30">
        <v>43344</v>
      </c>
      <c r="AD39">
        <v>60</v>
      </c>
      <c r="AE39">
        <v>1</v>
      </c>
      <c r="AG39" s="112">
        <v>1</v>
      </c>
      <c r="AH39" t="s">
        <v>1493</v>
      </c>
      <c r="AI39" s="26">
        <v>6.75</v>
      </c>
      <c r="AJ39" s="22">
        <v>43031.69027777778</v>
      </c>
      <c r="AK39" s="21">
        <v>2</v>
      </c>
      <c r="AL39">
        <v>4</v>
      </c>
      <c r="AN39" s="112">
        <v>4</v>
      </c>
      <c r="AO39" s="112"/>
      <c r="AP39" s="112"/>
      <c r="AQ39" s="112"/>
      <c r="AR39" s="7" t="str">
        <f>HYPERLINK("https://www.ejacket.nsf.gov/ej/showProposal.do?ID="&amp;ckCodingTable[[#This Row],[prop_id]],"eJ")</f>
        <v>eJ</v>
      </c>
      <c r="AS39" t="s">
        <v>172</v>
      </c>
      <c r="AT39" t="s">
        <v>1601</v>
      </c>
      <c r="AU39" t="b">
        <f>IF(ckCodingTable[[#This Row],[ILN]]="N",SUBSTITUTE(AT38," ","")&lt;&gt;SUBSTITUTE(ckCodingTable[[#This Row],[prop_titl_txt]]," ",""), FALSE)</f>
        <v>0</v>
      </c>
      <c r="AV39">
        <v>0</v>
      </c>
      <c r="AW39" s="13">
        <v>607459</v>
      </c>
      <c r="AX39" s="13">
        <v>607459</v>
      </c>
      <c r="AY39" s="13"/>
      <c r="AZ39" s="13">
        <v>23133</v>
      </c>
      <c r="BA39" s="13"/>
      <c r="BB39" s="13">
        <v>5500</v>
      </c>
      <c r="BC39">
        <v>5</v>
      </c>
      <c r="BD39">
        <v>5</v>
      </c>
      <c r="BE39">
        <v>4.5</v>
      </c>
      <c r="BH39">
        <v>0</v>
      </c>
      <c r="BI39">
        <v>0</v>
      </c>
      <c r="BJ39">
        <v>0</v>
      </c>
      <c r="BK39">
        <v>0</v>
      </c>
      <c r="BL39" t="s">
        <v>1602</v>
      </c>
    </row>
    <row r="40" spans="1:64" x14ac:dyDescent="0.4">
      <c r="A40" s="30"/>
      <c r="B40" s="30">
        <v>42935.70416666667</v>
      </c>
      <c r="C40" t="s">
        <v>1430</v>
      </c>
      <c r="D40" t="s">
        <v>477</v>
      </c>
      <c r="E40" t="s">
        <v>582</v>
      </c>
      <c r="F40" t="s">
        <v>171</v>
      </c>
      <c r="G40" t="s">
        <v>169</v>
      </c>
      <c r="H40" s="21" t="s">
        <v>94</v>
      </c>
      <c r="I40" s="86">
        <v>1</v>
      </c>
      <c r="J40" s="86">
        <v>0</v>
      </c>
      <c r="K40" t="s">
        <v>1431</v>
      </c>
      <c r="L40" t="s">
        <v>654</v>
      </c>
      <c r="M40" t="s">
        <v>111</v>
      </c>
      <c r="N40" t="str">
        <f>IF(SUM(ckCodingTable[[#This Row],[NfmlPIs]:[NnonWhtAsnPIs]])&gt;0,"WMD","")</f>
        <v/>
      </c>
      <c r="O40" t="b">
        <f>_xlfn.XOR(IFERROR(MATCH(ckCodingTable[[#This Row],[st_code]],EpscorTable[],0)&gt;0,FALSE),IFERROR(FIND("9150",ckCodingTable[[#This Row],[propPRCs]])&gt;0,FALSE))</f>
        <v>0</v>
      </c>
      <c r="P40" s="21" t="b">
        <f>_xlfn.XOR(ckCodingTable[[#This Row],[wmd]]&lt;&gt;"",IFERROR(FIND("9102",ckCodingTable[[#This Row],[propPRCs]])&gt;0,FALSE))</f>
        <v>0</v>
      </c>
      <c r="Q40" t="s">
        <v>1603</v>
      </c>
      <c r="S40" s="108">
        <f>S39+(ckCodingTable[[#This Row],[ILN]]&lt;"M")</f>
        <v>39</v>
      </c>
      <c r="T40" s="21" t="s">
        <v>95</v>
      </c>
      <c r="U40" t="s">
        <v>1056</v>
      </c>
      <c r="V40" s="7" t="str">
        <f>HYPERLINK("https://www.ejacket.nsf.gov/ej/showProposal.do?ID="&amp;ckCodingTable[[#This Row],[prop_id]],"eJ")</f>
        <v>eJ</v>
      </c>
      <c r="W40" t="s">
        <v>478</v>
      </c>
      <c r="X40" t="s">
        <v>1056</v>
      </c>
      <c r="Y40" t="s">
        <v>1057</v>
      </c>
      <c r="Z40" t="s">
        <v>1604</v>
      </c>
      <c r="AA40" t="s">
        <v>1605</v>
      </c>
      <c r="AB40" s="111" t="str">
        <f>HYPERLINK("mailto:"&amp;ckCodingTable[[#This Row],[email]]&amp;"&amp;subject=Your NSF Proposal:  "&amp;ckCodingTable[[#This Row],[Div]]&amp;" "&amp;ckCodingTable[[#This Row],[prop_id]], ckCodingTable[[#This Row],[email]])</f>
        <v>maxwelly@outlook.com</v>
      </c>
      <c r="AC40" s="30">
        <v>43344</v>
      </c>
      <c r="AD40">
        <v>60</v>
      </c>
      <c r="AE40">
        <v>1</v>
      </c>
      <c r="AG40" s="112">
        <v>1</v>
      </c>
      <c r="AH40" t="s">
        <v>1606</v>
      </c>
      <c r="AI40" s="26">
        <v>5.75</v>
      </c>
      <c r="AJ40" s="22">
        <v>43059.229861111111</v>
      </c>
      <c r="AL40">
        <v>4</v>
      </c>
      <c r="AN40" s="112">
        <v>4</v>
      </c>
      <c r="AO40" s="112"/>
      <c r="AP40" s="112"/>
      <c r="AQ40" s="112"/>
      <c r="AR40" s="7" t="str">
        <f>HYPERLINK("https://www.ejacket.nsf.gov/ej/showProposal.do?ID="&amp;ckCodingTable[[#This Row],[prop_id]],"eJ")</f>
        <v>eJ</v>
      </c>
      <c r="AS40" t="s">
        <v>172</v>
      </c>
      <c r="AT40" t="s">
        <v>1607</v>
      </c>
      <c r="AU40" t="b">
        <f>IF(ckCodingTable[[#This Row],[ILN]]="N",SUBSTITUTE(AT39," ","")&lt;&gt;SUBSTITUTE(ckCodingTable[[#This Row],[prop_titl_txt]]," ",""), FALSE)</f>
        <v>0</v>
      </c>
      <c r="AV40">
        <v>0</v>
      </c>
      <c r="AW40" s="13">
        <v>400000</v>
      </c>
      <c r="AX40" s="13">
        <v>400000</v>
      </c>
      <c r="AY40" s="13"/>
      <c r="AZ40" s="13">
        <v>15000</v>
      </c>
      <c r="BA40" s="13"/>
      <c r="BB40" s="13"/>
      <c r="BC40">
        <v>5</v>
      </c>
      <c r="BD40">
        <v>5</v>
      </c>
      <c r="BE40">
        <v>2.5</v>
      </c>
      <c r="BH40">
        <v>0</v>
      </c>
      <c r="BI40">
        <v>0</v>
      </c>
      <c r="BJ40">
        <v>0</v>
      </c>
      <c r="BK40">
        <v>0</v>
      </c>
      <c r="BL40" t="s">
        <v>1608</v>
      </c>
    </row>
    <row r="41" spans="1:64" x14ac:dyDescent="0.4">
      <c r="A41" s="30"/>
      <c r="B41" s="30">
        <v>42935.717361111114</v>
      </c>
      <c r="C41" t="s">
        <v>1430</v>
      </c>
      <c r="D41" t="s">
        <v>477</v>
      </c>
      <c r="E41" t="s">
        <v>582</v>
      </c>
      <c r="F41" t="s">
        <v>171</v>
      </c>
      <c r="G41" t="s">
        <v>169</v>
      </c>
      <c r="H41" s="21" t="s">
        <v>94</v>
      </c>
      <c r="I41" s="86">
        <v>1</v>
      </c>
      <c r="J41" s="86">
        <v>0</v>
      </c>
      <c r="K41" t="s">
        <v>1431</v>
      </c>
      <c r="L41" t="s">
        <v>611</v>
      </c>
      <c r="M41" t="s">
        <v>555</v>
      </c>
      <c r="N41" t="str">
        <f>IF(SUM(ckCodingTable[[#This Row],[NfmlPIs]:[NnonWhtAsnPIs]])&gt;0,"WMD","")</f>
        <v/>
      </c>
      <c r="O41" t="b">
        <f>_xlfn.XOR(IFERROR(MATCH(ckCodingTable[[#This Row],[st_code]],EpscorTable[],0)&gt;0,FALSE),IFERROR(FIND("9150",ckCodingTable[[#This Row],[propPRCs]])&gt;0,FALSE))</f>
        <v>0</v>
      </c>
      <c r="P41" s="21" t="b">
        <f>_xlfn.XOR(ckCodingTable[[#This Row],[wmd]]&lt;&gt;"",IFERROR(FIND("9102",ckCodingTable[[#This Row],[propPRCs]])&gt;0,FALSE))</f>
        <v>0</v>
      </c>
      <c r="Q41" t="s">
        <v>1469</v>
      </c>
      <c r="R41" s="22">
        <v>43082.663402777776</v>
      </c>
      <c r="S41" s="108">
        <f>S40+(ckCodingTable[[#This Row],[ILN]]&lt;"M")</f>
        <v>40</v>
      </c>
      <c r="T41" s="21" t="s">
        <v>95</v>
      </c>
      <c r="U41" t="s">
        <v>1064</v>
      </c>
      <c r="V41" s="7" t="str">
        <f>HYPERLINK("https://www.ejacket.nsf.gov/ej/showProposal.do?ID="&amp;ckCodingTable[[#This Row],[prop_id]],"eJ")</f>
        <v>eJ</v>
      </c>
      <c r="W41" t="s">
        <v>478</v>
      </c>
      <c r="X41" t="s">
        <v>1064</v>
      </c>
      <c r="Y41" t="s">
        <v>1065</v>
      </c>
      <c r="Z41" t="s">
        <v>1609</v>
      </c>
      <c r="AA41" t="s">
        <v>556</v>
      </c>
      <c r="AB41" s="111" t="str">
        <f>HYPERLINK("mailto:"&amp;ckCodingTable[[#This Row],[email]]&amp;"&amp;subject=Your NSF Proposal:  "&amp;ckCodingTable[[#This Row],[Div]]&amp;" "&amp;ckCodingTable[[#This Row],[prop_id]], ckCodingTable[[#This Row],[email]])</f>
        <v>bhaskara@cs.utah.edu</v>
      </c>
      <c r="AC41" s="30">
        <v>43313</v>
      </c>
      <c r="AD41">
        <v>60</v>
      </c>
      <c r="AE41">
        <v>1</v>
      </c>
      <c r="AG41" s="112">
        <v>1</v>
      </c>
      <c r="AH41" t="s">
        <v>1461</v>
      </c>
      <c r="AI41" s="26">
        <v>6.5</v>
      </c>
      <c r="AJ41" s="22">
        <v>43058.995833333334</v>
      </c>
      <c r="AL41">
        <v>4</v>
      </c>
      <c r="AN41" s="112">
        <v>4</v>
      </c>
      <c r="AO41" s="112"/>
      <c r="AP41" s="112"/>
      <c r="AQ41" s="112"/>
      <c r="AR41" s="7" t="str">
        <f>HYPERLINK("https://www.ejacket.nsf.gov/ej/showProposal.do?ID="&amp;ckCodingTable[[#This Row],[prop_id]],"eJ")</f>
        <v>eJ</v>
      </c>
      <c r="AS41" t="s">
        <v>172</v>
      </c>
      <c r="AT41" t="s">
        <v>1610</v>
      </c>
      <c r="AU41" t="b">
        <f>IF(ckCodingTable[[#This Row],[ILN]]="N",SUBSTITUTE(AT40," ","")&lt;&gt;SUBSTITUTE(ckCodingTable[[#This Row],[prop_titl_txt]]," ",""), FALSE)</f>
        <v>0</v>
      </c>
      <c r="AV41">
        <v>0</v>
      </c>
      <c r="AW41" s="13">
        <v>536841</v>
      </c>
      <c r="AX41" s="13">
        <v>536841</v>
      </c>
      <c r="AY41" s="13"/>
      <c r="AZ41" s="13">
        <v>27500</v>
      </c>
      <c r="BA41" s="13"/>
      <c r="BB41" s="13">
        <v>20000</v>
      </c>
      <c r="BC41">
        <v>5</v>
      </c>
      <c r="BD41">
        <v>5</v>
      </c>
      <c r="BE41">
        <v>5</v>
      </c>
      <c r="BH41">
        <v>0</v>
      </c>
      <c r="BI41">
        <v>0</v>
      </c>
      <c r="BJ41">
        <v>0</v>
      </c>
      <c r="BK41">
        <v>0</v>
      </c>
      <c r="BL41" t="s">
        <v>1611</v>
      </c>
    </row>
    <row r="42" spans="1:64" x14ac:dyDescent="0.4">
      <c r="A42" s="30"/>
      <c r="B42" s="30">
        <v>42935.723611111112</v>
      </c>
      <c r="C42" t="s">
        <v>1430</v>
      </c>
      <c r="D42" t="s">
        <v>477</v>
      </c>
      <c r="E42" t="s">
        <v>582</v>
      </c>
      <c r="F42" t="s">
        <v>171</v>
      </c>
      <c r="G42" t="s">
        <v>169</v>
      </c>
      <c r="H42" s="21" t="s">
        <v>94</v>
      </c>
      <c r="I42" s="86">
        <v>1</v>
      </c>
      <c r="J42" s="86">
        <v>0</v>
      </c>
      <c r="K42" t="s">
        <v>1431</v>
      </c>
      <c r="L42" t="s">
        <v>611</v>
      </c>
      <c r="M42" t="s">
        <v>492</v>
      </c>
      <c r="N42" t="str">
        <f>IF(SUM(ckCodingTable[[#This Row],[NfmlPIs]:[NnonWhtAsnPIs]])&gt;0,"WMD","")</f>
        <v>WMD</v>
      </c>
      <c r="O42" t="b">
        <f>_xlfn.XOR(IFERROR(MATCH(ckCodingTable[[#This Row],[st_code]],EpscorTable[],0)&gt;0,FALSE),IFERROR(FIND("9150",ckCodingTable[[#This Row],[propPRCs]])&gt;0,FALSE))</f>
        <v>0</v>
      </c>
      <c r="P42" s="21" t="b">
        <f>_xlfn.XOR(ckCodingTable[[#This Row],[wmd]]&lt;&gt;"",IFERROR(FIND("9102",ckCodingTable[[#This Row],[propPRCs]])&gt;0,FALSE))</f>
        <v>1</v>
      </c>
      <c r="Q42" t="s">
        <v>1612</v>
      </c>
      <c r="S42" s="108">
        <f>S41+(ckCodingTable[[#This Row],[ILN]]&lt;"M")</f>
        <v>41</v>
      </c>
      <c r="T42" s="21" t="s">
        <v>95</v>
      </c>
      <c r="U42" t="s">
        <v>1073</v>
      </c>
      <c r="V42" s="7" t="str">
        <f>HYPERLINK("https://www.ejacket.nsf.gov/ej/showProposal.do?ID="&amp;ckCodingTable[[#This Row],[prop_id]],"eJ")</f>
        <v>eJ</v>
      </c>
      <c r="W42" t="s">
        <v>478</v>
      </c>
      <c r="X42" t="s">
        <v>1073</v>
      </c>
      <c r="Y42" t="s">
        <v>1074</v>
      </c>
      <c r="Z42" t="s">
        <v>1613</v>
      </c>
      <c r="AA42" t="s">
        <v>1614</v>
      </c>
      <c r="AB42" s="111" t="str">
        <f>HYPERLINK("mailto:"&amp;ckCodingTable[[#This Row],[email]]&amp;"&amp;subject=Your NSF Proposal:  "&amp;ckCodingTable[[#This Row],[Div]]&amp;" "&amp;ckCodingTable[[#This Row],[prop_id]], ckCodingTable[[#This Row],[email]])</f>
        <v>brittany@cs.montana.edu</v>
      </c>
      <c r="AC42" s="30">
        <v>43344</v>
      </c>
      <c r="AD42">
        <v>60</v>
      </c>
      <c r="AE42">
        <v>1</v>
      </c>
      <c r="AG42" s="112">
        <v>1</v>
      </c>
      <c r="AH42" t="s">
        <v>1461</v>
      </c>
      <c r="AI42" s="26">
        <v>6.5</v>
      </c>
      <c r="AJ42" s="22">
        <v>43031.43472222222</v>
      </c>
      <c r="AL42">
        <v>4</v>
      </c>
      <c r="AN42" s="112">
        <v>4</v>
      </c>
      <c r="AO42" s="112"/>
      <c r="AP42" s="112"/>
      <c r="AQ42" s="112"/>
      <c r="AR42" s="7" t="str">
        <f>HYPERLINK("https://www.ejacket.nsf.gov/ej/showProposal.do?ID="&amp;ckCodingTable[[#This Row],[prop_id]],"eJ")</f>
        <v>eJ</v>
      </c>
      <c r="AS42" t="s">
        <v>172</v>
      </c>
      <c r="AT42" t="s">
        <v>1615</v>
      </c>
      <c r="AU42" t="b">
        <f>IF(ckCodingTable[[#This Row],[ILN]]="N",SUBSTITUTE(AT41," ","")&lt;&gt;SUBSTITUTE(ckCodingTable[[#This Row],[prop_titl_txt]]," ",""), FALSE)</f>
        <v>0</v>
      </c>
      <c r="AV42">
        <v>0</v>
      </c>
      <c r="AW42" s="13">
        <v>552355</v>
      </c>
      <c r="AX42" s="13">
        <v>552355</v>
      </c>
      <c r="AY42" s="13"/>
      <c r="AZ42" s="13">
        <v>13000</v>
      </c>
      <c r="BA42" s="13"/>
      <c r="BB42" s="13"/>
      <c r="BC42">
        <v>12</v>
      </c>
      <c r="BD42">
        <v>5</v>
      </c>
      <c r="BE42">
        <v>5</v>
      </c>
      <c r="BH42">
        <v>2</v>
      </c>
      <c r="BI42">
        <v>0</v>
      </c>
      <c r="BJ42">
        <v>0</v>
      </c>
      <c r="BK42">
        <v>0</v>
      </c>
      <c r="BL42" t="s">
        <v>1616</v>
      </c>
    </row>
    <row r="43" spans="1:64" x14ac:dyDescent="0.4">
      <c r="A43" s="30"/>
      <c r="B43" s="30">
        <v>42935.851388888892</v>
      </c>
      <c r="C43" t="s">
        <v>1430</v>
      </c>
      <c r="D43" t="s">
        <v>477</v>
      </c>
      <c r="E43" t="s">
        <v>582</v>
      </c>
      <c r="F43" t="s">
        <v>171</v>
      </c>
      <c r="G43" t="s">
        <v>169</v>
      </c>
      <c r="H43" s="21" t="s">
        <v>94</v>
      </c>
      <c r="I43" s="86">
        <v>1</v>
      </c>
      <c r="J43" s="86">
        <v>0</v>
      </c>
      <c r="K43" t="s">
        <v>1431</v>
      </c>
      <c r="L43" t="s">
        <v>654</v>
      </c>
      <c r="M43" t="s">
        <v>100</v>
      </c>
      <c r="N43" t="str">
        <f>IF(SUM(ckCodingTable[[#This Row],[NfmlPIs]:[NnonWhtAsnPIs]])&gt;0,"WMD","")</f>
        <v/>
      </c>
      <c r="O43" t="b">
        <f>_xlfn.XOR(IFERROR(MATCH(ckCodingTable[[#This Row],[st_code]],EpscorTable[],0)&gt;0,FALSE),IFERROR(FIND("9150",ckCodingTable[[#This Row],[propPRCs]])&gt;0,FALSE))</f>
        <v>0</v>
      </c>
      <c r="P43" s="21" t="b">
        <f>_xlfn.XOR(ckCodingTable[[#This Row],[wmd]]&lt;&gt;"",IFERROR(FIND("9102",ckCodingTable[[#This Row],[propPRCs]])&gt;0,FALSE))</f>
        <v>0</v>
      </c>
      <c r="Q43" t="s">
        <v>1603</v>
      </c>
      <c r="R43" s="22">
        <v>43082.669027777774</v>
      </c>
      <c r="S43" s="108">
        <f>S42+(ckCodingTable[[#This Row],[ILN]]&lt;"M")</f>
        <v>42</v>
      </c>
      <c r="T43" s="21" t="s">
        <v>95</v>
      </c>
      <c r="U43" t="s">
        <v>1082</v>
      </c>
      <c r="V43" s="7" t="str">
        <f>HYPERLINK("https://www.ejacket.nsf.gov/ej/showProposal.do?ID="&amp;ckCodingTable[[#This Row],[prop_id]],"eJ")</f>
        <v>eJ</v>
      </c>
      <c r="W43" t="s">
        <v>478</v>
      </c>
      <c r="X43" t="s">
        <v>1082</v>
      </c>
      <c r="Y43" t="s">
        <v>1083</v>
      </c>
      <c r="Z43" t="s">
        <v>1617</v>
      </c>
      <c r="AA43" t="s">
        <v>1618</v>
      </c>
      <c r="AB43" s="111" t="str">
        <f>HYPERLINK("mailto:"&amp;ckCodingTable[[#This Row],[email]]&amp;"&amp;subject=Your NSF Proposal:  "&amp;ckCodingTable[[#This Row],[Div]]&amp;" "&amp;ckCodingTable[[#This Row],[prop_id]], ckCodingTable[[#This Row],[email]])</f>
        <v>nodari@hawaii.edu</v>
      </c>
      <c r="AC43" s="30">
        <v>43160</v>
      </c>
      <c r="AD43">
        <v>60</v>
      </c>
      <c r="AE43">
        <v>1</v>
      </c>
      <c r="AG43" s="112"/>
      <c r="AH43" t="s">
        <v>503</v>
      </c>
      <c r="AI43" s="26">
        <v>5.5</v>
      </c>
      <c r="AJ43" s="22">
        <v>43031.703472222223</v>
      </c>
      <c r="AK43" s="21">
        <v>1</v>
      </c>
      <c r="AL43">
        <v>4</v>
      </c>
      <c r="AN43" s="112"/>
      <c r="AO43" s="112"/>
      <c r="AP43" s="112"/>
      <c r="AQ43" s="112"/>
      <c r="AR43" s="7" t="str">
        <f>HYPERLINK("https://www.ejacket.nsf.gov/ej/showProposal.do?ID="&amp;ckCodingTable[[#This Row],[prop_id]],"eJ")</f>
        <v>eJ</v>
      </c>
      <c r="AS43" t="s">
        <v>172</v>
      </c>
      <c r="AT43" t="s">
        <v>1619</v>
      </c>
      <c r="AU43" t="b">
        <f>IF(ckCodingTable[[#This Row],[ILN]]="N",SUBSTITUTE(AT42," ","")&lt;&gt;SUBSTITUTE(ckCodingTable[[#This Row],[prop_titl_txt]]," ",""), FALSE)</f>
        <v>0</v>
      </c>
      <c r="AV43">
        <v>0</v>
      </c>
      <c r="AW43" s="13">
        <v>549999</v>
      </c>
      <c r="AX43" s="13">
        <v>549999</v>
      </c>
      <c r="AY43" s="13"/>
      <c r="AZ43" s="13">
        <v>20000</v>
      </c>
      <c r="BA43" s="13"/>
      <c r="BB43" s="13"/>
      <c r="BC43">
        <v>5</v>
      </c>
      <c r="BD43">
        <v>5</v>
      </c>
      <c r="BE43">
        <v>5</v>
      </c>
      <c r="BF43">
        <v>4.5199999999999996</v>
      </c>
      <c r="BH43">
        <v>0</v>
      </c>
      <c r="BI43">
        <v>0</v>
      </c>
      <c r="BJ43">
        <v>0</v>
      </c>
      <c r="BK43">
        <v>0</v>
      </c>
      <c r="BL43" t="s">
        <v>1620</v>
      </c>
    </row>
    <row r="44" spans="1:64" x14ac:dyDescent="0.4">
      <c r="A44" s="30"/>
      <c r="B44" s="30">
        <v>42950.663888888892</v>
      </c>
      <c r="C44" t="s">
        <v>1621</v>
      </c>
      <c r="D44" t="s">
        <v>1622</v>
      </c>
      <c r="E44" t="s">
        <v>580</v>
      </c>
      <c r="F44" t="s">
        <v>171</v>
      </c>
      <c r="G44" t="s">
        <v>169</v>
      </c>
      <c r="H44" s="21" t="s">
        <v>94</v>
      </c>
      <c r="I44" s="86">
        <v>1</v>
      </c>
      <c r="J44" s="86">
        <v>0</v>
      </c>
      <c r="K44" t="s">
        <v>1623</v>
      </c>
      <c r="L44" t="s">
        <v>1093</v>
      </c>
      <c r="M44" t="s">
        <v>498</v>
      </c>
      <c r="N44" t="str">
        <f>IF(SUM(ckCodingTable[[#This Row],[NfmlPIs]:[NnonWhtAsnPIs]])&gt;0,"WMD","")</f>
        <v/>
      </c>
      <c r="O44" t="b">
        <f>_xlfn.XOR(IFERROR(MATCH(ckCodingTable[[#This Row],[st_code]],EpscorTable[],0)&gt;0,FALSE),IFERROR(FIND("9150",ckCodingTable[[#This Row],[propPRCs]])&gt;0,FALSE))</f>
        <v>0</v>
      </c>
      <c r="P44" s="21" t="b">
        <f>_xlfn.XOR(ckCodingTable[[#This Row],[wmd]]&lt;&gt;"",IFERROR(FIND("9102",ckCodingTable[[#This Row],[propPRCs]])&gt;0,FALSE))</f>
        <v>0</v>
      </c>
      <c r="Q44" t="s">
        <v>1624</v>
      </c>
      <c r="S44" s="108">
        <f>S43+(ckCodingTable[[#This Row],[ILN]]&lt;"M")</f>
        <v>43</v>
      </c>
      <c r="T44" s="21" t="s">
        <v>95</v>
      </c>
      <c r="U44" t="s">
        <v>1091</v>
      </c>
      <c r="V44" s="7" t="str">
        <f>HYPERLINK("https://www.ejacket.nsf.gov/ej/showProposal.do?ID="&amp;ckCodingTable[[#This Row],[prop_id]],"eJ")</f>
        <v>eJ</v>
      </c>
      <c r="W44" t="s">
        <v>1625</v>
      </c>
      <c r="X44" t="s">
        <v>1091</v>
      </c>
      <c r="Y44" t="s">
        <v>1092</v>
      </c>
      <c r="Z44" t="s">
        <v>1626</v>
      </c>
      <c r="AA44" t="s">
        <v>552</v>
      </c>
      <c r="AB44" s="111" t="str">
        <f>HYPERLINK("mailto:"&amp;ckCodingTable[[#This Row],[email]]&amp;"&amp;subject=Your NSF Proposal:  "&amp;ckCodingTable[[#This Row],[Div]]&amp;" "&amp;ckCodingTable[[#This Row],[prop_id]], ckCodingTable[[#This Row],[email]])</f>
        <v>ani.majumdar@princeton.edu</v>
      </c>
      <c r="AC44" s="30">
        <v>42979</v>
      </c>
      <c r="AD44">
        <v>24</v>
      </c>
      <c r="AE44">
        <v>2</v>
      </c>
      <c r="AG44" s="112">
        <v>2</v>
      </c>
      <c r="AH44" t="s">
        <v>1627</v>
      </c>
      <c r="AI44" s="26">
        <v>5.8571428571428568</v>
      </c>
      <c r="AJ44" s="22">
        <v>43073.747916666667</v>
      </c>
      <c r="AL44">
        <v>7</v>
      </c>
      <c r="AN44" s="112">
        <v>7</v>
      </c>
      <c r="AO44" s="112"/>
      <c r="AP44" s="112"/>
      <c r="AQ44" s="112"/>
      <c r="AR44" s="7" t="str">
        <f>HYPERLINK("https://www.ejacket.nsf.gov/ej/showProposal.do?ID="&amp;ckCodingTable[[#This Row],[prop_id]],"eJ")</f>
        <v>eJ</v>
      </c>
      <c r="AS44" t="s">
        <v>172</v>
      </c>
      <c r="AT44" t="s">
        <v>1628</v>
      </c>
      <c r="AU44" t="b">
        <f>IF(ckCodingTable[[#This Row],[ILN]]="N",SUBSTITUTE(AT43," ","")&lt;&gt;SUBSTITUTE(ckCodingTable[[#This Row],[prop_titl_txt]]," ",""), FALSE)</f>
        <v>0</v>
      </c>
      <c r="AV44">
        <v>0</v>
      </c>
      <c r="AW44" s="13">
        <v>175000</v>
      </c>
      <c r="AX44" s="13">
        <v>175000</v>
      </c>
      <c r="AY44" s="13"/>
      <c r="AZ44" s="13"/>
      <c r="BA44" s="13"/>
      <c r="BB44" s="13"/>
      <c r="BC44">
        <v>2</v>
      </c>
      <c r="BH44">
        <v>0</v>
      </c>
      <c r="BI44">
        <v>0</v>
      </c>
      <c r="BJ44">
        <v>0</v>
      </c>
      <c r="BK44">
        <v>0</v>
      </c>
      <c r="BL44" t="s">
        <v>1629</v>
      </c>
    </row>
    <row r="45" spans="1:64" x14ac:dyDescent="0.4">
      <c r="A45" s="30"/>
      <c r="B45" s="30">
        <v>42954.456944444442</v>
      </c>
      <c r="C45" t="s">
        <v>1621</v>
      </c>
      <c r="D45" t="s">
        <v>477</v>
      </c>
      <c r="E45" t="s">
        <v>578</v>
      </c>
      <c r="F45" t="s">
        <v>171</v>
      </c>
      <c r="G45" t="s">
        <v>169</v>
      </c>
      <c r="H45" s="21" t="s">
        <v>94</v>
      </c>
      <c r="I45" s="86">
        <v>1</v>
      </c>
      <c r="J45" s="86">
        <v>0</v>
      </c>
      <c r="K45" t="s">
        <v>1630</v>
      </c>
      <c r="L45" t="s">
        <v>611</v>
      </c>
      <c r="M45" t="s">
        <v>1632</v>
      </c>
      <c r="N45" t="str">
        <f>IF(SUM(ckCodingTable[[#This Row],[NfmlPIs]:[NnonWhtAsnPIs]])&gt;0,"WMD","")</f>
        <v/>
      </c>
      <c r="O45" t="b">
        <f>_xlfn.XOR(IFERROR(MATCH(ckCodingTable[[#This Row],[st_code]],EpscorTable[],0)&gt;0,FALSE),IFERROR(FIND("9150",ckCodingTable[[#This Row],[propPRCs]])&gt;0,FALSE))</f>
        <v>0</v>
      </c>
      <c r="P45" s="21" t="b">
        <f>_xlfn.XOR(ckCodingTable[[#This Row],[wmd]]&lt;&gt;"",IFERROR(FIND("9102",ckCodingTable[[#This Row],[propPRCs]])&gt;0,FALSE))</f>
        <v>0</v>
      </c>
      <c r="Q45" t="s">
        <v>1631</v>
      </c>
      <c r="R45" s="22">
        <v>43082.662870370368</v>
      </c>
      <c r="S45" s="108">
        <f>S44+(ckCodingTable[[#This Row],[ILN]]&lt;"M")</f>
        <v>44</v>
      </c>
      <c r="T45" s="21" t="s">
        <v>95</v>
      </c>
      <c r="U45" t="s">
        <v>1118</v>
      </c>
      <c r="V45" s="7" t="str">
        <f>HYPERLINK("https://www.ejacket.nsf.gov/ej/showProposal.do?ID="&amp;ckCodingTable[[#This Row],[prop_id]],"eJ")</f>
        <v>eJ</v>
      </c>
      <c r="W45" t="s">
        <v>478</v>
      </c>
      <c r="X45" t="s">
        <v>1118</v>
      </c>
      <c r="Y45" t="s">
        <v>1119</v>
      </c>
      <c r="Z45" t="s">
        <v>1633</v>
      </c>
      <c r="AA45" t="s">
        <v>1634</v>
      </c>
      <c r="AB45" s="111" t="str">
        <f>HYPERLINK("mailto:"&amp;ckCodingTable[[#This Row],[email]]&amp;"&amp;subject=Your NSF Proposal:  "&amp;ckCodingTable[[#This Row],[Div]]&amp;" "&amp;ckCodingTable[[#This Row],[prop_id]], ckCodingTable[[#This Row],[email]])</f>
        <v>wtong@georgiasouthern.edu</v>
      </c>
      <c r="AC45" s="30">
        <v>43235</v>
      </c>
      <c r="AD45">
        <v>24</v>
      </c>
      <c r="AE45">
        <v>1</v>
      </c>
      <c r="AG45" s="112">
        <v>1</v>
      </c>
      <c r="AH45" t="s">
        <v>1635</v>
      </c>
      <c r="AI45" s="26">
        <v>4</v>
      </c>
      <c r="AJ45" s="22">
        <v>43060.386805555558</v>
      </c>
      <c r="AL45">
        <v>3</v>
      </c>
      <c r="AN45" s="112">
        <v>3</v>
      </c>
      <c r="AO45" s="112"/>
      <c r="AP45" s="112"/>
      <c r="AQ45" s="112"/>
      <c r="AR45" s="7" t="str">
        <f>HYPERLINK("https://www.ejacket.nsf.gov/ej/showProposal.do?ID="&amp;ckCodingTable[[#This Row],[prop_id]],"eJ")</f>
        <v>eJ</v>
      </c>
      <c r="AS45" t="s">
        <v>172</v>
      </c>
      <c r="AT45" t="s">
        <v>1636</v>
      </c>
      <c r="AU45" t="b">
        <f>IF(ckCodingTable[[#This Row],[ILN]]="N",SUBSTITUTE(AT44," ","")&lt;&gt;SUBSTITUTE(ckCodingTable[[#This Row],[prop_titl_txt]]," ",""), FALSE)</f>
        <v>0</v>
      </c>
      <c r="AV45">
        <v>0</v>
      </c>
      <c r="AW45" s="13">
        <v>162689</v>
      </c>
      <c r="AX45" s="13">
        <v>162689</v>
      </c>
      <c r="AY45" s="13"/>
      <c r="AZ45" s="13">
        <v>8120</v>
      </c>
      <c r="BA45" s="13"/>
      <c r="BB45" s="13"/>
      <c r="BC45">
        <v>4</v>
      </c>
      <c r="BH45">
        <v>0</v>
      </c>
      <c r="BI45">
        <v>0</v>
      </c>
      <c r="BJ45">
        <v>0</v>
      </c>
      <c r="BK45">
        <v>0</v>
      </c>
      <c r="BL45" t="s">
        <v>1637</v>
      </c>
    </row>
    <row r="46" spans="1:64" x14ac:dyDescent="0.4">
      <c r="A46" s="30"/>
      <c r="B46" s="30">
        <v>42954.500694444447</v>
      </c>
      <c r="C46" t="s">
        <v>1621</v>
      </c>
      <c r="D46" t="s">
        <v>477</v>
      </c>
      <c r="E46" t="s">
        <v>578</v>
      </c>
      <c r="F46" t="s">
        <v>171</v>
      </c>
      <c r="G46" t="s">
        <v>169</v>
      </c>
      <c r="H46" s="21" t="s">
        <v>94</v>
      </c>
      <c r="I46" s="86">
        <v>1</v>
      </c>
      <c r="J46" s="86">
        <v>0</v>
      </c>
      <c r="K46" t="s">
        <v>1630</v>
      </c>
      <c r="L46" t="s">
        <v>654</v>
      </c>
      <c r="M46" t="s">
        <v>1632</v>
      </c>
      <c r="N46" t="str">
        <f>IF(SUM(ckCodingTable[[#This Row],[NfmlPIs]:[NnonWhtAsnPIs]])&gt;0,"WMD","")</f>
        <v/>
      </c>
      <c r="O46" t="b">
        <f>_xlfn.XOR(IFERROR(MATCH(ckCodingTable[[#This Row],[st_code]],EpscorTable[],0)&gt;0,FALSE),IFERROR(FIND("9150",ckCodingTable[[#This Row],[propPRCs]])&gt;0,FALSE))</f>
        <v>0</v>
      </c>
      <c r="P46" s="21" t="b">
        <f>_xlfn.XOR(ckCodingTable[[#This Row],[wmd]]&lt;&gt;"",IFERROR(FIND("9102",ckCodingTable[[#This Row],[propPRCs]])&gt;0,FALSE))</f>
        <v>0</v>
      </c>
      <c r="Q46" t="s">
        <v>1631</v>
      </c>
      <c r="R46" s="22">
        <v>43082.669131944444</v>
      </c>
      <c r="S46" s="108">
        <f>S45+(ckCodingTable[[#This Row],[ILN]]&lt;"M")</f>
        <v>45</v>
      </c>
      <c r="T46" s="21" t="s">
        <v>95</v>
      </c>
      <c r="U46" t="s">
        <v>1126</v>
      </c>
      <c r="V46" s="7" t="str">
        <f>HYPERLINK("https://www.ejacket.nsf.gov/ej/showProposal.do?ID="&amp;ckCodingTable[[#This Row],[prop_id]],"eJ")</f>
        <v>eJ</v>
      </c>
      <c r="W46" t="s">
        <v>478</v>
      </c>
      <c r="X46" t="s">
        <v>1126</v>
      </c>
      <c r="Y46" t="s">
        <v>631</v>
      </c>
      <c r="Z46" t="s">
        <v>1638</v>
      </c>
      <c r="AA46" t="s">
        <v>1634</v>
      </c>
      <c r="AB46" s="111" t="str">
        <f>HYPERLINK("mailto:"&amp;ckCodingTable[[#This Row],[email]]&amp;"&amp;subject=Your NSF Proposal:  "&amp;ckCodingTable[[#This Row],[Div]]&amp;" "&amp;ckCodingTable[[#This Row],[prop_id]], ckCodingTable[[#This Row],[email]])</f>
        <v>kwang@georgiasouthern.edu</v>
      </c>
      <c r="AC46" s="30">
        <v>43101</v>
      </c>
      <c r="AD46">
        <v>24</v>
      </c>
      <c r="AE46">
        <v>1</v>
      </c>
      <c r="AG46" s="112"/>
      <c r="AH46" t="s">
        <v>1639</v>
      </c>
      <c r="AI46" s="26">
        <v>3.25</v>
      </c>
      <c r="AJ46" s="22">
        <v>43031.775694444441</v>
      </c>
      <c r="AL46">
        <v>4</v>
      </c>
      <c r="AN46" s="112"/>
      <c r="AO46" s="112"/>
      <c r="AP46" s="112"/>
      <c r="AQ46" s="112"/>
      <c r="AR46" s="7" t="str">
        <f>HYPERLINK("https://www.ejacket.nsf.gov/ej/showProposal.do?ID="&amp;ckCodingTable[[#This Row],[prop_id]],"eJ")</f>
        <v>eJ</v>
      </c>
      <c r="AS46" t="s">
        <v>172</v>
      </c>
      <c r="AT46" t="s">
        <v>1640</v>
      </c>
      <c r="AU46" t="b">
        <f>IF(ckCodingTable[[#This Row],[ILN]]="N",SUBSTITUTE(AT45," ","")&lt;&gt;SUBSTITUTE(ckCodingTable[[#This Row],[prop_titl_txt]]," ",""), FALSE)</f>
        <v>0</v>
      </c>
      <c r="AV46">
        <v>0</v>
      </c>
      <c r="AW46" s="13">
        <v>168126</v>
      </c>
      <c r="AX46" s="13">
        <v>168126</v>
      </c>
      <c r="AY46" s="13"/>
      <c r="AZ46" s="13"/>
      <c r="BA46" s="13"/>
      <c r="BB46" s="13"/>
      <c r="BC46">
        <v>4</v>
      </c>
      <c r="BH46">
        <v>0</v>
      </c>
      <c r="BI46">
        <v>0</v>
      </c>
      <c r="BJ46">
        <v>0</v>
      </c>
      <c r="BK46">
        <v>0</v>
      </c>
      <c r="BL46" t="s">
        <v>1641</v>
      </c>
    </row>
    <row r="47" spans="1:64" x14ac:dyDescent="0.4">
      <c r="A47" s="30"/>
      <c r="B47" s="30">
        <v>42955.429861111108</v>
      </c>
      <c r="C47" t="s">
        <v>1621</v>
      </c>
      <c r="D47" t="s">
        <v>477</v>
      </c>
      <c r="E47" t="s">
        <v>578</v>
      </c>
      <c r="F47" t="s">
        <v>171</v>
      </c>
      <c r="G47" t="s">
        <v>169</v>
      </c>
      <c r="H47" s="21" t="s">
        <v>94</v>
      </c>
      <c r="I47" s="86">
        <v>1</v>
      </c>
      <c r="J47" s="86">
        <v>0</v>
      </c>
      <c r="K47" t="s">
        <v>1630</v>
      </c>
      <c r="L47" t="s">
        <v>654</v>
      </c>
      <c r="M47" t="s">
        <v>494</v>
      </c>
      <c r="N47" t="str">
        <f>IF(SUM(ckCodingTable[[#This Row],[NfmlPIs]:[NnonWhtAsnPIs]])&gt;0,"WMD","")</f>
        <v/>
      </c>
      <c r="O47" t="b">
        <f>_xlfn.XOR(IFERROR(MATCH(ckCodingTable[[#This Row],[st_code]],EpscorTable[],0)&gt;0,FALSE),IFERROR(FIND("9150",ckCodingTable[[#This Row],[propPRCs]])&gt;0,FALSE))</f>
        <v>0</v>
      </c>
      <c r="P47" s="21" t="b">
        <f>_xlfn.XOR(ckCodingTable[[#This Row],[wmd]]&lt;&gt;"",IFERROR(FIND("9102",ckCodingTable[[#This Row],[propPRCs]])&gt;0,FALSE))</f>
        <v>0</v>
      </c>
      <c r="Q47" t="s">
        <v>1631</v>
      </c>
      <c r="S47" s="108">
        <f>S46+(ckCodingTable[[#This Row],[ILN]]&lt;"M")</f>
        <v>46</v>
      </c>
      <c r="T47" s="21" t="s">
        <v>95</v>
      </c>
      <c r="U47" t="s">
        <v>1133</v>
      </c>
      <c r="V47" s="7" t="str">
        <f>HYPERLINK("https://www.ejacket.nsf.gov/ej/showProposal.do?ID="&amp;ckCodingTable[[#This Row],[prop_id]],"eJ")</f>
        <v>eJ</v>
      </c>
      <c r="W47" t="s">
        <v>478</v>
      </c>
      <c r="X47" t="s">
        <v>1133</v>
      </c>
      <c r="Y47" t="s">
        <v>1134</v>
      </c>
      <c r="Z47" t="s">
        <v>1642</v>
      </c>
      <c r="AA47" t="s">
        <v>566</v>
      </c>
      <c r="AB47" s="111" t="str">
        <f>HYPERLINK("mailto:"&amp;ckCodingTable[[#This Row],[email]]&amp;"&amp;subject=Your NSF Proposal:  "&amp;ckCodingTable[[#This Row],[Div]]&amp;" "&amp;ckCodingTable[[#This Row],[prop_id]], ckCodingTable[[#This Row],[email]])</f>
        <v>yzhoucs@indiana.edu</v>
      </c>
      <c r="AC47" s="30">
        <v>43101</v>
      </c>
      <c r="AD47">
        <v>24</v>
      </c>
      <c r="AE47">
        <v>1</v>
      </c>
      <c r="AG47" s="112">
        <v>1</v>
      </c>
      <c r="AH47" t="s">
        <v>1643</v>
      </c>
      <c r="AI47" s="26">
        <v>6</v>
      </c>
      <c r="AJ47" s="22">
        <v>43060.397916666669</v>
      </c>
      <c r="AL47">
        <v>3</v>
      </c>
      <c r="AN47" s="112">
        <v>3</v>
      </c>
      <c r="AO47" s="112"/>
      <c r="AP47" s="112"/>
      <c r="AQ47" s="112"/>
      <c r="AR47" s="7" t="str">
        <f>HYPERLINK("https://www.ejacket.nsf.gov/ej/showProposal.do?ID="&amp;ckCodingTable[[#This Row],[prop_id]],"eJ")</f>
        <v>eJ</v>
      </c>
      <c r="AS47" t="s">
        <v>172</v>
      </c>
      <c r="AT47" t="s">
        <v>1644</v>
      </c>
      <c r="AU47" t="b">
        <f>IF(ckCodingTable[[#This Row],[ILN]]="N",SUBSTITUTE(AT46," ","")&lt;&gt;SUBSTITUTE(ckCodingTable[[#This Row],[prop_titl_txt]]," ",""), FALSE)</f>
        <v>0</v>
      </c>
      <c r="AV47">
        <v>0</v>
      </c>
      <c r="AW47" s="13">
        <v>174974</v>
      </c>
      <c r="AX47" s="13">
        <v>174974</v>
      </c>
      <c r="AY47" s="13"/>
      <c r="AZ47" s="13">
        <v>8400</v>
      </c>
      <c r="BA47" s="13"/>
      <c r="BB47" s="13"/>
      <c r="BC47">
        <v>3</v>
      </c>
      <c r="BH47">
        <v>0</v>
      </c>
      <c r="BI47">
        <v>0</v>
      </c>
      <c r="BJ47">
        <v>0</v>
      </c>
      <c r="BK47">
        <v>0</v>
      </c>
      <c r="BL47" t="s">
        <v>1645</v>
      </c>
    </row>
    <row r="48" spans="1:64" x14ac:dyDescent="0.4">
      <c r="A48" s="30"/>
      <c r="B48" s="30">
        <v>42955.700694444444</v>
      </c>
      <c r="C48" t="s">
        <v>1621</v>
      </c>
      <c r="D48" t="s">
        <v>477</v>
      </c>
      <c r="E48" t="s">
        <v>578</v>
      </c>
      <c r="F48" t="s">
        <v>171</v>
      </c>
      <c r="G48" t="s">
        <v>169</v>
      </c>
      <c r="H48" s="21" t="s">
        <v>94</v>
      </c>
      <c r="I48" s="86">
        <v>1</v>
      </c>
      <c r="J48" s="86">
        <v>0</v>
      </c>
      <c r="K48" t="s">
        <v>1630</v>
      </c>
      <c r="L48" t="s">
        <v>611</v>
      </c>
      <c r="M48" t="s">
        <v>306</v>
      </c>
      <c r="N48" t="str">
        <f>IF(SUM(ckCodingTable[[#This Row],[NfmlPIs]:[NnonWhtAsnPIs]])&gt;0,"WMD","")</f>
        <v/>
      </c>
      <c r="O48" t="b">
        <f>_xlfn.XOR(IFERROR(MATCH(ckCodingTable[[#This Row],[st_code]],EpscorTable[],0)&gt;0,FALSE),IFERROR(FIND("9150",ckCodingTable[[#This Row],[propPRCs]])&gt;0,FALSE))</f>
        <v>0</v>
      </c>
      <c r="P48" s="21" t="b">
        <f>_xlfn.XOR(ckCodingTable[[#This Row],[wmd]]&lt;&gt;"",IFERROR(FIND("9102",ckCodingTable[[#This Row],[propPRCs]])&gt;0,FALSE))</f>
        <v>0</v>
      </c>
      <c r="Q48" t="s">
        <v>1646</v>
      </c>
      <c r="S48" s="108">
        <f>S47+(ckCodingTable[[#This Row],[ILN]]&lt;"M")</f>
        <v>47</v>
      </c>
      <c r="T48" s="21" t="s">
        <v>95</v>
      </c>
      <c r="U48" t="s">
        <v>1141</v>
      </c>
      <c r="V48" s="7" t="str">
        <f>HYPERLINK("https://www.ejacket.nsf.gov/ej/showProposal.do?ID="&amp;ckCodingTable[[#This Row],[prop_id]],"eJ")</f>
        <v>eJ</v>
      </c>
      <c r="W48" t="s">
        <v>478</v>
      </c>
      <c r="X48" t="s">
        <v>1141</v>
      </c>
      <c r="Y48" t="s">
        <v>965</v>
      </c>
      <c r="Z48" t="s">
        <v>1647</v>
      </c>
      <c r="AA48" t="s">
        <v>1477</v>
      </c>
      <c r="AB48" s="111" t="str">
        <f>HYPERLINK("mailto:"&amp;ckCodingTable[[#This Row],[email]]&amp;"&amp;subject=Your NSF Proposal:  "&amp;ckCodingTable[[#This Row],[Div]]&amp;" "&amp;ckCodingTable[[#This Row],[prop_id]], ckCodingTable[[#This Row],[email]])</f>
        <v>jugal@illinois.edu</v>
      </c>
      <c r="AC48" s="30">
        <v>43146</v>
      </c>
      <c r="AD48">
        <v>24</v>
      </c>
      <c r="AE48">
        <v>1</v>
      </c>
      <c r="AG48" s="112">
        <v>1</v>
      </c>
      <c r="AH48" t="s">
        <v>1648</v>
      </c>
      <c r="AI48" s="26">
        <v>7.333333333333333</v>
      </c>
      <c r="AJ48" s="22">
        <v>43059.534722222219</v>
      </c>
      <c r="AL48">
        <v>3</v>
      </c>
      <c r="AN48" s="112">
        <v>3</v>
      </c>
      <c r="AO48" s="112"/>
      <c r="AP48" s="112"/>
      <c r="AQ48" s="112"/>
      <c r="AR48" s="7" t="str">
        <f>HYPERLINK("https://www.ejacket.nsf.gov/ej/showProposal.do?ID="&amp;ckCodingTable[[#This Row],[prop_id]],"eJ")</f>
        <v>eJ</v>
      </c>
      <c r="AS48" t="s">
        <v>172</v>
      </c>
      <c r="AT48" t="s">
        <v>1649</v>
      </c>
      <c r="AU48" t="b">
        <f>IF(ckCodingTable[[#This Row],[ILN]]="N",SUBSTITUTE(AT47," ","")&lt;&gt;SUBSTITUTE(ckCodingTable[[#This Row],[prop_titl_txt]]," ",""), FALSE)</f>
        <v>0</v>
      </c>
      <c r="AV48">
        <v>0</v>
      </c>
      <c r="AW48" s="13">
        <v>175000</v>
      </c>
      <c r="AX48" s="13">
        <v>175000</v>
      </c>
      <c r="AY48" s="13"/>
      <c r="AZ48" s="13">
        <v>4000</v>
      </c>
      <c r="BA48" s="13"/>
      <c r="BB48" s="13"/>
      <c r="BC48">
        <v>4</v>
      </c>
      <c r="BH48">
        <v>0</v>
      </c>
      <c r="BI48">
        <v>0</v>
      </c>
      <c r="BJ48">
        <v>0</v>
      </c>
      <c r="BK48">
        <v>0</v>
      </c>
      <c r="BL48" t="s">
        <v>1650</v>
      </c>
    </row>
    <row r="49" spans="1:64" x14ac:dyDescent="0.4">
      <c r="A49" s="30">
        <v>43081.686678240738</v>
      </c>
      <c r="B49" s="30">
        <v>42956.439583333333</v>
      </c>
      <c r="C49" t="s">
        <v>1621</v>
      </c>
      <c r="D49" t="s">
        <v>1622</v>
      </c>
      <c r="E49" t="s">
        <v>580</v>
      </c>
      <c r="F49" t="s">
        <v>2073</v>
      </c>
      <c r="G49" t="s">
        <v>169</v>
      </c>
      <c r="H49" s="21" t="s">
        <v>94</v>
      </c>
      <c r="I49" s="86">
        <v>1</v>
      </c>
      <c r="J49" s="86">
        <v>0</v>
      </c>
      <c r="K49" t="s">
        <v>1623</v>
      </c>
      <c r="L49" t="s">
        <v>2046</v>
      </c>
      <c r="M49" t="s">
        <v>496</v>
      </c>
      <c r="N49" t="str">
        <f>IF(SUM(ckCodingTable[[#This Row],[NfmlPIs]:[NnonWhtAsnPIs]])&gt;0,"WMD","")</f>
        <v/>
      </c>
      <c r="O49" t="b">
        <f>_xlfn.XOR(IFERROR(MATCH(ckCodingTable[[#This Row],[st_code]],EpscorTable[],0)&gt;0,FALSE),IFERROR(FIND("9150",ckCodingTable[[#This Row],[propPRCs]])&gt;0,FALSE))</f>
        <v>0</v>
      </c>
      <c r="P49" s="21" t="b">
        <f>_xlfn.XOR(ckCodingTable[[#This Row],[wmd]]&lt;&gt;"",IFERROR(FIND("9102",ckCodingTable[[#This Row],[propPRCs]])&gt;0,FALSE))</f>
        <v>0</v>
      </c>
      <c r="Q49" t="s">
        <v>1624</v>
      </c>
      <c r="R49" s="22">
        <v>43070.440868055557</v>
      </c>
      <c r="S49" s="108">
        <f>S48+(ckCodingTable[[#This Row],[ILN]]&lt;"M")</f>
        <v>48</v>
      </c>
      <c r="T49" s="21" t="s">
        <v>95</v>
      </c>
      <c r="U49" t="s">
        <v>2044</v>
      </c>
      <c r="V49" s="7" t="str">
        <f>HYPERLINK("https://www.ejacket.nsf.gov/ej/showProposal.do?ID="&amp;ckCodingTable[[#This Row],[prop_id]],"eJ")</f>
        <v>eJ</v>
      </c>
      <c r="W49" t="s">
        <v>1625</v>
      </c>
      <c r="X49" t="s">
        <v>2044</v>
      </c>
      <c r="Y49" t="s">
        <v>2045</v>
      </c>
      <c r="Z49" t="s">
        <v>2074</v>
      </c>
      <c r="AA49" t="s">
        <v>497</v>
      </c>
      <c r="AB49" s="111" t="str">
        <f>HYPERLINK("mailto:"&amp;ckCodingTable[[#This Row],[email]]&amp;"&amp;subject=Your NSF Proposal:  "&amp;ckCodingTable[[#This Row],[Div]]&amp;" "&amp;ckCodingTable[[#This Row],[prop_id]], ckCodingTable[[#This Row],[email]])</f>
        <v>feifang@cmu.edu</v>
      </c>
      <c r="AC49" s="30">
        <v>43101</v>
      </c>
      <c r="AD49">
        <v>24</v>
      </c>
      <c r="AE49">
        <v>2</v>
      </c>
      <c r="AG49" s="112"/>
      <c r="AH49" t="s">
        <v>2075</v>
      </c>
      <c r="AI49" s="26">
        <v>5.6</v>
      </c>
      <c r="AJ49" s="22">
        <v>43068.363194444442</v>
      </c>
      <c r="AK49" s="21">
        <v>2</v>
      </c>
      <c r="AL49">
        <v>5</v>
      </c>
      <c r="AN49" s="112"/>
      <c r="AO49" s="112"/>
      <c r="AP49" s="112"/>
      <c r="AQ49" s="112"/>
      <c r="AR49" s="7" t="str">
        <f>HYPERLINK("https://www.ejacket.nsf.gov/ej/showProposal.do?ID="&amp;ckCodingTable[[#This Row],[prop_id]],"eJ")</f>
        <v>eJ</v>
      </c>
      <c r="AS49" t="s">
        <v>2076</v>
      </c>
      <c r="AT49" t="s">
        <v>2077</v>
      </c>
      <c r="AU49" t="b">
        <f>IF(ckCodingTable[[#This Row],[ILN]]="N",SUBSTITUTE(AT48," ","")&lt;&gt;SUBSTITUTE(ckCodingTable[[#This Row],[prop_titl_txt]]," ",""), FALSE)</f>
        <v>0</v>
      </c>
      <c r="AV49">
        <v>0</v>
      </c>
      <c r="AW49" s="13">
        <v>175000</v>
      </c>
      <c r="AX49" s="13">
        <v>175000</v>
      </c>
      <c r="AY49" s="13"/>
      <c r="AZ49" s="13">
        <v>7798</v>
      </c>
      <c r="BA49" s="13"/>
      <c r="BB49" s="13"/>
      <c r="BC49">
        <v>2</v>
      </c>
      <c r="BH49">
        <v>0</v>
      </c>
      <c r="BI49">
        <v>0</v>
      </c>
      <c r="BJ49">
        <v>0</v>
      </c>
      <c r="BK49">
        <v>0</v>
      </c>
      <c r="BL49" t="s">
        <v>2078</v>
      </c>
    </row>
    <row r="50" spans="1:64" x14ac:dyDescent="0.4">
      <c r="A50" s="30"/>
      <c r="B50" s="30">
        <v>42956.472222222219</v>
      </c>
      <c r="C50" t="s">
        <v>1621</v>
      </c>
      <c r="D50" t="s">
        <v>477</v>
      </c>
      <c r="E50" t="s">
        <v>578</v>
      </c>
      <c r="F50" t="s">
        <v>171</v>
      </c>
      <c r="G50" t="s">
        <v>169</v>
      </c>
      <c r="H50" s="21" t="s">
        <v>94</v>
      </c>
      <c r="I50" s="86">
        <v>1</v>
      </c>
      <c r="J50" s="86">
        <v>0</v>
      </c>
      <c r="K50" t="s">
        <v>1630</v>
      </c>
      <c r="L50" t="s">
        <v>604</v>
      </c>
      <c r="M50" t="s">
        <v>557</v>
      </c>
      <c r="N50" t="str">
        <f>IF(SUM(ckCodingTable[[#This Row],[NfmlPIs]:[NnonWhtAsnPIs]])&gt;0,"WMD","")</f>
        <v/>
      </c>
      <c r="O50" t="b">
        <f>_xlfn.XOR(IFERROR(MATCH(ckCodingTable[[#This Row],[st_code]],EpscorTable[],0)&gt;0,FALSE),IFERROR(FIND("9150",ckCodingTable[[#This Row],[propPRCs]])&gt;0,FALSE))</f>
        <v>0</v>
      </c>
      <c r="P50" s="21" t="b">
        <f>_xlfn.XOR(ckCodingTable[[#This Row],[wmd]]&lt;&gt;"",IFERROR(FIND("9102",ckCodingTable[[#This Row],[propPRCs]])&gt;0,FALSE))</f>
        <v>0</v>
      </c>
      <c r="Q50" t="s">
        <v>1631</v>
      </c>
      <c r="R50" s="22">
        <v>43082.662800925929</v>
      </c>
      <c r="S50" s="108">
        <f>S49+(ckCodingTable[[#This Row],[ILN]]&lt;"M")</f>
        <v>49</v>
      </c>
      <c r="T50" s="21" t="s">
        <v>95</v>
      </c>
      <c r="U50" t="s">
        <v>1147</v>
      </c>
      <c r="V50" s="7" t="str">
        <f>HYPERLINK("https://www.ejacket.nsf.gov/ej/showProposal.do?ID="&amp;ckCodingTable[[#This Row],[prop_id]],"eJ")</f>
        <v>eJ</v>
      </c>
      <c r="W50" t="s">
        <v>478</v>
      </c>
      <c r="X50" t="s">
        <v>1147</v>
      </c>
      <c r="Y50" t="s">
        <v>1148</v>
      </c>
      <c r="Z50" t="s">
        <v>1651</v>
      </c>
      <c r="AA50" t="s">
        <v>558</v>
      </c>
      <c r="AB50" s="111" t="str">
        <f>HYPERLINK("mailto:"&amp;ckCodingTable[[#This Row],[email]]&amp;"&amp;subject=Your NSF Proposal:  "&amp;ckCodingTable[[#This Row],[Div]]&amp;" "&amp;ckCodingTable[[#This Row],[prop_id]], ckCodingTable[[#This Row],[email]])</f>
        <v>hcharkhgard@usf.edu</v>
      </c>
      <c r="AC50" s="30">
        <v>43221</v>
      </c>
      <c r="AD50">
        <v>24</v>
      </c>
      <c r="AE50">
        <v>1</v>
      </c>
      <c r="AG50" s="112">
        <v>1</v>
      </c>
      <c r="AH50" t="s">
        <v>1652</v>
      </c>
      <c r="AI50" s="26">
        <v>5</v>
      </c>
      <c r="AJ50" s="22">
        <v>43031.770833333336</v>
      </c>
      <c r="AL50">
        <v>3</v>
      </c>
      <c r="AN50" s="112">
        <v>3</v>
      </c>
      <c r="AO50" s="112"/>
      <c r="AP50" s="112"/>
      <c r="AQ50" s="112"/>
      <c r="AR50" s="7" t="str">
        <f>HYPERLINK("https://www.ejacket.nsf.gov/ej/showProposal.do?ID="&amp;ckCodingTable[[#This Row],[prop_id]],"eJ")</f>
        <v>eJ</v>
      </c>
      <c r="AS50" t="s">
        <v>172</v>
      </c>
      <c r="AT50" t="s">
        <v>1653</v>
      </c>
      <c r="AU50" t="b">
        <f>IF(ckCodingTable[[#This Row],[ILN]]="N",SUBSTITUTE(AT49," ","")&lt;&gt;SUBSTITUTE(ckCodingTable[[#This Row],[prop_titl_txt]]," ",""), FALSE)</f>
        <v>0</v>
      </c>
      <c r="AV50">
        <v>0</v>
      </c>
      <c r="AW50" s="13">
        <v>172682</v>
      </c>
      <c r="AX50" s="13">
        <v>172682</v>
      </c>
      <c r="AY50" s="13"/>
      <c r="AZ50" s="13"/>
      <c r="BA50" s="13"/>
      <c r="BB50" s="13"/>
      <c r="BC50">
        <v>4</v>
      </c>
      <c r="BH50">
        <v>0</v>
      </c>
      <c r="BI50">
        <v>0</v>
      </c>
      <c r="BJ50">
        <v>0</v>
      </c>
      <c r="BK50">
        <v>0</v>
      </c>
      <c r="BL50" t="s">
        <v>1654</v>
      </c>
    </row>
    <row r="51" spans="1:64" x14ac:dyDescent="0.4">
      <c r="A51" s="30"/>
      <c r="B51" s="30">
        <v>42956.581944444442</v>
      </c>
      <c r="C51" t="s">
        <v>1621</v>
      </c>
      <c r="D51" t="s">
        <v>477</v>
      </c>
      <c r="E51" t="s">
        <v>578</v>
      </c>
      <c r="F51" t="s">
        <v>171</v>
      </c>
      <c r="G51" t="s">
        <v>169</v>
      </c>
      <c r="H51" s="21" t="s">
        <v>94</v>
      </c>
      <c r="I51" s="86">
        <v>1</v>
      </c>
      <c r="J51" s="86">
        <v>0</v>
      </c>
      <c r="K51" t="s">
        <v>1630</v>
      </c>
      <c r="L51" t="s">
        <v>654</v>
      </c>
      <c r="M51" t="s">
        <v>1470</v>
      </c>
      <c r="N51" t="str">
        <f>IF(SUM(ckCodingTable[[#This Row],[NfmlPIs]:[NnonWhtAsnPIs]])&gt;0,"WMD","")</f>
        <v/>
      </c>
      <c r="O51" t="b">
        <f>_xlfn.XOR(IFERROR(MATCH(ckCodingTable[[#This Row],[st_code]],EpscorTable[],0)&gt;0,FALSE),IFERROR(FIND("9150",ckCodingTable[[#This Row],[propPRCs]])&gt;0,FALSE))</f>
        <v>0</v>
      </c>
      <c r="P51" s="21" t="b">
        <f>_xlfn.XOR(ckCodingTable[[#This Row],[wmd]]&lt;&gt;"",IFERROR(FIND("9102",ckCodingTable[[#This Row],[propPRCs]])&gt;0,FALSE))</f>
        <v>0</v>
      </c>
      <c r="Q51" t="s">
        <v>1631</v>
      </c>
      <c r="S51" s="108">
        <f>S50+(ckCodingTable[[#This Row],[ILN]]&lt;"M")</f>
        <v>50</v>
      </c>
      <c r="T51" s="21" t="s">
        <v>95</v>
      </c>
      <c r="U51" t="s">
        <v>1155</v>
      </c>
      <c r="V51" s="7" t="str">
        <f>HYPERLINK("https://www.ejacket.nsf.gov/ej/showProposal.do?ID="&amp;ckCodingTable[[#This Row],[prop_id]],"eJ")</f>
        <v>eJ</v>
      </c>
      <c r="W51" t="s">
        <v>478</v>
      </c>
      <c r="X51" t="s">
        <v>1155</v>
      </c>
      <c r="Y51" t="s">
        <v>1156</v>
      </c>
      <c r="Z51" t="s">
        <v>1655</v>
      </c>
      <c r="AA51" t="s">
        <v>1656</v>
      </c>
      <c r="AB51" s="111" t="str">
        <f>HYPERLINK("mailto:"&amp;ckCodingTable[[#This Row],[email]]&amp;"&amp;subject=Your NSF Proposal:  "&amp;ckCodingTable[[#This Row],[Div]]&amp;" "&amp;ckCodingTable[[#This Row],[prop_id]], ckCodingTable[[#This Row],[email]])</f>
        <v>Mayank.Goswami@qc.cuny.edu</v>
      </c>
      <c r="AC51" s="30">
        <v>43344</v>
      </c>
      <c r="AD51">
        <v>24</v>
      </c>
      <c r="AE51">
        <v>1</v>
      </c>
      <c r="AG51" s="112">
        <v>1</v>
      </c>
      <c r="AH51" t="s">
        <v>1657</v>
      </c>
      <c r="AI51" s="26">
        <v>7</v>
      </c>
      <c r="AJ51" s="22">
        <v>43031.369444444441</v>
      </c>
      <c r="AK51" s="21">
        <v>1</v>
      </c>
      <c r="AL51">
        <v>3</v>
      </c>
      <c r="AN51" s="112">
        <v>3</v>
      </c>
      <c r="AO51" s="112"/>
      <c r="AP51" s="112"/>
      <c r="AQ51" s="112"/>
      <c r="AR51" s="7" t="str">
        <f>HYPERLINK("https://www.ejacket.nsf.gov/ej/showProposal.do?ID="&amp;ckCodingTable[[#This Row],[prop_id]],"eJ")</f>
        <v>eJ</v>
      </c>
      <c r="AS51" t="s">
        <v>172</v>
      </c>
      <c r="AT51" t="s">
        <v>1658</v>
      </c>
      <c r="AU51" t="b">
        <f>IF(ckCodingTable[[#This Row],[ILN]]="N",SUBSTITUTE(AT50," ","")&lt;&gt;SUBSTITUTE(ckCodingTable[[#This Row],[prop_titl_txt]]," ",""), FALSE)</f>
        <v>0</v>
      </c>
      <c r="AV51">
        <v>0</v>
      </c>
      <c r="AW51" s="13">
        <v>175000</v>
      </c>
      <c r="AX51" s="13">
        <v>175000</v>
      </c>
      <c r="AY51" s="13"/>
      <c r="AZ51" s="13">
        <v>10000</v>
      </c>
      <c r="BA51" s="13"/>
      <c r="BB51" s="13"/>
      <c r="BC51">
        <v>2</v>
      </c>
      <c r="BH51">
        <v>0</v>
      </c>
      <c r="BI51">
        <v>0</v>
      </c>
      <c r="BJ51">
        <v>0</v>
      </c>
      <c r="BK51">
        <v>0</v>
      </c>
      <c r="BL51" t="s">
        <v>1659</v>
      </c>
    </row>
    <row r="52" spans="1:64" x14ac:dyDescent="0.4">
      <c r="A52" s="30"/>
      <c r="B52" s="30">
        <v>42956.588888888888</v>
      </c>
      <c r="C52" t="s">
        <v>1621</v>
      </c>
      <c r="D52" t="s">
        <v>1622</v>
      </c>
      <c r="E52" t="s">
        <v>580</v>
      </c>
      <c r="F52" t="s">
        <v>171</v>
      </c>
      <c r="G52" t="s">
        <v>169</v>
      </c>
      <c r="H52" s="21" t="s">
        <v>94</v>
      </c>
      <c r="I52" s="86">
        <v>1</v>
      </c>
      <c r="J52" s="86">
        <v>0</v>
      </c>
      <c r="K52" t="s">
        <v>1623</v>
      </c>
      <c r="L52" t="s">
        <v>1166</v>
      </c>
      <c r="M52" t="s">
        <v>1632</v>
      </c>
      <c r="N52" t="str">
        <f>IF(SUM(ckCodingTable[[#This Row],[NfmlPIs]:[NnonWhtAsnPIs]])&gt;0,"WMD","")</f>
        <v/>
      </c>
      <c r="O52" t="b">
        <f>_xlfn.XOR(IFERROR(MATCH(ckCodingTable[[#This Row],[st_code]],EpscorTable[],0)&gt;0,FALSE),IFERROR(FIND("9150",ckCodingTable[[#This Row],[propPRCs]])&gt;0,FALSE))</f>
        <v>0</v>
      </c>
      <c r="P52" s="21" t="b">
        <f>_xlfn.XOR(ckCodingTable[[#This Row],[wmd]]&lt;&gt;"",IFERROR(FIND("9102",ckCodingTable[[#This Row],[propPRCs]])&gt;0,FALSE))</f>
        <v>0</v>
      </c>
      <c r="Q52" t="s">
        <v>1624</v>
      </c>
      <c r="S52" s="108">
        <f>S51+(ckCodingTable[[#This Row],[ILN]]&lt;"M")</f>
        <v>51</v>
      </c>
      <c r="T52" s="21" t="s">
        <v>95</v>
      </c>
      <c r="U52" t="s">
        <v>1164</v>
      </c>
      <c r="V52" s="7" t="str">
        <f>HYPERLINK("https://www.ejacket.nsf.gov/ej/showProposal.do?ID="&amp;ckCodingTable[[#This Row],[prop_id]],"eJ")</f>
        <v>eJ</v>
      </c>
      <c r="W52" t="s">
        <v>1625</v>
      </c>
      <c r="X52" t="s">
        <v>1164</v>
      </c>
      <c r="Y52" t="s">
        <v>1165</v>
      </c>
      <c r="Z52" t="s">
        <v>1660</v>
      </c>
      <c r="AA52" t="s">
        <v>1661</v>
      </c>
      <c r="AB52" s="111" t="str">
        <f>HYPERLINK("mailto:"&amp;ckCodingTable[[#This Row],[email]]&amp;"&amp;subject=Your NSF Proposal:  "&amp;ckCodingTable[[#This Row],[Div]]&amp;" "&amp;ckCodingTable[[#This Row],[prop_id]], ckCodingTable[[#This Row],[email]])</f>
        <v>tzhao80@gatech.edu</v>
      </c>
      <c r="AC52" s="30">
        <v>43235</v>
      </c>
      <c r="AD52">
        <v>24</v>
      </c>
      <c r="AE52">
        <v>2</v>
      </c>
      <c r="AG52" s="112">
        <v>2</v>
      </c>
      <c r="AH52" t="s">
        <v>1662</v>
      </c>
      <c r="AI52" s="26">
        <v>5</v>
      </c>
      <c r="AJ52" s="22">
        <v>43058.96597222222</v>
      </c>
      <c r="AK52" s="21">
        <v>2</v>
      </c>
      <c r="AL52">
        <v>7</v>
      </c>
      <c r="AN52" s="112">
        <v>7</v>
      </c>
      <c r="AO52" s="112"/>
      <c r="AP52" s="112"/>
      <c r="AQ52" s="112"/>
      <c r="AR52" s="7" t="str">
        <f>HYPERLINK("https://www.ejacket.nsf.gov/ej/showProposal.do?ID="&amp;ckCodingTable[[#This Row],[prop_id]],"eJ")</f>
        <v>eJ</v>
      </c>
      <c r="AS52" t="s">
        <v>172</v>
      </c>
      <c r="AT52" t="s">
        <v>1663</v>
      </c>
      <c r="AU52" t="b">
        <f>IF(ckCodingTable[[#This Row],[ILN]]="N",SUBSTITUTE(AT51," ","")&lt;&gt;SUBSTITUTE(ckCodingTable[[#This Row],[prop_titl_txt]]," ",""), FALSE)</f>
        <v>0</v>
      </c>
      <c r="AV52">
        <v>0</v>
      </c>
      <c r="AW52" s="13">
        <v>175000</v>
      </c>
      <c r="AX52" s="13">
        <v>175000</v>
      </c>
      <c r="AY52" s="13"/>
      <c r="AZ52" s="13"/>
      <c r="BA52" s="13"/>
      <c r="BB52" s="13"/>
      <c r="BC52">
        <v>6</v>
      </c>
      <c r="BH52">
        <v>0</v>
      </c>
      <c r="BI52">
        <v>0</v>
      </c>
      <c r="BJ52">
        <v>0</v>
      </c>
      <c r="BK52">
        <v>0</v>
      </c>
      <c r="BL52" t="s">
        <v>1664</v>
      </c>
    </row>
    <row r="53" spans="1:64" x14ac:dyDescent="0.4">
      <c r="A53" s="30"/>
      <c r="B53" s="30">
        <v>42956.621527777781</v>
      </c>
      <c r="C53" t="s">
        <v>1621</v>
      </c>
      <c r="D53" t="s">
        <v>477</v>
      </c>
      <c r="E53" t="s">
        <v>578</v>
      </c>
      <c r="F53" t="s">
        <v>171</v>
      </c>
      <c r="G53" t="s">
        <v>169</v>
      </c>
      <c r="H53" s="21" t="s">
        <v>94</v>
      </c>
      <c r="I53" s="86">
        <v>1</v>
      </c>
      <c r="J53" s="86">
        <v>0</v>
      </c>
      <c r="K53" t="s">
        <v>1630</v>
      </c>
      <c r="L53" t="s">
        <v>611</v>
      </c>
      <c r="M53" t="s">
        <v>306</v>
      </c>
      <c r="N53" t="str">
        <f>IF(SUM(ckCodingTable[[#This Row],[NfmlPIs]:[NnonWhtAsnPIs]])&gt;0,"WMD","")</f>
        <v/>
      </c>
      <c r="O53" t="b">
        <f>_xlfn.XOR(IFERROR(MATCH(ckCodingTable[[#This Row],[st_code]],EpscorTable[],0)&gt;0,FALSE),IFERROR(FIND("9150",ckCodingTable[[#This Row],[propPRCs]])&gt;0,FALSE))</f>
        <v>0</v>
      </c>
      <c r="P53" s="21" t="b">
        <f>_xlfn.XOR(ckCodingTable[[#This Row],[wmd]]&lt;&gt;"",IFERROR(FIND("9102",ckCodingTable[[#This Row],[propPRCs]])&gt;0,FALSE))</f>
        <v>0</v>
      </c>
      <c r="Q53" t="s">
        <v>1665</v>
      </c>
      <c r="S53" s="108">
        <f>S52+(ckCodingTable[[#This Row],[ILN]]&lt;"M")</f>
        <v>52</v>
      </c>
      <c r="T53" s="21" t="s">
        <v>95</v>
      </c>
      <c r="U53" t="s">
        <v>1194</v>
      </c>
      <c r="V53" s="7" t="str">
        <f>HYPERLINK("https://www.ejacket.nsf.gov/ej/showProposal.do?ID="&amp;ckCodingTable[[#This Row],[prop_id]],"eJ")</f>
        <v>eJ</v>
      </c>
      <c r="W53" t="s">
        <v>478</v>
      </c>
      <c r="X53" t="s">
        <v>1194</v>
      </c>
      <c r="Y53" t="s">
        <v>1195</v>
      </c>
      <c r="Z53" t="s">
        <v>1666</v>
      </c>
      <c r="AA53" t="s">
        <v>1477</v>
      </c>
      <c r="AB53" s="111" t="str">
        <f>HYPERLINK("mailto:"&amp;ckCodingTable[[#This Row],[email]]&amp;"&amp;subject=Your NSF Proposal:  "&amp;ckCodingTable[[#This Row],[Div]]&amp;" "&amp;ckCodingTable[[#This Row],[prop_id]], ckCodingTable[[#This Row],[email]])</f>
        <v>ruoyus@illinois.edu</v>
      </c>
      <c r="AC53" s="30">
        <v>43282</v>
      </c>
      <c r="AD53">
        <v>24</v>
      </c>
      <c r="AE53">
        <v>1</v>
      </c>
      <c r="AG53" s="112">
        <v>1</v>
      </c>
      <c r="AH53" t="s">
        <v>1667</v>
      </c>
      <c r="AI53" s="26">
        <v>6.333333333333333</v>
      </c>
      <c r="AJ53" s="22">
        <v>43031.767361111109</v>
      </c>
      <c r="AK53" s="21">
        <v>2</v>
      </c>
      <c r="AL53">
        <v>3</v>
      </c>
      <c r="AN53" s="112">
        <v>3</v>
      </c>
      <c r="AO53" s="112"/>
      <c r="AP53" s="112"/>
      <c r="AQ53" s="112"/>
      <c r="AR53" s="7" t="str">
        <f>HYPERLINK("https://www.ejacket.nsf.gov/ej/showProposal.do?ID="&amp;ckCodingTable[[#This Row],[prop_id]],"eJ")</f>
        <v>eJ</v>
      </c>
      <c r="AS53" t="s">
        <v>172</v>
      </c>
      <c r="AT53" t="s">
        <v>1668</v>
      </c>
      <c r="AU53" t="b">
        <f>IF(ckCodingTable[[#This Row],[ILN]]="N",SUBSTITUTE(AT52," ","")&lt;&gt;SUBSTITUTE(ckCodingTable[[#This Row],[prop_titl_txt]]," ",""), FALSE)</f>
        <v>0</v>
      </c>
      <c r="AV53">
        <v>0</v>
      </c>
      <c r="AW53" s="13">
        <v>175000</v>
      </c>
      <c r="AX53" s="13">
        <v>175000</v>
      </c>
      <c r="AY53" s="13"/>
      <c r="AZ53" s="13">
        <v>4000</v>
      </c>
      <c r="BA53" s="13"/>
      <c r="BB53" s="13"/>
      <c r="BC53">
        <v>4</v>
      </c>
      <c r="BH53">
        <v>0</v>
      </c>
      <c r="BI53">
        <v>0</v>
      </c>
      <c r="BJ53">
        <v>0</v>
      </c>
      <c r="BK53">
        <v>0</v>
      </c>
      <c r="BL53" t="s">
        <v>1669</v>
      </c>
    </row>
    <row r="54" spans="1:64" x14ac:dyDescent="0.4">
      <c r="A54" s="30"/>
      <c r="B54" s="30">
        <v>42956.647916666669</v>
      </c>
      <c r="C54" t="s">
        <v>1621</v>
      </c>
      <c r="D54" t="s">
        <v>477</v>
      </c>
      <c r="E54" t="s">
        <v>578</v>
      </c>
      <c r="F54" t="s">
        <v>171</v>
      </c>
      <c r="G54" t="s">
        <v>169</v>
      </c>
      <c r="H54" s="21" t="s">
        <v>94</v>
      </c>
      <c r="I54" s="86">
        <v>1</v>
      </c>
      <c r="J54" s="86">
        <v>0</v>
      </c>
      <c r="K54" t="s">
        <v>1630</v>
      </c>
      <c r="L54" t="s">
        <v>604</v>
      </c>
      <c r="M54" t="s">
        <v>117</v>
      </c>
      <c r="N54" t="str">
        <f>IF(SUM(ckCodingTable[[#This Row],[NfmlPIs]:[NnonWhtAsnPIs]])&gt;0,"WMD","")</f>
        <v/>
      </c>
      <c r="O54" t="b">
        <f>_xlfn.XOR(IFERROR(MATCH(ckCodingTable[[#This Row],[st_code]],EpscorTable[],0)&gt;0,FALSE),IFERROR(FIND("9150",ckCodingTable[[#This Row],[propPRCs]])&gt;0,FALSE))</f>
        <v>0</v>
      </c>
      <c r="P54" s="21" t="b">
        <f>_xlfn.XOR(ckCodingTable[[#This Row],[wmd]]&lt;&gt;"",IFERROR(FIND("9102",ckCodingTable[[#This Row],[propPRCs]])&gt;0,FALSE))</f>
        <v>0</v>
      </c>
      <c r="Q54" t="s">
        <v>1670</v>
      </c>
      <c r="R54" s="22">
        <v>43082.669189814813</v>
      </c>
      <c r="S54" s="108">
        <f>S53+(ckCodingTable[[#This Row],[ILN]]&lt;"M")</f>
        <v>53</v>
      </c>
      <c r="T54" s="21" t="s">
        <v>95</v>
      </c>
      <c r="U54" t="s">
        <v>1201</v>
      </c>
      <c r="V54" s="7" t="str">
        <f>HYPERLINK("https://www.ejacket.nsf.gov/ej/showProposal.do?ID="&amp;ckCodingTable[[#This Row],[prop_id]],"eJ")</f>
        <v>eJ</v>
      </c>
      <c r="W54" t="s">
        <v>478</v>
      </c>
      <c r="X54" t="s">
        <v>1201</v>
      </c>
      <c r="Y54" t="s">
        <v>1202</v>
      </c>
      <c r="Z54" t="s">
        <v>1671</v>
      </c>
      <c r="AA54" t="s">
        <v>1672</v>
      </c>
      <c r="AB54" s="111" t="str">
        <f>HYPERLINK("mailto:"&amp;ckCodingTable[[#This Row],[email]]&amp;"&amp;subject=Your NSF Proposal:  "&amp;ckCodingTable[[#This Row],[Div]]&amp;" "&amp;ckCodingTable[[#This Row],[prop_id]], ckCodingTable[[#This Row],[email]])</f>
        <v>osan@okstate.edu</v>
      </c>
      <c r="AC54" s="30">
        <v>43252</v>
      </c>
      <c r="AD54">
        <v>24</v>
      </c>
      <c r="AE54">
        <v>1</v>
      </c>
      <c r="AG54" s="112">
        <v>1</v>
      </c>
      <c r="AH54" t="s">
        <v>1673</v>
      </c>
      <c r="AI54" s="26">
        <v>5.333333333333333</v>
      </c>
      <c r="AJ54" s="22">
        <v>43031.741666666669</v>
      </c>
      <c r="AL54">
        <v>3</v>
      </c>
      <c r="AN54" s="112">
        <v>3</v>
      </c>
      <c r="AO54" s="112"/>
      <c r="AP54" s="112"/>
      <c r="AQ54" s="112"/>
      <c r="AR54" s="7" t="str">
        <f>HYPERLINK("https://www.ejacket.nsf.gov/ej/showProposal.do?ID="&amp;ckCodingTable[[#This Row],[prop_id]],"eJ")</f>
        <v>eJ</v>
      </c>
      <c r="AS54" t="s">
        <v>172</v>
      </c>
      <c r="AT54" t="s">
        <v>1674</v>
      </c>
      <c r="AU54" t="b">
        <f>IF(ckCodingTable[[#This Row],[ILN]]="N",SUBSTITUTE(AT53," ","")&lt;&gt;SUBSTITUTE(ckCodingTable[[#This Row],[prop_titl_txt]]," ",""), FALSE)</f>
        <v>0</v>
      </c>
      <c r="AV54">
        <v>0</v>
      </c>
      <c r="AW54" s="13">
        <v>170144</v>
      </c>
      <c r="AX54" s="13">
        <v>170144</v>
      </c>
      <c r="AY54" s="13"/>
      <c r="AZ54" s="13"/>
      <c r="BA54" s="13"/>
      <c r="BB54" s="13"/>
      <c r="BC54">
        <v>4</v>
      </c>
      <c r="BH54">
        <v>0</v>
      </c>
      <c r="BI54">
        <v>0</v>
      </c>
      <c r="BJ54">
        <v>0</v>
      </c>
      <c r="BK54">
        <v>0</v>
      </c>
      <c r="BL54" t="s">
        <v>1675</v>
      </c>
    </row>
    <row r="55" spans="1:64" x14ac:dyDescent="0.4">
      <c r="A55" s="30"/>
      <c r="B55" s="30">
        <v>42956.648611111108</v>
      </c>
      <c r="C55" t="s">
        <v>1621</v>
      </c>
      <c r="D55" t="s">
        <v>477</v>
      </c>
      <c r="E55" t="s">
        <v>578</v>
      </c>
      <c r="F55" t="s">
        <v>171</v>
      </c>
      <c r="G55" t="s">
        <v>169</v>
      </c>
      <c r="H55" s="21" t="s">
        <v>94</v>
      </c>
      <c r="I55" s="86">
        <v>1</v>
      </c>
      <c r="J55" s="86">
        <v>0</v>
      </c>
      <c r="K55" t="s">
        <v>1630</v>
      </c>
      <c r="L55" t="s">
        <v>611</v>
      </c>
      <c r="M55" t="s">
        <v>1470</v>
      </c>
      <c r="N55" t="str">
        <f>IF(SUM(ckCodingTable[[#This Row],[NfmlPIs]:[NnonWhtAsnPIs]])&gt;0,"WMD","")</f>
        <v/>
      </c>
      <c r="O55" t="b">
        <f>_xlfn.XOR(IFERROR(MATCH(ckCodingTable[[#This Row],[st_code]],EpscorTable[],0)&gt;0,FALSE),IFERROR(FIND("9150",ckCodingTable[[#This Row],[propPRCs]])&gt;0,FALSE))</f>
        <v>0</v>
      </c>
      <c r="P55" s="21" t="b">
        <f>_xlfn.XOR(ckCodingTable[[#This Row],[wmd]]&lt;&gt;"",IFERROR(FIND("9102",ckCodingTable[[#This Row],[propPRCs]])&gt;0,FALSE))</f>
        <v>0</v>
      </c>
      <c r="Q55" t="s">
        <v>1646</v>
      </c>
      <c r="R55" s="22">
        <v>43082.662939814814</v>
      </c>
      <c r="S55" s="108">
        <f>S54+(ckCodingTable[[#This Row],[ILN]]&lt;"M")</f>
        <v>54</v>
      </c>
      <c r="T55" s="21" t="s">
        <v>95</v>
      </c>
      <c r="U55" t="s">
        <v>1209</v>
      </c>
      <c r="V55" s="7" t="str">
        <f>HYPERLINK("https://www.ejacket.nsf.gov/ej/showProposal.do?ID="&amp;ckCodingTable[[#This Row],[prop_id]],"eJ")</f>
        <v>eJ</v>
      </c>
      <c r="W55" t="s">
        <v>478</v>
      </c>
      <c r="X55" t="s">
        <v>1209</v>
      </c>
      <c r="Y55" t="s">
        <v>1210</v>
      </c>
      <c r="Z55" t="s">
        <v>1651</v>
      </c>
      <c r="AA55" t="s">
        <v>1676</v>
      </c>
      <c r="AB55" s="111" t="str">
        <f>HYPERLINK("mailto:"&amp;ckCodingTable[[#This Row],[email]]&amp;"&amp;subject=Your NSF Proposal:  "&amp;ckCodingTable[[#This Row],[Div]]&amp;" "&amp;ckCodingTable[[#This Row],[prop_id]], ckCodingTable[[#This Row],[email]])</f>
        <v>hhvcs@rit.edu</v>
      </c>
      <c r="AC55" s="30">
        <v>43344</v>
      </c>
      <c r="AD55">
        <v>24</v>
      </c>
      <c r="AE55">
        <v>1</v>
      </c>
      <c r="AG55" s="112">
        <v>1</v>
      </c>
      <c r="AH55" t="s">
        <v>1677</v>
      </c>
      <c r="AI55" s="26">
        <v>5.666666666666667</v>
      </c>
      <c r="AJ55" s="22">
        <v>43059.231249999997</v>
      </c>
      <c r="AL55">
        <v>3</v>
      </c>
      <c r="AN55" s="112">
        <v>3</v>
      </c>
      <c r="AO55" s="112"/>
      <c r="AP55" s="112"/>
      <c r="AQ55" s="112"/>
      <c r="AR55" s="7" t="str">
        <f>HYPERLINK("https://www.ejacket.nsf.gov/ej/showProposal.do?ID="&amp;ckCodingTable[[#This Row],[prop_id]],"eJ")</f>
        <v>eJ</v>
      </c>
      <c r="AS55" t="s">
        <v>172</v>
      </c>
      <c r="AT55" t="s">
        <v>1678</v>
      </c>
      <c r="AU55" t="b">
        <f>IF(ckCodingTable[[#This Row],[ILN]]="N",SUBSTITUTE(AT54," ","")&lt;&gt;SUBSTITUTE(ckCodingTable[[#This Row],[prop_titl_txt]]," ",""), FALSE)</f>
        <v>0</v>
      </c>
      <c r="AV55">
        <v>0</v>
      </c>
      <c r="AW55" s="13">
        <v>173878</v>
      </c>
      <c r="AX55" s="13">
        <v>173878</v>
      </c>
      <c r="AY55" s="13"/>
      <c r="AZ55" s="13">
        <v>3000</v>
      </c>
      <c r="BA55" s="13"/>
      <c r="BB55" s="13"/>
      <c r="BC55">
        <v>2</v>
      </c>
      <c r="BH55">
        <v>0</v>
      </c>
      <c r="BI55">
        <v>0</v>
      </c>
      <c r="BJ55">
        <v>0</v>
      </c>
      <c r="BK55">
        <v>0</v>
      </c>
      <c r="BL55" t="s">
        <v>1679</v>
      </c>
    </row>
    <row r="56" spans="1:64" x14ac:dyDescent="0.4">
      <c r="A56" s="30"/>
      <c r="B56" s="30">
        <v>42956.678472222222</v>
      </c>
      <c r="C56" t="s">
        <v>1621</v>
      </c>
      <c r="D56" t="s">
        <v>477</v>
      </c>
      <c r="E56" t="s">
        <v>578</v>
      </c>
      <c r="F56" t="s">
        <v>171</v>
      </c>
      <c r="G56" t="s">
        <v>169</v>
      </c>
      <c r="H56" s="21" t="s">
        <v>94</v>
      </c>
      <c r="I56" s="86">
        <v>1</v>
      </c>
      <c r="J56" s="86">
        <v>0</v>
      </c>
      <c r="K56" t="s">
        <v>1630</v>
      </c>
      <c r="L56" t="s">
        <v>611</v>
      </c>
      <c r="M56" t="s">
        <v>306</v>
      </c>
      <c r="N56" t="str">
        <f>IF(SUM(ckCodingTable[[#This Row],[NfmlPIs]:[NnonWhtAsnPIs]])&gt;0,"WMD","")</f>
        <v/>
      </c>
      <c r="O56" t="b">
        <f>_xlfn.XOR(IFERROR(MATCH(ckCodingTable[[#This Row],[st_code]],EpscorTable[],0)&gt;0,FALSE),IFERROR(FIND("9150",ckCodingTable[[#This Row],[propPRCs]])&gt;0,FALSE))</f>
        <v>0</v>
      </c>
      <c r="P56" s="21" t="b">
        <f>_xlfn.XOR(ckCodingTable[[#This Row],[wmd]]&lt;&gt;"",IFERROR(FIND("9102",ckCodingTable[[#This Row],[propPRCs]])&gt;0,FALSE))</f>
        <v>0</v>
      </c>
      <c r="Q56" t="s">
        <v>1680</v>
      </c>
      <c r="S56" s="108">
        <f>S55+(ckCodingTable[[#This Row],[ILN]]&lt;"M")</f>
        <v>55</v>
      </c>
      <c r="T56" s="21" t="s">
        <v>95</v>
      </c>
      <c r="U56" t="s">
        <v>1217</v>
      </c>
      <c r="V56" s="7" t="str">
        <f>HYPERLINK("https://www.ejacket.nsf.gov/ej/showProposal.do?ID="&amp;ckCodingTable[[#This Row],[prop_id]],"eJ")</f>
        <v>eJ</v>
      </c>
      <c r="W56" t="s">
        <v>478</v>
      </c>
      <c r="X56" t="s">
        <v>1217</v>
      </c>
      <c r="Y56" t="s">
        <v>1218</v>
      </c>
      <c r="Z56" t="s">
        <v>1524</v>
      </c>
      <c r="AA56" t="s">
        <v>1477</v>
      </c>
      <c r="AB56" s="111" t="str">
        <f>HYPERLINK("mailto:"&amp;ckCodingTable[[#This Row],[email]]&amp;"&amp;subject=Your NSF Proposal:  "&amp;ckCodingTable[[#This Row],[Div]]&amp;" "&amp;ckCodingTable[[#This Row],[prop_id]], ckCodingTable[[#This Row],[email]])</f>
        <v>miforbes@illinois.edu</v>
      </c>
      <c r="AC56" s="30">
        <v>43101</v>
      </c>
      <c r="AD56">
        <v>24</v>
      </c>
      <c r="AE56">
        <v>1</v>
      </c>
      <c r="AG56" s="112">
        <v>1</v>
      </c>
      <c r="AH56" t="s">
        <v>1681</v>
      </c>
      <c r="AI56" s="26">
        <v>8.6666666666666661</v>
      </c>
      <c r="AJ56" s="22">
        <v>43060.395833333336</v>
      </c>
      <c r="AL56">
        <v>3</v>
      </c>
      <c r="AN56" s="112">
        <v>3</v>
      </c>
      <c r="AO56" s="112"/>
      <c r="AP56" s="112"/>
      <c r="AQ56" s="112"/>
      <c r="AR56" s="7" t="str">
        <f>HYPERLINK("https://www.ejacket.nsf.gov/ej/showProposal.do?ID="&amp;ckCodingTable[[#This Row],[prop_id]],"eJ")</f>
        <v>eJ</v>
      </c>
      <c r="AS56" t="s">
        <v>172</v>
      </c>
      <c r="AT56" t="s">
        <v>1682</v>
      </c>
      <c r="AU56" t="b">
        <f>IF(ckCodingTable[[#This Row],[ILN]]="N",SUBSTITUTE(AT55," ","")&lt;&gt;SUBSTITUTE(ckCodingTable[[#This Row],[prop_titl_txt]]," ",""), FALSE)</f>
        <v>0</v>
      </c>
      <c r="AV56">
        <v>0</v>
      </c>
      <c r="AW56" s="13">
        <v>175000</v>
      </c>
      <c r="AX56" s="13">
        <v>175000</v>
      </c>
      <c r="AY56" s="13"/>
      <c r="AZ56" s="13">
        <v>8737</v>
      </c>
      <c r="BA56" s="13"/>
      <c r="BB56" s="13"/>
      <c r="BC56">
        <v>2</v>
      </c>
      <c r="BH56">
        <v>0</v>
      </c>
      <c r="BI56">
        <v>0</v>
      </c>
      <c r="BJ56">
        <v>0</v>
      </c>
      <c r="BK56">
        <v>0</v>
      </c>
      <c r="BL56" t="s">
        <v>1683</v>
      </c>
    </row>
    <row r="57" spans="1:64" x14ac:dyDescent="0.4">
      <c r="A57" s="30"/>
      <c r="B57" s="30">
        <v>42956.695833333331</v>
      </c>
      <c r="C57" t="s">
        <v>1621</v>
      </c>
      <c r="D57" t="s">
        <v>477</v>
      </c>
      <c r="E57" t="s">
        <v>578</v>
      </c>
      <c r="F57" t="s">
        <v>171</v>
      </c>
      <c r="G57" t="s">
        <v>169</v>
      </c>
      <c r="H57" s="21" t="s">
        <v>94</v>
      </c>
      <c r="I57" s="86">
        <v>1</v>
      </c>
      <c r="J57" s="86">
        <v>0</v>
      </c>
      <c r="K57" t="s">
        <v>1630</v>
      </c>
      <c r="L57" t="s">
        <v>611</v>
      </c>
      <c r="M57" t="s">
        <v>562</v>
      </c>
      <c r="N57" t="str">
        <f>IF(SUM(ckCodingTable[[#This Row],[NfmlPIs]:[NnonWhtAsnPIs]])&gt;0,"WMD","")</f>
        <v>WMD</v>
      </c>
      <c r="O57" t="b">
        <f>_xlfn.XOR(IFERROR(MATCH(ckCodingTable[[#This Row],[st_code]],EpscorTable[],0)&gt;0,FALSE),IFERROR(FIND("9150",ckCodingTable[[#This Row],[propPRCs]])&gt;0,FALSE))</f>
        <v>0</v>
      </c>
      <c r="P57" s="21" t="b">
        <f>_xlfn.XOR(ckCodingTable[[#This Row],[wmd]]&lt;&gt;"",IFERROR(FIND("9102",ckCodingTable[[#This Row],[propPRCs]])&gt;0,FALSE))</f>
        <v>1</v>
      </c>
      <c r="Q57" t="s">
        <v>1646</v>
      </c>
      <c r="R57" s="22">
        <v>43082.66300925926</v>
      </c>
      <c r="S57" s="108">
        <f>S56+(ckCodingTable[[#This Row],[ILN]]&lt;"M")</f>
        <v>56</v>
      </c>
      <c r="T57" s="21" t="s">
        <v>95</v>
      </c>
      <c r="U57" t="s">
        <v>1224</v>
      </c>
      <c r="V57" s="7" t="str">
        <f>HYPERLINK("https://www.ejacket.nsf.gov/ej/showProposal.do?ID="&amp;ckCodingTable[[#This Row],[prop_id]],"eJ")</f>
        <v>eJ</v>
      </c>
      <c r="W57" t="s">
        <v>478</v>
      </c>
      <c r="X57" t="s">
        <v>1224</v>
      </c>
      <c r="Y57" t="s">
        <v>1225</v>
      </c>
      <c r="Z57" t="s">
        <v>1684</v>
      </c>
      <c r="AA57" t="s">
        <v>1685</v>
      </c>
      <c r="AB57" s="111" t="str">
        <f>HYPERLINK("mailto:"&amp;ckCodingTable[[#This Row],[email]]&amp;"&amp;subject=Your NSF Proposal:  "&amp;ckCodingTable[[#This Row],[Div]]&amp;" "&amp;ckCodingTable[[#This Row],[prop_id]], ckCodingTable[[#This Row],[email]])</f>
        <v>adres@asu.edu</v>
      </c>
      <c r="AC57" s="30">
        <v>43328</v>
      </c>
      <c r="AD57">
        <v>24</v>
      </c>
      <c r="AE57">
        <v>1</v>
      </c>
      <c r="AG57" s="112">
        <v>1</v>
      </c>
      <c r="AH57" t="s">
        <v>1686</v>
      </c>
      <c r="AI57" s="26">
        <v>5</v>
      </c>
      <c r="AJ57" s="22">
        <v>43058.972916666666</v>
      </c>
      <c r="AL57">
        <v>3</v>
      </c>
      <c r="AN57" s="112">
        <v>3</v>
      </c>
      <c r="AO57" s="112"/>
      <c r="AP57" s="112"/>
      <c r="AQ57" s="112"/>
      <c r="AR57" s="7" t="str">
        <f>HYPERLINK("https://www.ejacket.nsf.gov/ej/showProposal.do?ID="&amp;ckCodingTable[[#This Row],[prop_id]],"eJ")</f>
        <v>eJ</v>
      </c>
      <c r="AS57" t="s">
        <v>172</v>
      </c>
      <c r="AT57" t="s">
        <v>1687</v>
      </c>
      <c r="AU57" t="b">
        <f>IF(ckCodingTable[[#This Row],[ILN]]="N",SUBSTITUTE(AT56," ","")&lt;&gt;SUBSTITUTE(ckCodingTable[[#This Row],[prop_titl_txt]]," ",""), FALSE)</f>
        <v>0</v>
      </c>
      <c r="AV57">
        <v>0</v>
      </c>
      <c r="AW57" s="13">
        <v>175000</v>
      </c>
      <c r="AX57" s="13">
        <v>175000</v>
      </c>
      <c r="AY57" s="13"/>
      <c r="AZ57" s="13">
        <v>6581</v>
      </c>
      <c r="BA57" s="13"/>
      <c r="BB57" s="13"/>
      <c r="BC57">
        <v>3</v>
      </c>
      <c r="BH57">
        <v>0</v>
      </c>
      <c r="BI57">
        <v>1</v>
      </c>
      <c r="BJ57">
        <v>1</v>
      </c>
      <c r="BK57">
        <v>0</v>
      </c>
      <c r="BL57" t="s">
        <v>1688</v>
      </c>
    </row>
    <row r="58" spans="1:64" x14ac:dyDescent="0.4">
      <c r="A58" s="30"/>
      <c r="B58" s="30">
        <v>42956.697222222225</v>
      </c>
      <c r="C58" t="s">
        <v>1621</v>
      </c>
      <c r="D58" t="s">
        <v>477</v>
      </c>
      <c r="E58" t="s">
        <v>578</v>
      </c>
      <c r="F58" t="s">
        <v>171</v>
      </c>
      <c r="G58" t="s">
        <v>169</v>
      </c>
      <c r="H58" s="21" t="s">
        <v>94</v>
      </c>
      <c r="I58" s="86">
        <v>1</v>
      </c>
      <c r="J58" s="86">
        <v>0</v>
      </c>
      <c r="K58" t="s">
        <v>1630</v>
      </c>
      <c r="L58" t="s">
        <v>604</v>
      </c>
      <c r="M58" t="s">
        <v>310</v>
      </c>
      <c r="N58" t="str">
        <f>IF(SUM(ckCodingTable[[#This Row],[NfmlPIs]:[NnonWhtAsnPIs]])&gt;0,"WMD","")</f>
        <v>WMD</v>
      </c>
      <c r="O58" t="b">
        <f>_xlfn.XOR(IFERROR(MATCH(ckCodingTable[[#This Row],[st_code]],EpscorTable[],0)&gt;0,FALSE),IFERROR(FIND("9150",ckCodingTable[[#This Row],[propPRCs]])&gt;0,FALSE))</f>
        <v>0</v>
      </c>
      <c r="P58" s="21" t="b">
        <f>_xlfn.XOR(ckCodingTable[[#This Row],[wmd]]&lt;&gt;"",IFERROR(FIND("9102",ckCodingTable[[#This Row],[propPRCs]])&gt;0,FALSE))</f>
        <v>1</v>
      </c>
      <c r="Q58" t="s">
        <v>1665</v>
      </c>
      <c r="R58" s="22">
        <v>43076.608877314815</v>
      </c>
      <c r="S58" s="108">
        <f>S57+(ckCodingTable[[#This Row],[ILN]]&lt;"M")</f>
        <v>57</v>
      </c>
      <c r="T58" s="21" t="s">
        <v>95</v>
      </c>
      <c r="U58" t="s">
        <v>1232</v>
      </c>
      <c r="V58" s="7" t="str">
        <f>HYPERLINK("https://www.ejacket.nsf.gov/ej/showProposal.do?ID="&amp;ckCodingTable[[#This Row],[prop_id]],"eJ")</f>
        <v>eJ</v>
      </c>
      <c r="W58" t="s">
        <v>478</v>
      </c>
      <c r="X58" t="s">
        <v>1232</v>
      </c>
      <c r="Y58" t="s">
        <v>1233</v>
      </c>
      <c r="Z58" t="s">
        <v>1689</v>
      </c>
      <c r="AA58" t="s">
        <v>1690</v>
      </c>
      <c r="AB58" s="111" t="str">
        <f>HYPERLINK("mailto:"&amp;ckCodingTable[[#This Row],[email]]&amp;"&amp;subject=Your NSF Proposal:  "&amp;ckCodingTable[[#This Row],[Div]]&amp;" "&amp;ckCodingTable[[#This Row],[prop_id]], ckCodingTable[[#This Row],[email]])</f>
        <v>shima.hm@tamu.edu</v>
      </c>
      <c r="AC58" s="30">
        <v>43252</v>
      </c>
      <c r="AD58">
        <v>24</v>
      </c>
      <c r="AE58">
        <v>1</v>
      </c>
      <c r="AG58" s="112">
        <v>1</v>
      </c>
      <c r="AH58" t="s">
        <v>1691</v>
      </c>
      <c r="AI58" s="26">
        <v>5.333333333333333</v>
      </c>
      <c r="AJ58" s="22">
        <v>43032.675694444442</v>
      </c>
      <c r="AL58">
        <v>3</v>
      </c>
      <c r="AN58" s="112">
        <v>3</v>
      </c>
      <c r="AO58" s="112"/>
      <c r="AP58" s="112"/>
      <c r="AQ58" s="112"/>
      <c r="AR58" s="7" t="str">
        <f>HYPERLINK("https://www.ejacket.nsf.gov/ej/showProposal.do?ID="&amp;ckCodingTable[[#This Row],[prop_id]],"eJ")</f>
        <v>eJ</v>
      </c>
      <c r="AS58" t="s">
        <v>172</v>
      </c>
      <c r="AT58" t="s">
        <v>1692</v>
      </c>
      <c r="AU58" t="b">
        <f>IF(ckCodingTable[[#This Row],[ILN]]="N",SUBSTITUTE(AT57," ","")&lt;&gt;SUBSTITUTE(ckCodingTable[[#This Row],[prop_titl_txt]]," ",""), FALSE)</f>
        <v>0</v>
      </c>
      <c r="AV58">
        <v>0</v>
      </c>
      <c r="AW58" s="13">
        <v>175000</v>
      </c>
      <c r="AX58" s="13">
        <v>175000</v>
      </c>
      <c r="AY58" s="13"/>
      <c r="AZ58" s="13"/>
      <c r="BA58" s="13"/>
      <c r="BB58" s="13"/>
      <c r="BC58">
        <v>4</v>
      </c>
      <c r="BH58">
        <v>2</v>
      </c>
      <c r="BI58">
        <v>0</v>
      </c>
      <c r="BJ58">
        <v>0</v>
      </c>
      <c r="BK58">
        <v>0</v>
      </c>
      <c r="BL58" t="s">
        <v>1693</v>
      </c>
    </row>
    <row r="59" spans="1:64" x14ac:dyDescent="0.4">
      <c r="A59" s="30"/>
      <c r="B59" s="30">
        <v>42956.697916666664</v>
      </c>
      <c r="C59" t="s">
        <v>1621</v>
      </c>
      <c r="D59" t="s">
        <v>477</v>
      </c>
      <c r="E59" t="s">
        <v>578</v>
      </c>
      <c r="F59" t="s">
        <v>171</v>
      </c>
      <c r="G59" t="s">
        <v>169</v>
      </c>
      <c r="H59" s="21" t="s">
        <v>94</v>
      </c>
      <c r="I59" s="86">
        <v>1</v>
      </c>
      <c r="J59" s="86">
        <v>0</v>
      </c>
      <c r="K59" t="s">
        <v>1630</v>
      </c>
      <c r="L59" t="s">
        <v>611</v>
      </c>
      <c r="M59" t="s">
        <v>496</v>
      </c>
      <c r="N59" t="str">
        <f>IF(SUM(ckCodingTable[[#This Row],[NfmlPIs]:[NnonWhtAsnPIs]])&gt;0,"WMD","")</f>
        <v/>
      </c>
      <c r="O59" t="b">
        <f>_xlfn.XOR(IFERROR(MATCH(ckCodingTable[[#This Row],[st_code]],EpscorTable[],0)&gt;0,FALSE),IFERROR(FIND("9150",ckCodingTable[[#This Row],[propPRCs]])&gt;0,FALSE))</f>
        <v>0</v>
      </c>
      <c r="P59" s="21" t="b">
        <f>_xlfn.XOR(ckCodingTable[[#This Row],[wmd]]&lt;&gt;"",IFERROR(FIND("9102",ckCodingTable[[#This Row],[propPRCs]])&gt;0,FALSE))</f>
        <v>0</v>
      </c>
      <c r="Q59" t="s">
        <v>1646</v>
      </c>
      <c r="S59" s="108">
        <f>S58+(ckCodingTable[[#This Row],[ILN]]&lt;"M")</f>
        <v>58</v>
      </c>
      <c r="T59" s="21" t="s">
        <v>95</v>
      </c>
      <c r="U59" t="s">
        <v>1241</v>
      </c>
      <c r="V59" s="7" t="str">
        <f>HYPERLINK("https://www.ejacket.nsf.gov/ej/showProposal.do?ID="&amp;ckCodingTable[[#This Row],[prop_id]],"eJ")</f>
        <v>eJ</v>
      </c>
      <c r="W59" t="s">
        <v>478</v>
      </c>
      <c r="X59" t="s">
        <v>1241</v>
      </c>
      <c r="Y59" t="s">
        <v>1031</v>
      </c>
      <c r="Z59" t="s">
        <v>1593</v>
      </c>
      <c r="AA59" t="s">
        <v>1594</v>
      </c>
      <c r="AB59" s="111" t="str">
        <f>HYPERLINK("mailto:"&amp;ckCodingTable[[#This Row],[email]]&amp;"&amp;subject=Your NSF Proposal:  "&amp;ckCodingTable[[#This Row],[Div]]&amp;" "&amp;ckCodingTable[[#This Row],[prop_id]], ckCodingTable[[#This Row],[email]])</f>
        <v>gkatz@drexel.edu</v>
      </c>
      <c r="AC59" s="30">
        <v>43132</v>
      </c>
      <c r="AD59">
        <v>24</v>
      </c>
      <c r="AE59">
        <v>1</v>
      </c>
      <c r="AG59" s="112">
        <v>1</v>
      </c>
      <c r="AH59" t="s">
        <v>1657</v>
      </c>
      <c r="AI59" s="26">
        <v>7</v>
      </c>
      <c r="AJ59" s="22">
        <v>43060.397916666669</v>
      </c>
      <c r="AL59">
        <v>3</v>
      </c>
      <c r="AN59" s="112">
        <v>3</v>
      </c>
      <c r="AO59" s="112"/>
      <c r="AP59" s="112"/>
      <c r="AQ59" s="112"/>
      <c r="AR59" s="7" t="str">
        <f>HYPERLINK("https://www.ejacket.nsf.gov/ej/showProposal.do?ID="&amp;ckCodingTable[[#This Row],[prop_id]],"eJ")</f>
        <v>eJ</v>
      </c>
      <c r="AS59" t="s">
        <v>172</v>
      </c>
      <c r="AT59" t="s">
        <v>1694</v>
      </c>
      <c r="AU59" t="b">
        <f>IF(ckCodingTable[[#This Row],[ILN]]="N",SUBSTITUTE(AT58," ","")&lt;&gt;SUBSTITUTE(ckCodingTable[[#This Row],[prop_titl_txt]]," ",""), FALSE)</f>
        <v>0</v>
      </c>
      <c r="AV59">
        <v>0</v>
      </c>
      <c r="AW59" s="13">
        <v>174930</v>
      </c>
      <c r="AX59" s="13">
        <v>174930</v>
      </c>
      <c r="AY59" s="13"/>
      <c r="AZ59" s="13">
        <v>9000</v>
      </c>
      <c r="BA59" s="13"/>
      <c r="BB59" s="13"/>
      <c r="BC59">
        <v>2</v>
      </c>
      <c r="BH59">
        <v>0</v>
      </c>
      <c r="BI59">
        <v>0</v>
      </c>
      <c r="BJ59">
        <v>0</v>
      </c>
      <c r="BK59">
        <v>0</v>
      </c>
      <c r="BL59" t="s">
        <v>1288</v>
      </c>
    </row>
    <row r="60" spans="1:64" x14ac:dyDescent="0.4">
      <c r="A60" s="30"/>
      <c r="B60" s="30">
        <v>42956.717361111114</v>
      </c>
      <c r="C60" t="s">
        <v>1621</v>
      </c>
      <c r="D60" t="s">
        <v>477</v>
      </c>
      <c r="E60" t="s">
        <v>578</v>
      </c>
      <c r="F60" t="s">
        <v>171</v>
      </c>
      <c r="G60" t="s">
        <v>169</v>
      </c>
      <c r="H60" s="21" t="s">
        <v>94</v>
      </c>
      <c r="I60" s="86">
        <v>1</v>
      </c>
      <c r="J60" s="86">
        <v>0</v>
      </c>
      <c r="K60" t="s">
        <v>1630</v>
      </c>
      <c r="L60" t="s">
        <v>604</v>
      </c>
      <c r="M60" t="s">
        <v>310</v>
      </c>
      <c r="N60" t="str">
        <f>IF(SUM(ckCodingTable[[#This Row],[NfmlPIs]:[NnonWhtAsnPIs]])&gt;0,"WMD","")</f>
        <v/>
      </c>
      <c r="O60" t="b">
        <f>_xlfn.XOR(IFERROR(MATCH(ckCodingTable[[#This Row],[st_code]],EpscorTable[],0)&gt;0,FALSE),IFERROR(FIND("9150",ckCodingTable[[#This Row],[propPRCs]])&gt;0,FALSE))</f>
        <v>0</v>
      </c>
      <c r="P60" s="21" t="b">
        <f>_xlfn.XOR(ckCodingTable[[#This Row],[wmd]]&lt;&gt;"",IFERROR(FIND("9102",ckCodingTable[[#This Row],[propPRCs]])&gt;0,FALSE))</f>
        <v>0</v>
      </c>
      <c r="Q60" t="s">
        <v>598</v>
      </c>
      <c r="R60" s="22">
        <v>43076.608923611115</v>
      </c>
      <c r="S60" s="108">
        <f>S59+(ckCodingTable[[#This Row],[ILN]]&lt;"M")</f>
        <v>59</v>
      </c>
      <c r="T60" s="21" t="s">
        <v>95</v>
      </c>
      <c r="U60" t="s">
        <v>1247</v>
      </c>
      <c r="V60" s="7" t="str">
        <f>HYPERLINK("https://www.ejacket.nsf.gov/ej/showProposal.do?ID="&amp;ckCodingTable[[#This Row],[prop_id]],"eJ")</f>
        <v>eJ</v>
      </c>
      <c r="W60" t="s">
        <v>478</v>
      </c>
      <c r="X60" t="s">
        <v>1247</v>
      </c>
      <c r="Y60" t="s">
        <v>1248</v>
      </c>
      <c r="Z60" t="s">
        <v>1695</v>
      </c>
      <c r="AA60" t="s">
        <v>1696</v>
      </c>
      <c r="AB60" s="111" t="str">
        <f>HYPERLINK("mailto:"&amp;ckCodingTable[[#This Row],[email]]&amp;"&amp;subject=Your NSF Proposal:  "&amp;ckCodingTable[[#This Row],[Div]]&amp;" "&amp;ckCodingTable[[#This Row],[prop_id]], ckCodingTable[[#This Row],[email]])</f>
        <v>harsha@smu.edu</v>
      </c>
      <c r="AC60" s="30">
        <v>43101</v>
      </c>
      <c r="AD60">
        <v>24</v>
      </c>
      <c r="AE60">
        <v>1</v>
      </c>
      <c r="AG60" s="112">
        <v>1</v>
      </c>
      <c r="AH60" t="s">
        <v>1697</v>
      </c>
      <c r="AI60" s="26">
        <v>4.666666666666667</v>
      </c>
      <c r="AJ60" s="22">
        <v>43031.75</v>
      </c>
      <c r="AL60">
        <v>3</v>
      </c>
      <c r="AN60" s="112">
        <v>3</v>
      </c>
      <c r="AO60" s="112"/>
      <c r="AP60" s="112"/>
      <c r="AQ60" s="112"/>
      <c r="AR60" s="7" t="str">
        <f>HYPERLINK("https://www.ejacket.nsf.gov/ej/showProposal.do?ID="&amp;ckCodingTable[[#This Row],[prop_id]],"eJ")</f>
        <v>eJ</v>
      </c>
      <c r="AS60" t="s">
        <v>172</v>
      </c>
      <c r="AT60" t="s">
        <v>1698</v>
      </c>
      <c r="AU60" t="b">
        <f>IF(ckCodingTable[[#This Row],[ILN]]="N",SUBSTITUTE(AT59," ","")&lt;&gt;SUBSTITUTE(ckCodingTable[[#This Row],[prop_titl_txt]]," ",""), FALSE)</f>
        <v>0</v>
      </c>
      <c r="AV60">
        <v>0</v>
      </c>
      <c r="AW60" s="13">
        <v>175000</v>
      </c>
      <c r="AX60" s="13">
        <v>175000</v>
      </c>
      <c r="AY60" s="13"/>
      <c r="AZ60" s="13"/>
      <c r="BA60" s="13"/>
      <c r="BB60" s="13"/>
      <c r="BC60">
        <v>4</v>
      </c>
      <c r="BH60">
        <v>0</v>
      </c>
      <c r="BI60">
        <v>0</v>
      </c>
      <c r="BJ60">
        <v>0</v>
      </c>
      <c r="BK60">
        <v>0</v>
      </c>
      <c r="BL60" t="s">
        <v>1699</v>
      </c>
    </row>
    <row r="61" spans="1:64" x14ac:dyDescent="0.4">
      <c r="A61" s="30"/>
      <c r="B61" s="30">
        <v>42956.746527777781</v>
      </c>
      <c r="C61" t="s">
        <v>1621</v>
      </c>
      <c r="D61" t="s">
        <v>477</v>
      </c>
      <c r="E61" t="s">
        <v>578</v>
      </c>
      <c r="F61" t="s">
        <v>171</v>
      </c>
      <c r="G61" t="s">
        <v>169</v>
      </c>
      <c r="H61" s="21" t="s">
        <v>94</v>
      </c>
      <c r="I61" s="86">
        <v>1</v>
      </c>
      <c r="J61" s="86">
        <v>0</v>
      </c>
      <c r="K61" t="s">
        <v>1630</v>
      </c>
      <c r="L61" t="s">
        <v>654</v>
      </c>
      <c r="M61" t="s">
        <v>310</v>
      </c>
      <c r="N61" t="str">
        <f>IF(SUM(ckCodingTable[[#This Row],[NfmlPIs]:[NnonWhtAsnPIs]])&gt;0,"WMD","")</f>
        <v/>
      </c>
      <c r="O61" t="b">
        <f>_xlfn.XOR(IFERROR(MATCH(ckCodingTable[[#This Row],[st_code]],EpscorTable[],0)&gt;0,FALSE),IFERROR(FIND("9150",ckCodingTable[[#This Row],[propPRCs]])&gt;0,FALSE))</f>
        <v>0</v>
      </c>
      <c r="P61" s="21" t="b">
        <f>_xlfn.XOR(ckCodingTable[[#This Row],[wmd]]&lt;&gt;"",IFERROR(FIND("9102",ckCodingTable[[#This Row],[propPRCs]])&gt;0,FALSE))</f>
        <v>0</v>
      </c>
      <c r="Q61" t="s">
        <v>1631</v>
      </c>
      <c r="S61" s="108">
        <f>S60+(ckCodingTable[[#This Row],[ILN]]&lt;"M")</f>
        <v>60</v>
      </c>
      <c r="T61" s="21" t="s">
        <v>95</v>
      </c>
      <c r="U61" t="s">
        <v>1255</v>
      </c>
      <c r="V61" s="7" t="str">
        <f>HYPERLINK("https://www.ejacket.nsf.gov/ej/showProposal.do?ID="&amp;ckCodingTable[[#This Row],[prop_id]],"eJ")</f>
        <v>eJ</v>
      </c>
      <c r="W61" t="s">
        <v>478</v>
      </c>
      <c r="X61" t="s">
        <v>1255</v>
      </c>
      <c r="Y61" t="s">
        <v>750</v>
      </c>
      <c r="Z61" t="s">
        <v>1700</v>
      </c>
      <c r="AA61" t="s">
        <v>1701</v>
      </c>
      <c r="AB61" s="111" t="str">
        <f>HYPERLINK("mailto:"&amp;ckCodingTable[[#This Row],[email]]&amp;"&amp;subject=Your NSF Proposal:  "&amp;ckCodingTable[[#This Row],[Div]]&amp;" "&amp;ckCodingTable[[#This Row],[prop_id]], ckCodingTable[[#This Row],[email]])</f>
        <v>lchen49@central.uh.edu</v>
      </c>
      <c r="AC61" s="30">
        <v>43252</v>
      </c>
      <c r="AD61">
        <v>24</v>
      </c>
      <c r="AE61">
        <v>1</v>
      </c>
      <c r="AG61" s="112">
        <v>1</v>
      </c>
      <c r="AH61" t="s">
        <v>1643</v>
      </c>
      <c r="AI61" s="26">
        <v>6</v>
      </c>
      <c r="AJ61" s="22">
        <v>43031.734027777777</v>
      </c>
      <c r="AL61">
        <v>3</v>
      </c>
      <c r="AN61" s="112">
        <v>3</v>
      </c>
      <c r="AO61" s="112"/>
      <c r="AP61" s="112"/>
      <c r="AQ61" s="112"/>
      <c r="AR61" s="7" t="str">
        <f>HYPERLINK("https://www.ejacket.nsf.gov/ej/showProposal.do?ID="&amp;ckCodingTable[[#This Row],[prop_id]],"eJ")</f>
        <v>eJ</v>
      </c>
      <c r="AS61" t="s">
        <v>172</v>
      </c>
      <c r="AT61" t="s">
        <v>1702</v>
      </c>
      <c r="AU61" t="b">
        <f>IF(ckCodingTable[[#This Row],[ILN]]="N",SUBSTITUTE(AT60," ","")&lt;&gt;SUBSTITUTE(ckCodingTable[[#This Row],[prop_titl_txt]]," ",""), FALSE)</f>
        <v>0</v>
      </c>
      <c r="AV61">
        <v>0</v>
      </c>
      <c r="AW61" s="13">
        <v>148477</v>
      </c>
      <c r="AX61" s="13">
        <v>148477</v>
      </c>
      <c r="AY61" s="13"/>
      <c r="AZ61" s="13">
        <v>7000</v>
      </c>
      <c r="BA61" s="13"/>
      <c r="BB61" s="13"/>
      <c r="BC61">
        <v>3</v>
      </c>
      <c r="BH61">
        <v>0</v>
      </c>
      <c r="BI61">
        <v>0</v>
      </c>
      <c r="BJ61">
        <v>0</v>
      </c>
      <c r="BK61">
        <v>0</v>
      </c>
      <c r="BL61" t="s">
        <v>1703</v>
      </c>
    </row>
    <row r="62" spans="1:64" x14ac:dyDescent="0.4">
      <c r="A62" s="30"/>
      <c r="B62" s="30">
        <v>43003.681944444441</v>
      </c>
      <c r="C62" t="s">
        <v>524</v>
      </c>
      <c r="D62" t="s">
        <v>477</v>
      </c>
      <c r="E62" t="s">
        <v>582</v>
      </c>
      <c r="F62" t="s">
        <v>171</v>
      </c>
      <c r="G62" t="s">
        <v>169</v>
      </c>
      <c r="H62" s="21" t="s">
        <v>94</v>
      </c>
      <c r="I62" s="86">
        <v>1</v>
      </c>
      <c r="J62" s="86">
        <v>0</v>
      </c>
      <c r="K62" t="s">
        <v>525</v>
      </c>
      <c r="L62" t="s">
        <v>611</v>
      </c>
      <c r="M62" t="s">
        <v>496</v>
      </c>
      <c r="N62" t="str">
        <f>IF(SUM(ckCodingTable[[#This Row],[NfmlPIs]:[NnonWhtAsnPIs]])&gt;0,"WMD","")</f>
        <v/>
      </c>
      <c r="O62" t="b">
        <f>_xlfn.XOR(IFERROR(MATCH(ckCodingTable[[#This Row],[st_code]],EpscorTable[],0)&gt;0,FALSE),IFERROR(FIND("9150",ckCodingTable[[#This Row],[propPRCs]])&gt;0,FALSE))</f>
        <v>0</v>
      </c>
      <c r="P62" s="21" t="b">
        <f>_xlfn.XOR(ckCodingTable[[#This Row],[wmd]]&lt;&gt;"",IFERROR(FIND("9102",ckCodingTable[[#This Row],[propPRCs]])&gt;0,FALSE))</f>
        <v>0</v>
      </c>
      <c r="Q62" t="s">
        <v>1704</v>
      </c>
      <c r="S62" s="108">
        <f>S61+(ckCodingTable[[#This Row],[ILN]]&lt;"M")</f>
        <v>61</v>
      </c>
      <c r="T62" s="21" t="s">
        <v>491</v>
      </c>
      <c r="U62" t="s">
        <v>1260</v>
      </c>
      <c r="V62" s="7" t="str">
        <f>HYPERLINK("https://www.ejacket.nsf.gov/ej/showProposal.do?ID="&amp;ckCodingTable[[#This Row],[prop_id]],"eJ")</f>
        <v>eJ</v>
      </c>
      <c r="W62" t="s">
        <v>478</v>
      </c>
      <c r="X62" t="s">
        <v>1260</v>
      </c>
      <c r="Y62" t="s">
        <v>1261</v>
      </c>
      <c r="Z62" t="s">
        <v>1705</v>
      </c>
      <c r="AA62" t="s">
        <v>497</v>
      </c>
      <c r="AB62" s="111" t="str">
        <f>HYPERLINK("mailto:"&amp;ckCodingTable[[#This Row],[email]]&amp;"&amp;subject=Your NSF Proposal:  "&amp;ckCodingTable[[#This Row],[Div]]&amp;" "&amp;ckCodingTable[[#This Row],[prop_id]], ckCodingTable[[#This Row],[email]])</f>
        <v>anupamg@cs.cmu.edu</v>
      </c>
      <c r="AC62" s="30">
        <v>43344</v>
      </c>
      <c r="AD62">
        <v>48</v>
      </c>
      <c r="AE62">
        <v>1</v>
      </c>
      <c r="AG62" s="112">
        <v>1</v>
      </c>
      <c r="AH62" t="s">
        <v>526</v>
      </c>
      <c r="AI62" s="26">
        <v>6.25</v>
      </c>
      <c r="AJ62" s="22">
        <v>43080.080555555556</v>
      </c>
      <c r="AL62">
        <v>4</v>
      </c>
      <c r="AN62" s="112">
        <v>4</v>
      </c>
      <c r="AO62" s="112"/>
      <c r="AP62" s="112"/>
      <c r="AQ62" s="112"/>
      <c r="AR62" s="7" t="str">
        <f>HYPERLINK("https://www.ejacket.nsf.gov/ej/showProposal.do?ID="&amp;ckCodingTable[[#This Row],[prop_id]],"eJ")</f>
        <v>eJ</v>
      </c>
      <c r="AS62" t="s">
        <v>172</v>
      </c>
      <c r="AT62" t="s">
        <v>1706</v>
      </c>
      <c r="AU62" t="b">
        <f>IF(ckCodingTable[[#This Row],[ILN]]="N",SUBSTITUTE(AT61," ","")&lt;&gt;SUBSTITUTE(ckCodingTable[[#This Row],[prop_titl_txt]]," ",""), FALSE)</f>
        <v>0</v>
      </c>
      <c r="AV62">
        <v>0</v>
      </c>
      <c r="AW62" s="13">
        <v>600000</v>
      </c>
      <c r="AX62" s="13">
        <v>600000</v>
      </c>
      <c r="AY62" s="13"/>
      <c r="AZ62" s="13"/>
      <c r="BA62" s="13"/>
      <c r="BB62" s="13"/>
      <c r="BC62">
        <v>4</v>
      </c>
      <c r="BD62">
        <v>4</v>
      </c>
      <c r="BE62">
        <v>4</v>
      </c>
      <c r="BH62">
        <v>0</v>
      </c>
      <c r="BI62">
        <v>0</v>
      </c>
      <c r="BJ62">
        <v>0</v>
      </c>
      <c r="BK62">
        <v>0</v>
      </c>
      <c r="BL62" t="s">
        <v>1707</v>
      </c>
    </row>
    <row r="63" spans="1:64" x14ac:dyDescent="0.4">
      <c r="A63" s="30"/>
      <c r="B63" s="30">
        <v>43004.43472222222</v>
      </c>
      <c r="C63" t="s">
        <v>524</v>
      </c>
      <c r="D63" t="s">
        <v>477</v>
      </c>
      <c r="E63" t="s">
        <v>582</v>
      </c>
      <c r="F63" t="s">
        <v>171</v>
      </c>
      <c r="G63" t="s">
        <v>169</v>
      </c>
      <c r="H63" s="21" t="s">
        <v>94</v>
      </c>
      <c r="I63" s="86">
        <v>1</v>
      </c>
      <c r="J63" s="86">
        <v>0</v>
      </c>
      <c r="K63" t="s">
        <v>525</v>
      </c>
      <c r="L63" t="s">
        <v>611</v>
      </c>
      <c r="M63" t="s">
        <v>308</v>
      </c>
      <c r="N63" t="str">
        <f>IF(SUM(ckCodingTable[[#This Row],[NfmlPIs]:[NnonWhtAsnPIs]])&gt;0,"WMD","")</f>
        <v/>
      </c>
      <c r="O63" t="b">
        <f>_xlfn.XOR(IFERROR(MATCH(ckCodingTable[[#This Row],[st_code]],EpscorTable[],0)&gt;0,FALSE),IFERROR(FIND("9150",ckCodingTable[[#This Row],[propPRCs]])&gt;0,FALSE))</f>
        <v>0</v>
      </c>
      <c r="P63" s="21" t="b">
        <f>_xlfn.XOR(ckCodingTable[[#This Row],[wmd]]&lt;&gt;"",IFERROR(FIND("9102",ckCodingTable[[#This Row],[propPRCs]])&gt;0,FALSE))</f>
        <v>0</v>
      </c>
      <c r="Q63" t="s">
        <v>1704</v>
      </c>
      <c r="S63" s="108">
        <f>S62+(ckCodingTable[[#This Row],[ILN]]&lt;"M")</f>
        <v>61</v>
      </c>
      <c r="T63" s="21" t="s">
        <v>493</v>
      </c>
      <c r="U63" t="s">
        <v>1260</v>
      </c>
      <c r="V63" s="7" t="str">
        <f>HYPERLINK("https://www.ejacket.nsf.gov/ej/showProposal.do?ID="&amp;ckCodingTable[[#This Row],[prop_id]],"eJ")</f>
        <v>eJ</v>
      </c>
      <c r="W63" t="s">
        <v>478</v>
      </c>
      <c r="X63" t="s">
        <v>1708</v>
      </c>
      <c r="Y63" t="s">
        <v>844</v>
      </c>
      <c r="Z63" t="s">
        <v>1516</v>
      </c>
      <c r="AA63" t="s">
        <v>307</v>
      </c>
      <c r="AB63" s="111" t="str">
        <f>HYPERLINK("mailto:"&amp;ckCodingTable[[#This Row],[email]]&amp;"&amp;subject=Your NSF Proposal:  "&amp;ckCodingTable[[#This Row],[Div]]&amp;" "&amp;ckCodingTable[[#This Row],[prop_id]], ckCodingTable[[#This Row],[email]])</f>
        <v>viswa@umich.edu</v>
      </c>
      <c r="AC63" s="30">
        <v>43344</v>
      </c>
      <c r="AD63">
        <v>48</v>
      </c>
      <c r="AG63" s="112"/>
      <c r="AI63" s="26"/>
      <c r="AJ63" s="22"/>
      <c r="AN63" s="112"/>
      <c r="AO63" s="112"/>
      <c r="AP63" s="112"/>
      <c r="AQ63" s="112"/>
      <c r="AR63" s="7" t="str">
        <f>HYPERLINK("https://www.ejacket.nsf.gov/ej/showProposal.do?ID="&amp;ckCodingTable[[#This Row],[prop_id]],"eJ")</f>
        <v>eJ</v>
      </c>
      <c r="AS63" t="s">
        <v>172</v>
      </c>
      <c r="AT63" t="s">
        <v>1706</v>
      </c>
      <c r="AU63" t="b">
        <f>IF(ckCodingTable[[#This Row],[ILN]]="N",SUBSTITUTE(AT62," ","")&lt;&gt;SUBSTITUTE(ckCodingTable[[#This Row],[prop_titl_txt]]," ",""), FALSE)</f>
        <v>0</v>
      </c>
      <c r="AV63">
        <v>0</v>
      </c>
      <c r="AW63" s="13">
        <v>599999</v>
      </c>
      <c r="AX63" s="13">
        <v>599999</v>
      </c>
      <c r="AY63" s="13"/>
      <c r="AZ63" s="13"/>
      <c r="BA63" s="13"/>
      <c r="BB63" s="13"/>
      <c r="BC63">
        <v>7</v>
      </c>
      <c r="BD63">
        <v>4</v>
      </c>
      <c r="BG63">
        <v>4</v>
      </c>
      <c r="BH63">
        <v>0</v>
      </c>
      <c r="BI63">
        <v>0</v>
      </c>
      <c r="BJ63">
        <v>0</v>
      </c>
      <c r="BK63">
        <v>0</v>
      </c>
      <c r="BL63" t="s">
        <v>1518</v>
      </c>
    </row>
    <row r="64" spans="1:64" x14ac:dyDescent="0.4">
      <c r="A64" s="30"/>
      <c r="B64" s="30">
        <v>43003.736805555556</v>
      </c>
      <c r="C64" t="s">
        <v>524</v>
      </c>
      <c r="D64" t="s">
        <v>477</v>
      </c>
      <c r="E64" t="s">
        <v>582</v>
      </c>
      <c r="F64" t="s">
        <v>171</v>
      </c>
      <c r="G64" t="s">
        <v>169</v>
      </c>
      <c r="H64" s="21" t="s">
        <v>94</v>
      </c>
      <c r="I64" s="86">
        <v>1</v>
      </c>
      <c r="J64" s="86">
        <v>0</v>
      </c>
      <c r="K64" t="s">
        <v>525</v>
      </c>
      <c r="L64" t="s">
        <v>654</v>
      </c>
      <c r="M64" t="s">
        <v>230</v>
      </c>
      <c r="N64" t="str">
        <f>IF(SUM(ckCodingTable[[#This Row],[NfmlPIs]:[NnonWhtAsnPIs]])&gt;0,"WMD","")</f>
        <v>WMD</v>
      </c>
      <c r="O64" t="b">
        <f>_xlfn.XOR(IFERROR(MATCH(ckCodingTable[[#This Row],[st_code]],EpscorTable[],0)&gt;0,FALSE),IFERROR(FIND("9150",ckCodingTable[[#This Row],[propPRCs]])&gt;0,FALSE))</f>
        <v>0</v>
      </c>
      <c r="P64" s="21" t="b">
        <f>_xlfn.XOR(ckCodingTable[[#This Row],[wmd]]&lt;&gt;"",IFERROR(FIND("9102",ckCodingTable[[#This Row],[propPRCs]])&gt;0,FALSE))</f>
        <v>1</v>
      </c>
      <c r="Q64" t="s">
        <v>1704</v>
      </c>
      <c r="R64" s="22">
        <v>43082.529826388891</v>
      </c>
      <c r="S64" s="108">
        <f>S63+(ckCodingTable[[#This Row],[ILN]]&lt;"M")</f>
        <v>62</v>
      </c>
      <c r="T64" s="21" t="s">
        <v>95</v>
      </c>
      <c r="U64" t="s">
        <v>1279</v>
      </c>
      <c r="V64" s="7" t="str">
        <f>HYPERLINK("https://www.ejacket.nsf.gov/ej/showProposal.do?ID="&amp;ckCodingTable[[#This Row],[prop_id]],"eJ")</f>
        <v>eJ</v>
      </c>
      <c r="W64" t="s">
        <v>478</v>
      </c>
      <c r="X64" t="s">
        <v>1279</v>
      </c>
      <c r="Y64" t="s">
        <v>1280</v>
      </c>
      <c r="Z64" t="s">
        <v>1524</v>
      </c>
      <c r="AA64" t="s">
        <v>1709</v>
      </c>
      <c r="AB64" s="111" t="str">
        <f>HYPERLINK("mailto:"&amp;ckCodingTable[[#This Row],[email]]&amp;"&amp;subject=Your NSF Proposal:  "&amp;ckCodingTable[[#This Row],[Div]]&amp;" "&amp;ckCodingTable[[#This Row],[prop_id]], ckCodingTable[[#This Row],[email]])</f>
        <v>goodrich@acm.org</v>
      </c>
      <c r="AC64" s="30">
        <v>43282</v>
      </c>
      <c r="AD64">
        <v>48</v>
      </c>
      <c r="AE64">
        <v>1</v>
      </c>
      <c r="AG64" s="112">
        <v>1</v>
      </c>
      <c r="AH64" t="s">
        <v>531</v>
      </c>
      <c r="AI64" s="26">
        <v>5.75</v>
      </c>
      <c r="AJ64" s="22">
        <v>43081.234722222223</v>
      </c>
      <c r="AL64">
        <v>4</v>
      </c>
      <c r="AN64" s="112">
        <v>4</v>
      </c>
      <c r="AO64" s="112"/>
      <c r="AP64" s="112"/>
      <c r="AQ64" s="112"/>
      <c r="AR64" s="7" t="str">
        <f>HYPERLINK("https://www.ejacket.nsf.gov/ej/showProposal.do?ID="&amp;ckCodingTable[[#This Row],[prop_id]],"eJ")</f>
        <v>eJ</v>
      </c>
      <c r="AS64" t="s">
        <v>172</v>
      </c>
      <c r="AT64" t="s">
        <v>1710</v>
      </c>
      <c r="AU64" t="b">
        <f>IF(ckCodingTable[[#This Row],[ILN]]="N",SUBSTITUTE(AT63," ","")&lt;&gt;SUBSTITUTE(ckCodingTable[[#This Row],[prop_titl_txt]]," ",""), FALSE)</f>
        <v>0</v>
      </c>
      <c r="AV64">
        <v>0</v>
      </c>
      <c r="AW64" s="13">
        <v>1199544</v>
      </c>
      <c r="AX64" s="13">
        <v>1199544</v>
      </c>
      <c r="AY64" s="13"/>
      <c r="AZ64" s="13">
        <v>33265</v>
      </c>
      <c r="BA64" s="13"/>
      <c r="BB64" s="13"/>
      <c r="BC64">
        <v>8</v>
      </c>
      <c r="BD64">
        <v>12</v>
      </c>
      <c r="BE64">
        <v>12</v>
      </c>
      <c r="BH64">
        <v>2</v>
      </c>
      <c r="BI64">
        <v>0</v>
      </c>
      <c r="BJ64">
        <v>0</v>
      </c>
      <c r="BK64">
        <v>0</v>
      </c>
      <c r="BL64" t="s">
        <v>1711</v>
      </c>
    </row>
    <row r="65" spans="1:64" x14ac:dyDescent="0.4">
      <c r="A65" s="30"/>
      <c r="B65" s="30">
        <v>43004.474999999999</v>
      </c>
      <c r="C65" t="s">
        <v>524</v>
      </c>
      <c r="D65" t="s">
        <v>477</v>
      </c>
      <c r="E65" t="s">
        <v>582</v>
      </c>
      <c r="F65" t="s">
        <v>171</v>
      </c>
      <c r="G65" t="s">
        <v>169</v>
      </c>
      <c r="H65" s="21" t="s">
        <v>94</v>
      </c>
      <c r="I65" s="86">
        <v>1</v>
      </c>
      <c r="J65" s="86">
        <v>0</v>
      </c>
      <c r="K65" t="s">
        <v>525</v>
      </c>
      <c r="L65" t="s">
        <v>611</v>
      </c>
      <c r="M65" t="s">
        <v>496</v>
      </c>
      <c r="N65" t="str">
        <f>IF(SUM(ckCodingTable[[#This Row],[NfmlPIs]:[NnonWhtAsnPIs]])&gt;0,"WMD","")</f>
        <v/>
      </c>
      <c r="O65" t="b">
        <f>_xlfn.XOR(IFERROR(MATCH(ckCodingTable[[#This Row],[st_code]],EpscorTable[],0)&gt;0,FALSE),IFERROR(FIND("9150",ckCodingTable[[#This Row],[propPRCs]])&gt;0,FALSE))</f>
        <v>0</v>
      </c>
      <c r="P65" s="21" t="b">
        <f>_xlfn.XOR(ckCodingTable[[#This Row],[wmd]]&lt;&gt;"",IFERROR(FIND("9102",ckCodingTable[[#This Row],[propPRCs]])&gt;0,FALSE))</f>
        <v>0</v>
      </c>
      <c r="Q65" t="s">
        <v>1712</v>
      </c>
      <c r="S65" s="108">
        <f>S64+(ckCodingTable[[#This Row],[ILN]]&lt;"M")</f>
        <v>63</v>
      </c>
      <c r="T65" s="21" t="s">
        <v>491</v>
      </c>
      <c r="U65" t="s">
        <v>1295</v>
      </c>
      <c r="V65" s="7" t="str">
        <f>HYPERLINK("https://www.ejacket.nsf.gov/ej/showProposal.do?ID="&amp;ckCodingTable[[#This Row],[prop_id]],"eJ")</f>
        <v>eJ</v>
      </c>
      <c r="W65" t="s">
        <v>478</v>
      </c>
      <c r="X65" t="s">
        <v>1295</v>
      </c>
      <c r="Y65" t="s">
        <v>1296</v>
      </c>
      <c r="Z65" t="s">
        <v>1713</v>
      </c>
      <c r="AA65" t="s">
        <v>527</v>
      </c>
      <c r="AB65" s="111" t="str">
        <f>HYPERLINK("mailto:"&amp;ckCodingTable[[#This Row],[email]]&amp;"&amp;subject=Your NSF Proposal:  "&amp;ckCodingTable[[#This Row],[Div]]&amp;" "&amp;ckCodingTable[[#This Row],[prop_id]], ckCodingTable[[#This Row],[email]])</f>
        <v>aaroth@cis.upenn.edu</v>
      </c>
      <c r="AC65" s="30">
        <v>43313</v>
      </c>
      <c r="AD65">
        <v>48</v>
      </c>
      <c r="AE65">
        <v>1</v>
      </c>
      <c r="AG65" s="112">
        <v>1</v>
      </c>
      <c r="AH65" t="s">
        <v>1714</v>
      </c>
      <c r="AI65" s="26">
        <v>7</v>
      </c>
      <c r="AJ65" s="22">
        <v>43080.712500000001</v>
      </c>
      <c r="AL65">
        <v>4</v>
      </c>
      <c r="AN65" s="112">
        <v>4</v>
      </c>
      <c r="AO65" s="112"/>
      <c r="AP65" s="112"/>
      <c r="AQ65" s="112"/>
      <c r="AR65" s="7" t="str">
        <f>HYPERLINK("https://www.ejacket.nsf.gov/ej/showProposal.do?ID="&amp;ckCodingTable[[#This Row],[prop_id]],"eJ")</f>
        <v>eJ</v>
      </c>
      <c r="AS65" t="s">
        <v>172</v>
      </c>
      <c r="AT65" t="s">
        <v>1715</v>
      </c>
      <c r="AU65" t="b">
        <f>IF(ckCodingTable[[#This Row],[ILN]]="N",SUBSTITUTE(AT64," ","")&lt;&gt;SUBSTITUTE(ckCodingTable[[#This Row],[prop_titl_txt]]," ",""), FALSE)</f>
        <v>0</v>
      </c>
      <c r="AV65">
        <v>0</v>
      </c>
      <c r="AW65" s="13">
        <v>950000</v>
      </c>
      <c r="AX65" s="13">
        <v>950000</v>
      </c>
      <c r="AY65" s="13"/>
      <c r="AZ65" s="13"/>
      <c r="BA65" s="13"/>
      <c r="BB65" s="13"/>
      <c r="BC65">
        <v>7</v>
      </c>
      <c r="BD65">
        <v>12</v>
      </c>
      <c r="BE65">
        <v>7</v>
      </c>
      <c r="BH65">
        <v>0</v>
      </c>
      <c r="BI65">
        <v>0</v>
      </c>
      <c r="BJ65">
        <v>0</v>
      </c>
      <c r="BK65">
        <v>0</v>
      </c>
      <c r="BL65" t="s">
        <v>1716</v>
      </c>
    </row>
    <row r="66" spans="1:64" x14ac:dyDescent="0.4">
      <c r="A66" s="30"/>
      <c r="B66" s="30">
        <v>43004.605555555558</v>
      </c>
      <c r="C66" t="s">
        <v>524</v>
      </c>
      <c r="D66" t="s">
        <v>477</v>
      </c>
      <c r="E66" t="s">
        <v>582</v>
      </c>
      <c r="F66" t="s">
        <v>171</v>
      </c>
      <c r="G66" t="s">
        <v>169</v>
      </c>
      <c r="H66" s="21" t="s">
        <v>94</v>
      </c>
      <c r="I66" s="86">
        <v>1</v>
      </c>
      <c r="J66" s="86">
        <v>0</v>
      </c>
      <c r="K66" t="s">
        <v>525</v>
      </c>
      <c r="L66" t="s">
        <v>611</v>
      </c>
      <c r="M66" t="s">
        <v>310</v>
      </c>
      <c r="N66" t="str">
        <f>IF(SUM(ckCodingTable[[#This Row],[NfmlPIs]:[NnonWhtAsnPIs]])&gt;0,"WMD","")</f>
        <v/>
      </c>
      <c r="O66" t="b">
        <f>_xlfn.XOR(IFERROR(MATCH(ckCodingTable[[#This Row],[st_code]],EpscorTable[],0)&gt;0,FALSE),IFERROR(FIND("9150",ckCodingTable[[#This Row],[propPRCs]])&gt;0,FALSE))</f>
        <v>0</v>
      </c>
      <c r="P66" s="21" t="b">
        <f>_xlfn.XOR(ckCodingTable[[#This Row],[wmd]]&lt;&gt;"",IFERROR(FIND("9102",ckCodingTable[[#This Row],[propPRCs]])&gt;0,FALSE))</f>
        <v>0</v>
      </c>
      <c r="Q66" t="s">
        <v>1712</v>
      </c>
      <c r="S66" s="108">
        <f>S65+(ckCodingTable[[#This Row],[ILN]]&lt;"M")</f>
        <v>63</v>
      </c>
      <c r="T66" s="21" t="s">
        <v>493</v>
      </c>
      <c r="U66" t="s">
        <v>1295</v>
      </c>
      <c r="V66" s="7" t="str">
        <f>HYPERLINK("https://www.ejacket.nsf.gov/ej/showProposal.do?ID="&amp;ckCodingTable[[#This Row],[prop_id]],"eJ")</f>
        <v>eJ</v>
      </c>
      <c r="W66" t="s">
        <v>478</v>
      </c>
      <c r="X66" t="s">
        <v>1717</v>
      </c>
      <c r="Y66" t="s">
        <v>1718</v>
      </c>
      <c r="Z66" t="s">
        <v>1719</v>
      </c>
      <c r="AA66" t="s">
        <v>499</v>
      </c>
      <c r="AB66" s="111" t="str">
        <f>HYPERLINK("mailto:"&amp;ckCodingTable[[#This Row],[email]]&amp;"&amp;subject=Your NSF Proposal:  "&amp;ckCodingTable[[#This Row],[Div]]&amp;" "&amp;ckCodingTable[[#This Row],[prop_id]], ckCodingTable[[#This Row],[email]])</f>
        <v>Mallesh.Pai@rice.edu</v>
      </c>
      <c r="AC66" s="30">
        <v>43313</v>
      </c>
      <c r="AD66">
        <v>48</v>
      </c>
      <c r="AG66" s="112"/>
      <c r="AI66" s="26"/>
      <c r="AJ66" s="22"/>
      <c r="AN66" s="112"/>
      <c r="AO66" s="112"/>
      <c r="AP66" s="112"/>
      <c r="AQ66" s="112"/>
      <c r="AR66" s="7" t="str">
        <f>HYPERLINK("https://www.ejacket.nsf.gov/ej/showProposal.do?ID="&amp;ckCodingTable[[#This Row],[prop_id]],"eJ")</f>
        <v>eJ</v>
      </c>
      <c r="AS66" t="s">
        <v>172</v>
      </c>
      <c r="AT66" t="s">
        <v>1720</v>
      </c>
      <c r="AU66" t="b">
        <f>IF(ckCodingTable[[#This Row],[ILN]]="N",SUBSTITUTE(AT65," ","")&lt;&gt;SUBSTITUTE(ckCodingTable[[#This Row],[prop_titl_txt]]," ",""), FALSE)</f>
        <v>0</v>
      </c>
      <c r="AV66">
        <v>0</v>
      </c>
      <c r="AW66" s="13">
        <v>250000</v>
      </c>
      <c r="AX66" s="13">
        <v>250000</v>
      </c>
      <c r="AY66" s="13"/>
      <c r="AZ66" s="13"/>
      <c r="BA66" s="13"/>
      <c r="BB66" s="13"/>
      <c r="BC66">
        <v>4</v>
      </c>
      <c r="BD66">
        <v>4</v>
      </c>
      <c r="BE66">
        <v>2</v>
      </c>
      <c r="BH66">
        <v>0</v>
      </c>
      <c r="BI66">
        <v>0</v>
      </c>
      <c r="BJ66">
        <v>0</v>
      </c>
      <c r="BK66">
        <v>0</v>
      </c>
      <c r="BL66" t="s">
        <v>1721</v>
      </c>
    </row>
    <row r="67" spans="1:64" x14ac:dyDescent="0.4">
      <c r="A67" s="30"/>
      <c r="B67" s="30">
        <v>43004.490972222222</v>
      </c>
      <c r="C67" t="s">
        <v>524</v>
      </c>
      <c r="D67" t="s">
        <v>477</v>
      </c>
      <c r="E67" t="s">
        <v>582</v>
      </c>
      <c r="F67" t="s">
        <v>171</v>
      </c>
      <c r="G67" t="s">
        <v>169</v>
      </c>
      <c r="H67" s="21" t="s">
        <v>94</v>
      </c>
      <c r="I67" s="86">
        <v>1</v>
      </c>
      <c r="J67" s="86">
        <v>0</v>
      </c>
      <c r="K67" t="s">
        <v>525</v>
      </c>
      <c r="L67" t="s">
        <v>611</v>
      </c>
      <c r="M67" t="s">
        <v>230</v>
      </c>
      <c r="N67" t="str">
        <f>IF(SUM(ckCodingTable[[#This Row],[NfmlPIs]:[NnonWhtAsnPIs]])&gt;0,"WMD","")</f>
        <v/>
      </c>
      <c r="O67" t="b">
        <f>_xlfn.XOR(IFERROR(MATCH(ckCodingTable[[#This Row],[st_code]],EpscorTable[],0)&gt;0,FALSE),IFERROR(FIND("9150",ckCodingTable[[#This Row],[propPRCs]])&gt;0,FALSE))</f>
        <v>0</v>
      </c>
      <c r="P67" s="21" t="b">
        <f>_xlfn.XOR(ckCodingTable[[#This Row],[wmd]]&lt;&gt;"",IFERROR(FIND("9102",ckCodingTable[[#This Row],[propPRCs]])&gt;0,FALSE))</f>
        <v>0</v>
      </c>
      <c r="Q67" t="s">
        <v>1722</v>
      </c>
      <c r="S67" s="108">
        <f>S66+(ckCodingTable[[#This Row],[ILN]]&lt;"M")</f>
        <v>64</v>
      </c>
      <c r="T67" s="21" t="s">
        <v>491</v>
      </c>
      <c r="U67" t="s">
        <v>1305</v>
      </c>
      <c r="V67" s="7" t="str">
        <f>HYPERLINK("https://www.ejacket.nsf.gov/ej/showProposal.do?ID="&amp;ckCodingTable[[#This Row],[prop_id]],"eJ")</f>
        <v>eJ</v>
      </c>
      <c r="W67" t="s">
        <v>478</v>
      </c>
      <c r="X67" t="s">
        <v>1305</v>
      </c>
      <c r="Y67" t="s">
        <v>1306</v>
      </c>
      <c r="Z67" t="s">
        <v>1671</v>
      </c>
      <c r="AA67" t="s">
        <v>1465</v>
      </c>
      <c r="AB67" s="111" t="str">
        <f>HYPERLINK("mailto:"&amp;ckCodingTable[[#This Row],[email]]&amp;"&amp;subject=Your NSF Proposal:  "&amp;ckCodingTable[[#This Row],[Div]]&amp;" "&amp;ckCodingTable[[#This Row],[prop_id]], ckCodingTable[[#This Row],[email]])</f>
        <v>omreing@stanford.edu</v>
      </c>
      <c r="AC67" s="30">
        <v>43344</v>
      </c>
      <c r="AD67">
        <v>48</v>
      </c>
      <c r="AE67">
        <v>1</v>
      </c>
      <c r="AG67" s="112">
        <v>1</v>
      </c>
      <c r="AH67" t="s">
        <v>1483</v>
      </c>
      <c r="AI67" s="26">
        <v>8</v>
      </c>
      <c r="AJ67" s="22">
        <v>43080.47152777778</v>
      </c>
      <c r="AL67">
        <v>4</v>
      </c>
      <c r="AN67" s="112">
        <v>4</v>
      </c>
      <c r="AO67" s="112"/>
      <c r="AP67" s="112"/>
      <c r="AQ67" s="112"/>
      <c r="AR67" s="7" t="str">
        <f>HYPERLINK("https://www.ejacket.nsf.gov/ej/showProposal.do?ID="&amp;ckCodingTable[[#This Row],[prop_id]],"eJ")</f>
        <v>eJ</v>
      </c>
      <c r="AS67" t="s">
        <v>172</v>
      </c>
      <c r="AT67" t="s">
        <v>1723</v>
      </c>
      <c r="AU67" t="b">
        <f>IF(ckCodingTable[[#This Row],[ILN]]="N",SUBSTITUTE(AT66," ","")&lt;&gt;SUBSTITUTE(ckCodingTable[[#This Row],[prop_titl_txt]]," ",""), FALSE)</f>
        <v>0</v>
      </c>
      <c r="AV67">
        <v>0</v>
      </c>
      <c r="AW67" s="13">
        <v>650000</v>
      </c>
      <c r="AX67" s="13">
        <v>650000</v>
      </c>
      <c r="AY67" s="13"/>
      <c r="AZ67" s="13">
        <v>12000</v>
      </c>
      <c r="BA67" s="13"/>
      <c r="BB67" s="13"/>
      <c r="BC67">
        <v>8</v>
      </c>
      <c r="BD67">
        <v>4</v>
      </c>
      <c r="BE67">
        <v>4</v>
      </c>
      <c r="BH67">
        <v>0</v>
      </c>
      <c r="BI67">
        <v>0</v>
      </c>
      <c r="BJ67">
        <v>0</v>
      </c>
      <c r="BK67">
        <v>0</v>
      </c>
      <c r="BL67" t="s">
        <v>1724</v>
      </c>
    </row>
    <row r="68" spans="1:64" x14ac:dyDescent="0.4">
      <c r="A68" s="30"/>
      <c r="B68" s="30">
        <v>43004.444444444445</v>
      </c>
      <c r="C68" t="s">
        <v>524</v>
      </c>
      <c r="D68" t="s">
        <v>477</v>
      </c>
      <c r="E68" t="s">
        <v>582</v>
      </c>
      <c r="F68" t="s">
        <v>171</v>
      </c>
      <c r="G68" t="s">
        <v>169</v>
      </c>
      <c r="H68" s="21" t="s">
        <v>94</v>
      </c>
      <c r="I68" s="86">
        <v>1</v>
      </c>
      <c r="J68" s="86">
        <v>0</v>
      </c>
      <c r="K68" t="s">
        <v>525</v>
      </c>
      <c r="L68" t="s">
        <v>611</v>
      </c>
      <c r="M68" t="s">
        <v>231</v>
      </c>
      <c r="N68" t="str">
        <f>IF(SUM(ckCodingTable[[#This Row],[NfmlPIs]:[NnonWhtAsnPIs]])&gt;0,"WMD","")</f>
        <v/>
      </c>
      <c r="O68" t="b">
        <f>_xlfn.XOR(IFERROR(MATCH(ckCodingTable[[#This Row],[st_code]],EpscorTable[],0)&gt;0,FALSE),IFERROR(FIND("9150",ckCodingTable[[#This Row],[propPRCs]])&gt;0,FALSE))</f>
        <v>0</v>
      </c>
      <c r="P68" s="21" t="b">
        <f>_xlfn.XOR(ckCodingTable[[#This Row],[wmd]]&lt;&gt;"",IFERROR(FIND("9102",ckCodingTable[[#This Row],[propPRCs]])&gt;0,FALSE))</f>
        <v>0</v>
      </c>
      <c r="Q68" t="s">
        <v>1722</v>
      </c>
      <c r="S68" s="108">
        <f>S67+(ckCodingTable[[#This Row],[ILN]]&lt;"M")</f>
        <v>64</v>
      </c>
      <c r="T68" s="21" t="s">
        <v>493</v>
      </c>
      <c r="U68" t="s">
        <v>1305</v>
      </c>
      <c r="V68" s="7" t="str">
        <f>HYPERLINK("https://www.ejacket.nsf.gov/ej/showProposal.do?ID="&amp;ckCodingTable[[#This Row],[prop_id]],"eJ")</f>
        <v>eJ</v>
      </c>
      <c r="W68" t="s">
        <v>478</v>
      </c>
      <c r="X68" t="s">
        <v>1725</v>
      </c>
      <c r="Y68" t="s">
        <v>1726</v>
      </c>
      <c r="Z68" t="s">
        <v>1727</v>
      </c>
      <c r="AA68" t="s">
        <v>1728</v>
      </c>
      <c r="AB68" s="111" t="str">
        <f>HYPERLINK("mailto:"&amp;ckCodingTable[[#This Row],[email]]&amp;"&amp;subject=Your NSF Proposal:  "&amp;ckCodingTable[[#This Row],[Div]]&amp;" "&amp;ckCodingTable[[#This Row],[prop_id]], ckCodingTable[[#This Row],[email]])</f>
        <v>salil_vadhan@harvard.edu</v>
      </c>
      <c r="AC68" s="30">
        <v>43344</v>
      </c>
      <c r="AD68">
        <v>48</v>
      </c>
      <c r="AG68" s="112"/>
      <c r="AI68" s="26"/>
      <c r="AJ68" s="22"/>
      <c r="AN68" s="112"/>
      <c r="AO68" s="112"/>
      <c r="AP68" s="112"/>
      <c r="AQ68" s="112"/>
      <c r="AR68" s="7" t="str">
        <f>HYPERLINK("https://www.ejacket.nsf.gov/ej/showProposal.do?ID="&amp;ckCodingTable[[#This Row],[prop_id]],"eJ")</f>
        <v>eJ</v>
      </c>
      <c r="AS68" t="s">
        <v>172</v>
      </c>
      <c r="AT68" t="s">
        <v>1729</v>
      </c>
      <c r="AU68" t="b">
        <f>IF(ckCodingTable[[#This Row],[ILN]]="N",SUBSTITUTE(AT67," ","")&lt;&gt;SUBSTITUTE(ckCodingTable[[#This Row],[prop_titl_txt]]," ",""), FALSE)</f>
        <v>0</v>
      </c>
      <c r="AV68">
        <v>0</v>
      </c>
      <c r="AW68" s="13">
        <v>550000</v>
      </c>
      <c r="AX68" s="13">
        <v>550000</v>
      </c>
      <c r="AY68" s="13"/>
      <c r="AZ68" s="13">
        <v>14200</v>
      </c>
      <c r="BA68" s="13"/>
      <c r="BB68" s="13"/>
      <c r="BC68">
        <v>5</v>
      </c>
      <c r="BD68">
        <v>4</v>
      </c>
      <c r="BG68">
        <v>4</v>
      </c>
      <c r="BH68">
        <v>0</v>
      </c>
      <c r="BI68">
        <v>0</v>
      </c>
      <c r="BJ68">
        <v>0</v>
      </c>
      <c r="BK68">
        <v>0</v>
      </c>
      <c r="BL68" t="s">
        <v>1730</v>
      </c>
    </row>
    <row r="69" spans="1:64" x14ac:dyDescent="0.4">
      <c r="A69" s="30"/>
      <c r="B69" s="30">
        <v>43004.497916666667</v>
      </c>
      <c r="C69" t="s">
        <v>524</v>
      </c>
      <c r="D69" t="s">
        <v>477</v>
      </c>
      <c r="E69" t="s">
        <v>582</v>
      </c>
      <c r="F69" t="s">
        <v>171</v>
      </c>
      <c r="G69" t="s">
        <v>169</v>
      </c>
      <c r="H69" s="21" t="s">
        <v>94</v>
      </c>
      <c r="I69" s="86">
        <v>1</v>
      </c>
      <c r="J69" s="86">
        <v>0</v>
      </c>
      <c r="K69" t="s">
        <v>525</v>
      </c>
      <c r="L69" t="s">
        <v>611</v>
      </c>
      <c r="M69" t="s">
        <v>496</v>
      </c>
      <c r="N69" t="str">
        <f>IF(SUM(ckCodingTable[[#This Row],[NfmlPIs]:[NnonWhtAsnPIs]])&gt;0,"WMD","")</f>
        <v/>
      </c>
      <c r="O69" t="b">
        <f>_xlfn.XOR(IFERROR(MATCH(ckCodingTable[[#This Row],[st_code]],EpscorTable[],0)&gt;0,FALSE),IFERROR(FIND("9150",ckCodingTable[[#This Row],[propPRCs]])&gt;0,FALSE))</f>
        <v>0</v>
      </c>
      <c r="P69" s="21" t="b">
        <f>_xlfn.XOR(ckCodingTable[[#This Row],[wmd]]&lt;&gt;"",IFERROR(FIND("9102",ckCodingTable[[#This Row],[propPRCs]])&gt;0,FALSE))</f>
        <v>0</v>
      </c>
      <c r="Q69" t="s">
        <v>1704</v>
      </c>
      <c r="S69" s="108">
        <f>S68+(ckCodingTable[[#This Row],[ILN]]&lt;"M")</f>
        <v>65</v>
      </c>
      <c r="T69" s="21" t="s">
        <v>491</v>
      </c>
      <c r="U69" t="s">
        <v>1315</v>
      </c>
      <c r="V69" s="7" t="str">
        <f>HYPERLINK("https://www.ejacket.nsf.gov/ej/showProposal.do?ID="&amp;ckCodingTable[[#This Row],[prop_id]],"eJ")</f>
        <v>eJ</v>
      </c>
      <c r="W69" t="s">
        <v>478</v>
      </c>
      <c r="X69" t="s">
        <v>1315</v>
      </c>
      <c r="Y69" t="s">
        <v>1296</v>
      </c>
      <c r="Z69" t="s">
        <v>1713</v>
      </c>
      <c r="AA69" t="s">
        <v>527</v>
      </c>
      <c r="AB69" s="111" t="str">
        <f>HYPERLINK("mailto:"&amp;ckCodingTable[[#This Row],[email]]&amp;"&amp;subject=Your NSF Proposal:  "&amp;ckCodingTable[[#This Row],[Div]]&amp;" "&amp;ckCodingTable[[#This Row],[prop_id]], ckCodingTable[[#This Row],[email]])</f>
        <v>aaroth@cis.upenn.edu</v>
      </c>
      <c r="AC69" s="30">
        <v>43313</v>
      </c>
      <c r="AD69">
        <v>36</v>
      </c>
      <c r="AE69">
        <v>1</v>
      </c>
      <c r="AG69" s="112">
        <v>1</v>
      </c>
      <c r="AH69" t="s">
        <v>1731</v>
      </c>
      <c r="AI69" s="26">
        <v>8</v>
      </c>
      <c r="AJ69" s="22">
        <v>43081.365972222222</v>
      </c>
      <c r="AL69">
        <v>4</v>
      </c>
      <c r="AN69" s="112">
        <v>4</v>
      </c>
      <c r="AO69" s="112"/>
      <c r="AP69" s="112"/>
      <c r="AQ69" s="112"/>
      <c r="AR69" s="7" t="str">
        <f>HYPERLINK("https://www.ejacket.nsf.gov/ej/showProposal.do?ID="&amp;ckCodingTable[[#This Row],[prop_id]],"eJ")</f>
        <v>eJ</v>
      </c>
      <c r="AS69" t="s">
        <v>172</v>
      </c>
      <c r="AT69" t="s">
        <v>1732</v>
      </c>
      <c r="AU69" t="b">
        <f>IF(ckCodingTable[[#This Row],[ILN]]="N",SUBSTITUTE(AT68," ","")&lt;&gt;SUBSTITUTE(ckCodingTable[[#This Row],[prop_titl_txt]]," ",""), FALSE)</f>
        <v>0</v>
      </c>
      <c r="AV69">
        <v>0</v>
      </c>
      <c r="AW69" s="13">
        <v>378000</v>
      </c>
      <c r="AX69" s="13">
        <v>378000</v>
      </c>
      <c r="AY69" s="13"/>
      <c r="AZ69" s="13"/>
      <c r="BA69" s="13"/>
      <c r="BB69" s="13"/>
      <c r="BC69">
        <v>3</v>
      </c>
      <c r="BD69">
        <v>6</v>
      </c>
      <c r="BE69">
        <v>3.93</v>
      </c>
      <c r="BH69">
        <v>0</v>
      </c>
      <c r="BI69">
        <v>0</v>
      </c>
      <c r="BJ69">
        <v>0</v>
      </c>
      <c r="BK69">
        <v>0</v>
      </c>
      <c r="BL69" t="s">
        <v>1716</v>
      </c>
    </row>
    <row r="70" spans="1:64" x14ac:dyDescent="0.4">
      <c r="A70" s="30"/>
      <c r="B70" s="30">
        <v>43003.538194444445</v>
      </c>
      <c r="C70" t="s">
        <v>524</v>
      </c>
      <c r="D70" t="s">
        <v>477</v>
      </c>
      <c r="E70" t="s">
        <v>582</v>
      </c>
      <c r="F70" t="s">
        <v>171</v>
      </c>
      <c r="G70" t="s">
        <v>169</v>
      </c>
      <c r="H70" s="21" t="s">
        <v>94</v>
      </c>
      <c r="I70" s="86">
        <v>1</v>
      </c>
      <c r="J70" s="86">
        <v>0</v>
      </c>
      <c r="K70" t="s">
        <v>525</v>
      </c>
      <c r="L70" t="s">
        <v>611</v>
      </c>
      <c r="M70" t="s">
        <v>230</v>
      </c>
      <c r="N70" t="str">
        <f>IF(SUM(ckCodingTable[[#This Row],[NfmlPIs]:[NnonWhtAsnPIs]])&gt;0,"WMD","")</f>
        <v/>
      </c>
      <c r="O70" t="b">
        <f>_xlfn.XOR(IFERROR(MATCH(ckCodingTable[[#This Row],[st_code]],EpscorTable[],0)&gt;0,FALSE),IFERROR(FIND("9150",ckCodingTable[[#This Row],[propPRCs]])&gt;0,FALSE))</f>
        <v>0</v>
      </c>
      <c r="P70" s="21" t="b">
        <f>_xlfn.XOR(ckCodingTable[[#This Row],[wmd]]&lt;&gt;"",IFERROR(FIND("9102",ckCodingTable[[#This Row],[propPRCs]])&gt;0,FALSE))</f>
        <v>0</v>
      </c>
      <c r="Q70" t="s">
        <v>1704</v>
      </c>
      <c r="S70" s="108">
        <f>S69+(ckCodingTable[[#This Row],[ILN]]&lt;"M")</f>
        <v>65</v>
      </c>
      <c r="T70" s="21" t="s">
        <v>493</v>
      </c>
      <c r="U70" t="s">
        <v>1315</v>
      </c>
      <c r="V70" s="7" t="str">
        <f>HYPERLINK("https://www.ejacket.nsf.gov/ej/showProposal.do?ID="&amp;ckCodingTable[[#This Row],[prop_id]],"eJ")</f>
        <v>eJ</v>
      </c>
      <c r="W70" t="s">
        <v>478</v>
      </c>
      <c r="X70" t="s">
        <v>1733</v>
      </c>
      <c r="Y70" t="s">
        <v>1734</v>
      </c>
      <c r="Z70" t="s">
        <v>1735</v>
      </c>
      <c r="AA70" t="s">
        <v>1465</v>
      </c>
      <c r="AB70" s="111" t="str">
        <f>HYPERLINK("mailto:"&amp;ckCodingTable[[#This Row],[email]]&amp;"&amp;subject=Your NSF Proposal:  "&amp;ckCodingTable[[#This Row],[Div]]&amp;" "&amp;ckCodingTable[[#This Row],[prop_id]], ckCodingTable[[#This Row],[email]])</f>
        <v>jamesz@stanford.edu</v>
      </c>
      <c r="AC70" s="30">
        <v>43313</v>
      </c>
      <c r="AD70">
        <v>36</v>
      </c>
      <c r="AG70" s="112"/>
      <c r="AI70" s="26"/>
      <c r="AJ70" s="22"/>
      <c r="AN70" s="112"/>
      <c r="AO70" s="112"/>
      <c r="AP70" s="112"/>
      <c r="AQ70" s="112"/>
      <c r="AR70" s="7" t="str">
        <f>HYPERLINK("https://www.ejacket.nsf.gov/ej/showProposal.do?ID="&amp;ckCodingTable[[#This Row],[prop_id]],"eJ")</f>
        <v>eJ</v>
      </c>
      <c r="AS70" t="s">
        <v>172</v>
      </c>
      <c r="AT70" t="s">
        <v>1732</v>
      </c>
      <c r="AU70" t="b">
        <f>IF(ckCodingTable[[#This Row],[ILN]]="N",SUBSTITUTE(AT69," ","")&lt;&gt;SUBSTITUTE(ckCodingTable[[#This Row],[prop_titl_txt]]," ",""), FALSE)</f>
        <v>0</v>
      </c>
      <c r="AV70">
        <v>0</v>
      </c>
      <c r="AW70" s="13">
        <v>276000</v>
      </c>
      <c r="AX70" s="13">
        <v>276000</v>
      </c>
      <c r="AY70" s="13"/>
      <c r="AZ70" s="13"/>
      <c r="BA70" s="13"/>
      <c r="BB70" s="13"/>
      <c r="BC70">
        <v>3</v>
      </c>
      <c r="BD70">
        <v>3</v>
      </c>
      <c r="BG70">
        <v>2.88</v>
      </c>
      <c r="BH70">
        <v>0</v>
      </c>
      <c r="BI70">
        <v>0</v>
      </c>
      <c r="BJ70">
        <v>0</v>
      </c>
      <c r="BK70">
        <v>0</v>
      </c>
      <c r="BL70" t="s">
        <v>1736</v>
      </c>
    </row>
    <row r="71" spans="1:64" x14ac:dyDescent="0.4">
      <c r="A71" s="30"/>
      <c r="B71" s="30">
        <v>43005.559027777781</v>
      </c>
      <c r="C71" t="s">
        <v>524</v>
      </c>
      <c r="D71" t="s">
        <v>477</v>
      </c>
      <c r="E71" t="s">
        <v>582</v>
      </c>
      <c r="F71" t="s">
        <v>171</v>
      </c>
      <c r="G71" t="s">
        <v>169</v>
      </c>
      <c r="H71" s="21" t="s">
        <v>94</v>
      </c>
      <c r="I71" s="86">
        <v>1</v>
      </c>
      <c r="J71" s="86">
        <v>0</v>
      </c>
      <c r="K71" t="s">
        <v>525</v>
      </c>
      <c r="L71" t="s">
        <v>611</v>
      </c>
      <c r="M71" t="s">
        <v>231</v>
      </c>
      <c r="N71" t="str">
        <f>IF(SUM(ckCodingTable[[#This Row],[NfmlPIs]:[NnonWhtAsnPIs]])&gt;0,"WMD","")</f>
        <v/>
      </c>
      <c r="O71" t="b">
        <f>_xlfn.XOR(IFERROR(MATCH(ckCodingTable[[#This Row],[st_code]],EpscorTable[],0)&gt;0,FALSE),IFERROR(FIND("9150",ckCodingTable[[#This Row],[propPRCs]])&gt;0,FALSE))</f>
        <v>0</v>
      </c>
      <c r="P71" s="21" t="b">
        <f>_xlfn.XOR(ckCodingTable[[#This Row],[wmd]]&lt;&gt;"",IFERROR(FIND("9102",ckCodingTable[[#This Row],[propPRCs]])&gt;0,FALSE))</f>
        <v>0</v>
      </c>
      <c r="Q71" t="s">
        <v>1704</v>
      </c>
      <c r="S71" s="108">
        <f>S70+(ckCodingTable[[#This Row],[ILN]]&lt;"M")</f>
        <v>65</v>
      </c>
      <c r="T71" s="21" t="s">
        <v>493</v>
      </c>
      <c r="U71" t="s">
        <v>1315</v>
      </c>
      <c r="V71" s="7" t="str">
        <f>HYPERLINK("https://www.ejacket.nsf.gov/ej/showProposal.do?ID="&amp;ckCodingTable[[#This Row],[prop_id]],"eJ")</f>
        <v>eJ</v>
      </c>
      <c r="W71" t="s">
        <v>478</v>
      </c>
      <c r="X71" t="s">
        <v>1737</v>
      </c>
      <c r="Y71" t="s">
        <v>1738</v>
      </c>
      <c r="Z71" t="s">
        <v>1739</v>
      </c>
      <c r="AA71" t="s">
        <v>1728</v>
      </c>
      <c r="AB71" s="111" t="str">
        <f>HYPERLINK("mailto:"&amp;ckCodingTable[[#This Row],[email]]&amp;"&amp;subject=Your NSF Proposal:  "&amp;ckCodingTable[[#This Row],[Div]]&amp;" "&amp;ckCodingTable[[#This Row],[prop_id]], ckCodingTable[[#This Row],[email]])</f>
        <v>dwork@seas.harvard.edu</v>
      </c>
      <c r="AC71" s="30">
        <v>43313</v>
      </c>
      <c r="AD71">
        <v>36</v>
      </c>
      <c r="AG71" s="112"/>
      <c r="AI71" s="26"/>
      <c r="AJ71" s="22"/>
      <c r="AN71" s="112"/>
      <c r="AO71" s="112"/>
      <c r="AP71" s="112"/>
      <c r="AQ71" s="112"/>
      <c r="AR71" s="7" t="str">
        <f>HYPERLINK("https://www.ejacket.nsf.gov/ej/showProposal.do?ID="&amp;ckCodingTable[[#This Row],[prop_id]],"eJ")</f>
        <v>eJ</v>
      </c>
      <c r="AS71" t="s">
        <v>172</v>
      </c>
      <c r="AT71" t="s">
        <v>1740</v>
      </c>
      <c r="AU71" t="b">
        <f>IF(ckCodingTable[[#This Row],[ILN]]="N",SUBSTITUTE(AT70," ","")&lt;&gt;SUBSTITUTE(ckCodingTable[[#This Row],[prop_titl_txt]]," ",""), FALSE)</f>
        <v>1</v>
      </c>
      <c r="AV71">
        <v>0</v>
      </c>
      <c r="AW71" s="13">
        <v>286000</v>
      </c>
      <c r="AX71" s="13">
        <v>286000</v>
      </c>
      <c r="AY71" s="13"/>
      <c r="AZ71" s="13"/>
      <c r="BA71" s="13"/>
      <c r="BB71" s="13"/>
      <c r="BC71">
        <v>1</v>
      </c>
      <c r="BD71">
        <v>3</v>
      </c>
      <c r="BG71">
        <v>2.33</v>
      </c>
      <c r="BH71">
        <v>0</v>
      </c>
      <c r="BI71">
        <v>0</v>
      </c>
      <c r="BJ71">
        <v>0</v>
      </c>
      <c r="BK71">
        <v>0</v>
      </c>
      <c r="BL71" t="s">
        <v>1741</v>
      </c>
    </row>
    <row r="72" spans="1:64" x14ac:dyDescent="0.4">
      <c r="A72" s="30"/>
      <c r="B72" s="30">
        <v>43005.611111111109</v>
      </c>
      <c r="C72" t="s">
        <v>524</v>
      </c>
      <c r="D72" t="s">
        <v>477</v>
      </c>
      <c r="E72" t="s">
        <v>582</v>
      </c>
      <c r="F72" t="s">
        <v>171</v>
      </c>
      <c r="G72" t="s">
        <v>169</v>
      </c>
      <c r="H72" s="21" t="s">
        <v>94</v>
      </c>
      <c r="I72" s="86">
        <v>1</v>
      </c>
      <c r="J72" s="86">
        <v>0</v>
      </c>
      <c r="K72" t="s">
        <v>525</v>
      </c>
      <c r="L72" t="s">
        <v>611</v>
      </c>
      <c r="M72" t="s">
        <v>231</v>
      </c>
      <c r="N72" t="str">
        <f>IF(SUM(ckCodingTable[[#This Row],[NfmlPIs]:[NnonWhtAsnPIs]])&gt;0,"WMD","")</f>
        <v/>
      </c>
      <c r="O72" t="b">
        <f>_xlfn.XOR(IFERROR(MATCH(ckCodingTable[[#This Row],[st_code]],EpscorTable[],0)&gt;0,FALSE),IFERROR(FIND("9150",ckCodingTable[[#This Row],[propPRCs]])&gt;0,FALSE))</f>
        <v>0</v>
      </c>
      <c r="P72" s="21" t="b">
        <f>_xlfn.XOR(ckCodingTable[[#This Row],[wmd]]&lt;&gt;"",IFERROR(FIND("9102",ckCodingTable[[#This Row],[propPRCs]])&gt;0,FALSE))</f>
        <v>0</v>
      </c>
      <c r="Q72" t="s">
        <v>1704</v>
      </c>
      <c r="S72" s="108">
        <f>S71+(ckCodingTable[[#This Row],[ILN]]&lt;"M")</f>
        <v>65</v>
      </c>
      <c r="T72" s="21" t="s">
        <v>493</v>
      </c>
      <c r="U72" t="s">
        <v>1315</v>
      </c>
      <c r="V72" s="7" t="str">
        <f>HYPERLINK("https://www.ejacket.nsf.gov/ej/showProposal.do?ID="&amp;ckCodingTable[[#This Row],[prop_id]],"eJ")</f>
        <v>eJ</v>
      </c>
      <c r="W72" t="s">
        <v>478</v>
      </c>
      <c r="X72" t="s">
        <v>1742</v>
      </c>
      <c r="Y72" t="s">
        <v>1743</v>
      </c>
      <c r="Z72" t="s">
        <v>1744</v>
      </c>
      <c r="AA72" t="s">
        <v>1529</v>
      </c>
      <c r="AB72" s="111" t="str">
        <f>HYPERLINK("mailto:"&amp;ckCodingTable[[#This Row],[email]]&amp;"&amp;subject=Your NSF Proposal:  "&amp;ckCodingTable[[#This Row],[Div]]&amp;" "&amp;ckCodingTable[[#This Row],[prop_id]], ckCodingTable[[#This Row],[email]])</f>
        <v>ads22@bu.edu</v>
      </c>
      <c r="AC72" s="30">
        <v>43313</v>
      </c>
      <c r="AD72">
        <v>36</v>
      </c>
      <c r="AG72" s="112"/>
      <c r="AI72" s="26"/>
      <c r="AJ72" s="22"/>
      <c r="AN72" s="112"/>
      <c r="AO72" s="112"/>
      <c r="AP72" s="112"/>
      <c r="AQ72" s="112"/>
      <c r="AR72" s="7" t="str">
        <f>HYPERLINK("https://www.ejacket.nsf.gov/ej/showProposal.do?ID="&amp;ckCodingTable[[#This Row],[prop_id]],"eJ")</f>
        <v>eJ</v>
      </c>
      <c r="AS72" t="s">
        <v>172</v>
      </c>
      <c r="AT72" t="s">
        <v>1745</v>
      </c>
      <c r="AU72" t="b">
        <f>IF(ckCodingTable[[#This Row],[ILN]]="N",SUBSTITUTE(AT71," ","")&lt;&gt;SUBSTITUTE(ckCodingTable[[#This Row],[prop_titl_txt]]," ",""), FALSE)</f>
        <v>1</v>
      </c>
      <c r="AV72">
        <v>0</v>
      </c>
      <c r="AW72" s="13">
        <v>260000</v>
      </c>
      <c r="AX72" s="13">
        <v>260000</v>
      </c>
      <c r="AY72" s="13"/>
      <c r="AZ72" s="13"/>
      <c r="BA72" s="13"/>
      <c r="BB72" s="13"/>
      <c r="BC72">
        <v>6</v>
      </c>
      <c r="BD72">
        <v>3</v>
      </c>
      <c r="BE72">
        <v>1.65</v>
      </c>
      <c r="BH72">
        <v>0</v>
      </c>
      <c r="BI72">
        <v>0</v>
      </c>
      <c r="BJ72">
        <v>0</v>
      </c>
      <c r="BK72">
        <v>0</v>
      </c>
      <c r="BL72" t="s">
        <v>1746</v>
      </c>
    </row>
    <row r="73" spans="1:64" x14ac:dyDescent="0.4">
      <c r="A73" s="30"/>
      <c r="B73" s="30">
        <v>43004.525694444441</v>
      </c>
      <c r="C73" t="s">
        <v>524</v>
      </c>
      <c r="D73" t="s">
        <v>477</v>
      </c>
      <c r="E73" t="s">
        <v>582</v>
      </c>
      <c r="F73" t="s">
        <v>171</v>
      </c>
      <c r="G73" t="s">
        <v>169</v>
      </c>
      <c r="H73" s="21" t="s">
        <v>94</v>
      </c>
      <c r="I73" s="86">
        <v>1</v>
      </c>
      <c r="J73" s="86">
        <v>0</v>
      </c>
      <c r="K73" t="s">
        <v>525</v>
      </c>
      <c r="L73" t="s">
        <v>611</v>
      </c>
      <c r="M73" t="s">
        <v>309</v>
      </c>
      <c r="N73" t="str">
        <f>IF(SUM(ckCodingTable[[#This Row],[NfmlPIs]:[NnonWhtAsnPIs]])&gt;0,"WMD","")</f>
        <v/>
      </c>
      <c r="O73" t="b">
        <f>_xlfn.XOR(IFERROR(MATCH(ckCodingTable[[#This Row],[st_code]],EpscorTable[],0)&gt;0,FALSE),IFERROR(FIND("9150",ckCodingTable[[#This Row],[propPRCs]])&gt;0,FALSE))</f>
        <v>0</v>
      </c>
      <c r="P73" s="21" t="b">
        <f>_xlfn.XOR(ckCodingTable[[#This Row],[wmd]]&lt;&gt;"",IFERROR(FIND("9102",ckCodingTable[[#This Row],[propPRCs]])&gt;0,FALSE))</f>
        <v>0</v>
      </c>
      <c r="Q73" t="s">
        <v>1712</v>
      </c>
      <c r="R73" s="22">
        <v>43082.529895833337</v>
      </c>
      <c r="S73" s="108">
        <f>S72+(ckCodingTable[[#This Row],[ILN]]&lt;"M")</f>
        <v>66</v>
      </c>
      <c r="T73" s="21" t="s">
        <v>491</v>
      </c>
      <c r="U73" t="s">
        <v>1322</v>
      </c>
      <c r="V73" s="7" t="str">
        <f>HYPERLINK("https://www.ejacket.nsf.gov/ej/showProposal.do?ID="&amp;ckCodingTable[[#This Row],[prop_id]],"eJ")</f>
        <v>eJ</v>
      </c>
      <c r="W73" t="s">
        <v>478</v>
      </c>
      <c r="X73" t="s">
        <v>1322</v>
      </c>
      <c r="Y73" t="s">
        <v>1323</v>
      </c>
      <c r="Z73" t="s">
        <v>1747</v>
      </c>
      <c r="AA73" t="s">
        <v>1520</v>
      </c>
      <c r="AB73" s="111" t="str">
        <f>HYPERLINK("mailto:"&amp;ckCodingTable[[#This Row],[email]]&amp;"&amp;subject=Your NSF Proposal:  "&amp;ckCodingTable[[#This Row],[Div]]&amp;" "&amp;ckCodingTable[[#This Row],[prop_id]], ckCodingTable[[#This Row],[email]])</f>
        <v>kamesh@cs.duke.edu</v>
      </c>
      <c r="AC73" s="30">
        <v>43282</v>
      </c>
      <c r="AD73">
        <v>48</v>
      </c>
      <c r="AE73">
        <v>1</v>
      </c>
      <c r="AG73" s="112">
        <v>1</v>
      </c>
      <c r="AH73" t="s">
        <v>1748</v>
      </c>
      <c r="AI73" s="26">
        <v>5</v>
      </c>
      <c r="AJ73" s="22">
        <v>43081.281944444447</v>
      </c>
      <c r="AK73" s="21">
        <v>1</v>
      </c>
      <c r="AL73">
        <v>4</v>
      </c>
      <c r="AN73" s="112">
        <v>4</v>
      </c>
      <c r="AO73" s="112"/>
      <c r="AP73" s="112"/>
      <c r="AQ73" s="112"/>
      <c r="AR73" s="7" t="str">
        <f>HYPERLINK("https://www.ejacket.nsf.gov/ej/showProposal.do?ID="&amp;ckCodingTable[[#This Row],[prop_id]],"eJ")</f>
        <v>eJ</v>
      </c>
      <c r="AS73" t="s">
        <v>172</v>
      </c>
      <c r="AT73" t="s">
        <v>1749</v>
      </c>
      <c r="AU73" t="b">
        <f>IF(ckCodingTable[[#This Row],[ILN]]="N",SUBSTITUTE(AT72," ","")&lt;&gt;SUBSTITUTE(ckCodingTable[[#This Row],[prop_titl_txt]]," ",""), FALSE)</f>
        <v>0</v>
      </c>
      <c r="AV73">
        <v>0</v>
      </c>
      <c r="AW73" s="13">
        <v>599974</v>
      </c>
      <c r="AX73" s="13">
        <v>599974</v>
      </c>
      <c r="AY73" s="13"/>
      <c r="AZ73" s="13">
        <v>13912</v>
      </c>
      <c r="BA73" s="13"/>
      <c r="BB73" s="13"/>
      <c r="BC73">
        <v>5</v>
      </c>
      <c r="BD73">
        <v>4</v>
      </c>
      <c r="BE73">
        <v>7</v>
      </c>
      <c r="BH73">
        <v>0</v>
      </c>
      <c r="BI73">
        <v>0</v>
      </c>
      <c r="BJ73">
        <v>0</v>
      </c>
      <c r="BK73">
        <v>0</v>
      </c>
      <c r="BL73" t="s">
        <v>1750</v>
      </c>
    </row>
    <row r="74" spans="1:64" x14ac:dyDescent="0.4">
      <c r="A74" s="30"/>
      <c r="B74" s="30">
        <v>43004.724999999999</v>
      </c>
      <c r="C74" t="s">
        <v>524</v>
      </c>
      <c r="D74" t="s">
        <v>477</v>
      </c>
      <c r="E74" t="s">
        <v>582</v>
      </c>
      <c r="F74" t="s">
        <v>171</v>
      </c>
      <c r="G74" t="s">
        <v>169</v>
      </c>
      <c r="H74" s="21" t="s">
        <v>94</v>
      </c>
      <c r="I74" s="86">
        <v>1</v>
      </c>
      <c r="J74" s="86">
        <v>0</v>
      </c>
      <c r="K74" t="s">
        <v>525</v>
      </c>
      <c r="L74" t="s">
        <v>611</v>
      </c>
      <c r="M74" t="s">
        <v>1470</v>
      </c>
      <c r="N74" t="str">
        <f>IF(SUM(ckCodingTable[[#This Row],[NfmlPIs]:[NnonWhtAsnPIs]])&gt;0,"WMD","")</f>
        <v/>
      </c>
      <c r="O74" t="b">
        <f>_xlfn.XOR(IFERROR(MATCH(ckCodingTable[[#This Row],[st_code]],EpscorTable[],0)&gt;0,FALSE),IFERROR(FIND("9150",ckCodingTable[[#This Row],[propPRCs]])&gt;0,FALSE))</f>
        <v>0</v>
      </c>
      <c r="P74" s="21" t="b">
        <f>_xlfn.XOR(ckCodingTable[[#This Row],[wmd]]&lt;&gt;"",IFERROR(FIND("9102",ckCodingTable[[#This Row],[propPRCs]])&gt;0,FALSE))</f>
        <v>0</v>
      </c>
      <c r="Q74" t="s">
        <v>1712</v>
      </c>
      <c r="R74" s="22">
        <v>43082.529895833337</v>
      </c>
      <c r="S74" s="108">
        <f>S73+(ckCodingTable[[#This Row],[ILN]]&lt;"M")</f>
        <v>66</v>
      </c>
      <c r="T74" s="21" t="s">
        <v>493</v>
      </c>
      <c r="U74" t="s">
        <v>1322</v>
      </c>
      <c r="V74" s="7" t="str">
        <f>HYPERLINK("https://www.ejacket.nsf.gov/ej/showProposal.do?ID="&amp;ckCodingTable[[#This Row],[prop_id]],"eJ")</f>
        <v>eJ</v>
      </c>
      <c r="W74" t="s">
        <v>478</v>
      </c>
      <c r="X74" t="s">
        <v>1751</v>
      </c>
      <c r="Y74" t="s">
        <v>1752</v>
      </c>
      <c r="Z74" t="s">
        <v>1753</v>
      </c>
      <c r="AA74" t="s">
        <v>1754</v>
      </c>
      <c r="AB74" s="111" t="str">
        <f>HYPERLINK("mailto:"&amp;ckCodingTable[[#This Row],[email]]&amp;"&amp;subject=Your NSF Proposal:  "&amp;ckCodingTable[[#This Row],[Div]]&amp;" "&amp;ckCodingTable[[#This Row],[prop_id]], ckCodingTable[[#This Row],[email]])</f>
        <v>sbanerjee@cornell.edu</v>
      </c>
      <c r="AC74" s="30">
        <v>43282</v>
      </c>
      <c r="AD74">
        <v>48</v>
      </c>
      <c r="AG74" s="112"/>
      <c r="AI74" s="26"/>
      <c r="AJ74" s="22"/>
      <c r="AN74" s="112"/>
      <c r="AO74" s="112"/>
      <c r="AP74" s="112"/>
      <c r="AQ74" s="112"/>
      <c r="AR74" s="7" t="str">
        <f>HYPERLINK("https://www.ejacket.nsf.gov/ej/showProposal.do?ID="&amp;ckCodingTable[[#This Row],[prop_id]],"eJ")</f>
        <v>eJ</v>
      </c>
      <c r="AS74" t="s">
        <v>172</v>
      </c>
      <c r="AT74" t="s">
        <v>1749</v>
      </c>
      <c r="AU74" t="b">
        <f>IF(ckCodingTable[[#This Row],[ILN]]="N",SUBSTITUTE(AT73," ","")&lt;&gt;SUBSTITUTE(ckCodingTable[[#This Row],[prop_titl_txt]]," ",""), FALSE)</f>
        <v>0</v>
      </c>
      <c r="AV74">
        <v>0</v>
      </c>
      <c r="AW74" s="13">
        <v>599070</v>
      </c>
      <c r="AX74" s="13">
        <v>599070</v>
      </c>
      <c r="AY74" s="13"/>
      <c r="AZ74" s="13">
        <v>24000</v>
      </c>
      <c r="BA74" s="13"/>
      <c r="BB74" s="13"/>
      <c r="BC74">
        <v>4</v>
      </c>
      <c r="BD74">
        <v>4</v>
      </c>
      <c r="BE74">
        <v>6</v>
      </c>
      <c r="BH74">
        <v>0</v>
      </c>
      <c r="BI74">
        <v>0</v>
      </c>
      <c r="BJ74">
        <v>0</v>
      </c>
      <c r="BK74">
        <v>0</v>
      </c>
      <c r="BL74" t="s">
        <v>1755</v>
      </c>
    </row>
    <row r="75" spans="1:64" x14ac:dyDescent="0.4">
      <c r="A75" s="30"/>
      <c r="B75" s="30">
        <v>43005.413194444445</v>
      </c>
      <c r="C75" t="s">
        <v>524</v>
      </c>
      <c r="D75" t="s">
        <v>477</v>
      </c>
      <c r="E75" t="s">
        <v>582</v>
      </c>
      <c r="F75" t="s">
        <v>171</v>
      </c>
      <c r="G75" t="s">
        <v>169</v>
      </c>
      <c r="H75" s="21" t="s">
        <v>94</v>
      </c>
      <c r="I75" s="86">
        <v>1</v>
      </c>
      <c r="J75" s="86">
        <v>0</v>
      </c>
      <c r="K75" t="s">
        <v>525</v>
      </c>
      <c r="L75" t="s">
        <v>654</v>
      </c>
      <c r="M75" t="s">
        <v>1470</v>
      </c>
      <c r="N75" t="str">
        <f>IF(SUM(ckCodingTable[[#This Row],[NfmlPIs]:[NnonWhtAsnPIs]])&gt;0,"WMD","")</f>
        <v/>
      </c>
      <c r="O75" t="b">
        <f>_xlfn.XOR(IFERROR(MATCH(ckCodingTable[[#This Row],[st_code]],EpscorTable[],0)&gt;0,FALSE),IFERROR(FIND("9150",ckCodingTable[[#This Row],[propPRCs]])&gt;0,FALSE))</f>
        <v>0</v>
      </c>
      <c r="P75" s="21" t="b">
        <f>_xlfn.XOR(ckCodingTable[[#This Row],[wmd]]&lt;&gt;"",IFERROR(FIND("9102",ckCodingTable[[#This Row],[propPRCs]])&gt;0,FALSE))</f>
        <v>0</v>
      </c>
      <c r="Q75" t="s">
        <v>1704</v>
      </c>
      <c r="R75" s="22">
        <v>43082.529965277776</v>
      </c>
      <c r="S75" s="108">
        <f>S74+(ckCodingTable[[#This Row],[ILN]]&lt;"M")</f>
        <v>67</v>
      </c>
      <c r="T75" s="21" t="s">
        <v>491</v>
      </c>
      <c r="U75" t="s">
        <v>1334</v>
      </c>
      <c r="V75" s="7" t="str">
        <f>HYPERLINK("https://www.ejacket.nsf.gov/ej/showProposal.do?ID="&amp;ckCodingTable[[#This Row],[prop_id]],"eJ")</f>
        <v>eJ</v>
      </c>
      <c r="W75" t="s">
        <v>478</v>
      </c>
      <c r="X75" t="s">
        <v>1334</v>
      </c>
      <c r="Y75" t="s">
        <v>1335</v>
      </c>
      <c r="Z75" t="s">
        <v>1756</v>
      </c>
      <c r="AA75" t="s">
        <v>1512</v>
      </c>
      <c r="AB75" s="111" t="str">
        <f>HYPERLINK("mailto:"&amp;ckCodingTable[[#This Row],[email]]&amp;"&amp;subject=Your NSF Proposal:  "&amp;ckCodingTable[[#This Row],[Div]]&amp;" "&amp;ckCodingTable[[#This Row],[prop_id]], ckCodingTable[[#This Row],[email]])</f>
        <v>atri@buffalo.edu</v>
      </c>
      <c r="AC75" s="30">
        <v>43191</v>
      </c>
      <c r="AD75">
        <v>48</v>
      </c>
      <c r="AE75">
        <v>1</v>
      </c>
      <c r="AG75" s="112">
        <v>1</v>
      </c>
      <c r="AH75" t="s">
        <v>1757</v>
      </c>
      <c r="AI75" s="26">
        <v>5</v>
      </c>
      <c r="AJ75" s="22">
        <v>43081.477777777778</v>
      </c>
      <c r="AL75">
        <v>4</v>
      </c>
      <c r="AN75" s="112">
        <v>4</v>
      </c>
      <c r="AO75" s="112"/>
      <c r="AP75" s="112"/>
      <c r="AQ75" s="112"/>
      <c r="AR75" s="7" t="str">
        <f>HYPERLINK("https://www.ejacket.nsf.gov/ej/showProposal.do?ID="&amp;ckCodingTable[[#This Row],[prop_id]],"eJ")</f>
        <v>eJ</v>
      </c>
      <c r="AS75" t="s">
        <v>172</v>
      </c>
      <c r="AT75" t="s">
        <v>1758</v>
      </c>
      <c r="AU75" t="b">
        <f>IF(ckCodingTable[[#This Row],[ILN]]="N",SUBSTITUTE(AT74," ","")&lt;&gt;SUBSTITUTE(ckCodingTable[[#This Row],[prop_titl_txt]]," ",""), FALSE)</f>
        <v>0</v>
      </c>
      <c r="AV75">
        <v>0</v>
      </c>
      <c r="AW75" s="13">
        <v>645322</v>
      </c>
      <c r="AX75" s="13">
        <v>645322</v>
      </c>
      <c r="AY75" s="13"/>
      <c r="AZ75" s="13">
        <v>20000</v>
      </c>
      <c r="BA75" s="13"/>
      <c r="BB75" s="13">
        <v>27000</v>
      </c>
      <c r="BC75">
        <v>4</v>
      </c>
      <c r="BD75">
        <v>4</v>
      </c>
      <c r="BE75">
        <v>7</v>
      </c>
      <c r="BH75">
        <v>0</v>
      </c>
      <c r="BI75">
        <v>0</v>
      </c>
      <c r="BJ75">
        <v>0</v>
      </c>
      <c r="BK75">
        <v>0</v>
      </c>
      <c r="BL75" t="s">
        <v>1759</v>
      </c>
    </row>
    <row r="76" spans="1:64" x14ac:dyDescent="0.4">
      <c r="A76" s="30"/>
      <c r="B76" s="30">
        <v>43004.498611111114</v>
      </c>
      <c r="C76" t="s">
        <v>524</v>
      </c>
      <c r="D76" t="s">
        <v>477</v>
      </c>
      <c r="E76" t="s">
        <v>582</v>
      </c>
      <c r="F76" t="s">
        <v>171</v>
      </c>
      <c r="G76" t="s">
        <v>169</v>
      </c>
      <c r="H76" s="21" t="s">
        <v>94</v>
      </c>
      <c r="I76" s="86">
        <v>1</v>
      </c>
      <c r="J76" s="86">
        <v>0</v>
      </c>
      <c r="K76" t="s">
        <v>525</v>
      </c>
      <c r="L76" t="s">
        <v>654</v>
      </c>
      <c r="M76" t="s">
        <v>230</v>
      </c>
      <c r="N76" t="str">
        <f>IF(SUM(ckCodingTable[[#This Row],[NfmlPIs]:[NnonWhtAsnPIs]])&gt;0,"WMD","")</f>
        <v/>
      </c>
      <c r="O76" t="b">
        <f>_xlfn.XOR(IFERROR(MATCH(ckCodingTable[[#This Row],[st_code]],EpscorTable[],0)&gt;0,FALSE),IFERROR(FIND("9150",ckCodingTable[[#This Row],[propPRCs]])&gt;0,FALSE))</f>
        <v>0</v>
      </c>
      <c r="P76" s="21" t="b">
        <f>_xlfn.XOR(ckCodingTable[[#This Row],[wmd]]&lt;&gt;"",IFERROR(FIND("9102",ckCodingTable[[#This Row],[propPRCs]])&gt;0,FALSE))</f>
        <v>0</v>
      </c>
      <c r="Q76" t="s">
        <v>1704</v>
      </c>
      <c r="R76" s="22">
        <v>43082.529965277776</v>
      </c>
      <c r="S76" s="108">
        <f>S75+(ckCodingTable[[#This Row],[ILN]]&lt;"M")</f>
        <v>67</v>
      </c>
      <c r="T76" s="21" t="s">
        <v>493</v>
      </c>
      <c r="U76" t="s">
        <v>1334</v>
      </c>
      <c r="V76" s="7" t="str">
        <f>HYPERLINK("https://www.ejacket.nsf.gov/ej/showProposal.do?ID="&amp;ckCodingTable[[#This Row],[prop_id]],"eJ")</f>
        <v>eJ</v>
      </c>
      <c r="W76" t="s">
        <v>478</v>
      </c>
      <c r="X76" t="s">
        <v>1760</v>
      </c>
      <c r="Y76" t="s">
        <v>1761</v>
      </c>
      <c r="Z76" t="s">
        <v>1762</v>
      </c>
      <c r="AA76" t="s">
        <v>1465</v>
      </c>
      <c r="AB76" s="111" t="str">
        <f>HYPERLINK("mailto:"&amp;ckCodingTable[[#This Row],[email]]&amp;"&amp;subject=Your NSF Proposal:  "&amp;ckCodingTable[[#This Row],[Div]]&amp;" "&amp;ckCodingTable[[#This Row],[prop_id]], ckCodingTable[[#This Row],[email]])</f>
        <v>chrismre@cs.stanford.edu</v>
      </c>
      <c r="AC76" s="30">
        <v>43191</v>
      </c>
      <c r="AD76">
        <v>48</v>
      </c>
      <c r="AG76" s="112"/>
      <c r="AI76" s="26"/>
      <c r="AJ76" s="22"/>
      <c r="AN76" s="112"/>
      <c r="AO76" s="112"/>
      <c r="AP76" s="112"/>
      <c r="AQ76" s="112"/>
      <c r="AR76" s="7" t="str">
        <f>HYPERLINK("https://www.ejacket.nsf.gov/ej/showProposal.do?ID="&amp;ckCodingTable[[#This Row],[prop_id]],"eJ")</f>
        <v>eJ</v>
      </c>
      <c r="AS76" t="s">
        <v>172</v>
      </c>
      <c r="AT76" t="s">
        <v>1758</v>
      </c>
      <c r="AU76" t="b">
        <f>IF(ckCodingTable[[#This Row],[ILN]]="N",SUBSTITUTE(AT75," ","")&lt;&gt;SUBSTITUTE(ckCodingTable[[#This Row],[prop_titl_txt]]," ",""), FALSE)</f>
        <v>0</v>
      </c>
      <c r="AV76">
        <v>0</v>
      </c>
      <c r="AW76" s="13">
        <v>552118</v>
      </c>
      <c r="AX76" s="13">
        <v>552118</v>
      </c>
      <c r="AY76" s="13"/>
      <c r="AZ76" s="13"/>
      <c r="BA76" s="13"/>
      <c r="BB76" s="13"/>
      <c r="BC76">
        <v>4</v>
      </c>
      <c r="BD76">
        <v>4</v>
      </c>
      <c r="BE76">
        <v>0.84</v>
      </c>
      <c r="BF76">
        <v>1.8</v>
      </c>
      <c r="BH76">
        <v>0</v>
      </c>
      <c r="BI76">
        <v>0</v>
      </c>
      <c r="BJ76">
        <v>0</v>
      </c>
      <c r="BK76">
        <v>0</v>
      </c>
      <c r="BL76" t="s">
        <v>1763</v>
      </c>
    </row>
    <row r="77" spans="1:64" x14ac:dyDescent="0.4">
      <c r="A77" s="30"/>
      <c r="B77" s="30">
        <v>43005.479861111111</v>
      </c>
      <c r="C77" t="s">
        <v>524</v>
      </c>
      <c r="D77" t="s">
        <v>477</v>
      </c>
      <c r="E77" t="s">
        <v>582</v>
      </c>
      <c r="F77" t="s">
        <v>171</v>
      </c>
      <c r="G77" t="s">
        <v>169</v>
      </c>
      <c r="H77" s="21" t="s">
        <v>94</v>
      </c>
      <c r="I77" s="86">
        <v>1</v>
      </c>
      <c r="J77" s="86">
        <v>0</v>
      </c>
      <c r="K77" t="s">
        <v>525</v>
      </c>
      <c r="L77" t="s">
        <v>654</v>
      </c>
      <c r="M77" t="s">
        <v>231</v>
      </c>
      <c r="N77" t="str">
        <f>IF(SUM(ckCodingTable[[#This Row],[NfmlPIs]:[NnonWhtAsnPIs]])&gt;0,"WMD","")</f>
        <v/>
      </c>
      <c r="O77" t="b">
        <f>_xlfn.XOR(IFERROR(MATCH(ckCodingTable[[#This Row],[st_code]],EpscorTable[],0)&gt;0,FALSE),IFERROR(FIND("9150",ckCodingTable[[#This Row],[propPRCs]])&gt;0,FALSE))</f>
        <v>0</v>
      </c>
      <c r="P77" s="21" t="b">
        <f>_xlfn.XOR(ckCodingTable[[#This Row],[wmd]]&lt;&gt;"",IFERROR(FIND("9102",ckCodingTable[[#This Row],[propPRCs]])&gt;0,FALSE))</f>
        <v>0</v>
      </c>
      <c r="Q77" t="s">
        <v>1704</v>
      </c>
      <c r="R77" s="22">
        <v>43082.530034722222</v>
      </c>
      <c r="S77" s="108">
        <f>S76+(ckCodingTable[[#This Row],[ILN]]&lt;"M")</f>
        <v>68</v>
      </c>
      <c r="T77" s="21" t="s">
        <v>491</v>
      </c>
      <c r="U77" t="s">
        <v>1343</v>
      </c>
      <c r="V77" s="7" t="str">
        <f>HYPERLINK("https://www.ejacket.nsf.gov/ej/showProposal.do?ID="&amp;ckCodingTable[[#This Row],[prop_id]],"eJ")</f>
        <v>eJ</v>
      </c>
      <c r="W77" t="s">
        <v>478</v>
      </c>
      <c r="X77" t="s">
        <v>1343</v>
      </c>
      <c r="Y77" t="s">
        <v>489</v>
      </c>
      <c r="Z77" t="s">
        <v>1566</v>
      </c>
      <c r="AA77" t="s">
        <v>502</v>
      </c>
      <c r="AB77" s="111" t="str">
        <f>HYPERLINK("mailto:"&amp;ckCodingTable[[#This Row],[email]]&amp;"&amp;subject=Your NSF Proposal:  "&amp;ckCodingTable[[#This Row],[Div]]&amp;" "&amp;ckCodingTable[[#This Row],[prop_id]], ckCodingTable[[#This Row],[email]])</f>
        <v>hu.nguyen@neu.edu</v>
      </c>
      <c r="AC77" s="30">
        <v>43344</v>
      </c>
      <c r="AD77">
        <v>48</v>
      </c>
      <c r="AE77">
        <v>1</v>
      </c>
      <c r="AG77" s="112">
        <v>1</v>
      </c>
      <c r="AH77" t="s">
        <v>1563</v>
      </c>
      <c r="AI77" s="26">
        <v>5.5</v>
      </c>
      <c r="AJ77" s="22">
        <v>43081.395138888889</v>
      </c>
      <c r="AL77">
        <v>4</v>
      </c>
      <c r="AN77" s="112">
        <v>4</v>
      </c>
      <c r="AO77" s="112"/>
      <c r="AP77" s="112"/>
      <c r="AQ77" s="112"/>
      <c r="AR77" s="7" t="str">
        <f>HYPERLINK("https://www.ejacket.nsf.gov/ej/showProposal.do?ID="&amp;ckCodingTable[[#This Row],[prop_id]],"eJ")</f>
        <v>eJ</v>
      </c>
      <c r="AS77" t="s">
        <v>172</v>
      </c>
      <c r="AT77" t="s">
        <v>1764</v>
      </c>
      <c r="AU77" t="b">
        <f>IF(ckCodingTable[[#This Row],[ILN]]="N",SUBSTITUTE(AT76," ","")&lt;&gt;SUBSTITUTE(ckCodingTable[[#This Row],[prop_titl_txt]]," ",""), FALSE)</f>
        <v>0</v>
      </c>
      <c r="AV77">
        <v>0</v>
      </c>
      <c r="AW77" s="13">
        <v>574949</v>
      </c>
      <c r="AX77" s="13">
        <v>574949</v>
      </c>
      <c r="AY77" s="13"/>
      <c r="AZ77" s="13">
        <v>12300</v>
      </c>
      <c r="BA77" s="13">
        <v>71475</v>
      </c>
      <c r="BB77" s="13"/>
      <c r="BC77">
        <v>4</v>
      </c>
      <c r="BD77">
        <v>4</v>
      </c>
      <c r="BE77">
        <v>4</v>
      </c>
      <c r="BH77">
        <v>0</v>
      </c>
      <c r="BI77">
        <v>0</v>
      </c>
      <c r="BJ77">
        <v>0</v>
      </c>
      <c r="BK77">
        <v>0</v>
      </c>
      <c r="BL77" t="s">
        <v>1569</v>
      </c>
    </row>
    <row r="78" spans="1:64" x14ac:dyDescent="0.4">
      <c r="A78" s="30"/>
      <c r="B78" s="30">
        <v>43005.434027777781</v>
      </c>
      <c r="C78" t="s">
        <v>524</v>
      </c>
      <c r="D78" t="s">
        <v>477</v>
      </c>
      <c r="E78" t="s">
        <v>582</v>
      </c>
      <c r="F78" t="s">
        <v>171</v>
      </c>
      <c r="G78" t="s">
        <v>169</v>
      </c>
      <c r="H78" s="21" t="s">
        <v>94</v>
      </c>
      <c r="I78" s="86">
        <v>1</v>
      </c>
      <c r="J78" s="86">
        <v>0</v>
      </c>
      <c r="K78" t="s">
        <v>525</v>
      </c>
      <c r="L78" t="s">
        <v>654</v>
      </c>
      <c r="M78" t="s">
        <v>231</v>
      </c>
      <c r="N78" t="str">
        <f>IF(SUM(ckCodingTable[[#This Row],[NfmlPIs]:[NnonWhtAsnPIs]])&gt;0,"WMD","")</f>
        <v>WMD</v>
      </c>
      <c r="O78" t="b">
        <f>_xlfn.XOR(IFERROR(MATCH(ckCodingTable[[#This Row],[st_code]],EpscorTable[],0)&gt;0,FALSE),IFERROR(FIND("9150",ckCodingTable[[#This Row],[propPRCs]])&gt;0,FALSE))</f>
        <v>0</v>
      </c>
      <c r="P78" s="21" t="b">
        <f>_xlfn.XOR(ckCodingTable[[#This Row],[wmd]]&lt;&gt;"",IFERROR(FIND("9102",ckCodingTable[[#This Row],[propPRCs]])&gt;0,FALSE))</f>
        <v>1</v>
      </c>
      <c r="Q78" t="s">
        <v>1704</v>
      </c>
      <c r="R78" s="22">
        <v>43082.530034722222</v>
      </c>
      <c r="S78" s="108">
        <f>S77+(ckCodingTable[[#This Row],[ILN]]&lt;"M")</f>
        <v>68</v>
      </c>
      <c r="T78" s="21" t="s">
        <v>493</v>
      </c>
      <c r="U78" t="s">
        <v>1343</v>
      </c>
      <c r="V78" s="7" t="str">
        <f>HYPERLINK("https://www.ejacket.nsf.gov/ej/showProposal.do?ID="&amp;ckCodingTable[[#This Row],[prop_id]],"eJ")</f>
        <v>eJ</v>
      </c>
      <c r="W78" t="s">
        <v>478</v>
      </c>
      <c r="X78" t="s">
        <v>1765</v>
      </c>
      <c r="Y78" t="s">
        <v>1766</v>
      </c>
      <c r="Z78" t="s">
        <v>1767</v>
      </c>
      <c r="AA78" t="s">
        <v>1728</v>
      </c>
      <c r="AB78" s="111" t="str">
        <f>HYPERLINK("mailto:"&amp;ckCodingTable[[#This Row],[email]]&amp;"&amp;subject=Your NSF Proposal:  "&amp;ckCodingTable[[#This Row],[Div]]&amp;" "&amp;ckCodingTable[[#This Row],[prop_id]], ckCodingTable[[#This Row],[email]])</f>
        <v>minilek@seas.harvard.edu</v>
      </c>
      <c r="AC78" s="30">
        <v>43344</v>
      </c>
      <c r="AD78">
        <v>48</v>
      </c>
      <c r="AG78" s="112"/>
      <c r="AI78" s="26"/>
      <c r="AJ78" s="22"/>
      <c r="AN78" s="112"/>
      <c r="AO78" s="112"/>
      <c r="AP78" s="112"/>
      <c r="AQ78" s="112"/>
      <c r="AR78" s="7" t="str">
        <f>HYPERLINK("https://www.ejacket.nsf.gov/ej/showProposal.do?ID="&amp;ckCodingTable[[#This Row],[prop_id]],"eJ")</f>
        <v>eJ</v>
      </c>
      <c r="AS78" t="s">
        <v>172</v>
      </c>
      <c r="AT78" t="s">
        <v>1764</v>
      </c>
      <c r="AU78" t="b">
        <f>IF(ckCodingTable[[#This Row],[ILN]]="N",SUBSTITUTE(AT77," ","")&lt;&gt;SUBSTITUTE(ckCodingTable[[#This Row],[prop_titl_txt]]," ",""), FALSE)</f>
        <v>0</v>
      </c>
      <c r="AV78">
        <v>0</v>
      </c>
      <c r="AW78" s="13">
        <v>475000</v>
      </c>
      <c r="AX78" s="13">
        <v>475000</v>
      </c>
      <c r="AY78" s="13"/>
      <c r="AZ78" s="13">
        <v>12713</v>
      </c>
      <c r="BA78" s="13"/>
      <c r="BB78" s="13"/>
      <c r="BC78">
        <v>5</v>
      </c>
      <c r="BD78">
        <v>3</v>
      </c>
      <c r="BG78">
        <v>3</v>
      </c>
      <c r="BH78">
        <v>0</v>
      </c>
      <c r="BI78">
        <v>0</v>
      </c>
      <c r="BJ78">
        <v>1</v>
      </c>
      <c r="BK78">
        <v>0</v>
      </c>
      <c r="BL78" t="s">
        <v>1768</v>
      </c>
    </row>
    <row r="79" spans="1:64" x14ac:dyDescent="0.4">
      <c r="A79" s="30"/>
      <c r="B79" s="30">
        <v>43005.582638888889</v>
      </c>
      <c r="C79" t="s">
        <v>524</v>
      </c>
      <c r="D79" t="s">
        <v>477</v>
      </c>
      <c r="E79" t="s">
        <v>582</v>
      </c>
      <c r="F79" t="s">
        <v>171</v>
      </c>
      <c r="G79" t="s">
        <v>169</v>
      </c>
      <c r="H79" s="21" t="s">
        <v>94</v>
      </c>
      <c r="I79" s="86">
        <v>1</v>
      </c>
      <c r="J79" s="86">
        <v>0</v>
      </c>
      <c r="K79" t="s">
        <v>525</v>
      </c>
      <c r="L79" t="s">
        <v>611</v>
      </c>
      <c r="M79" t="s">
        <v>117</v>
      </c>
      <c r="N79" t="str">
        <f>IF(SUM(ckCodingTable[[#This Row],[NfmlPIs]:[NnonWhtAsnPIs]])&gt;0,"WMD","")</f>
        <v/>
      </c>
      <c r="O79" t="b">
        <f>_xlfn.XOR(IFERROR(MATCH(ckCodingTable[[#This Row],[st_code]],EpscorTable[],0)&gt;0,FALSE),IFERROR(FIND("9150",ckCodingTable[[#This Row],[propPRCs]])&gt;0,FALSE))</f>
        <v>0</v>
      </c>
      <c r="P79" s="21" t="b">
        <f>_xlfn.XOR(ckCodingTable[[#This Row],[wmd]]&lt;&gt;"",IFERROR(FIND("9102",ckCodingTable[[#This Row],[propPRCs]])&gt;0,FALSE))</f>
        <v>0</v>
      </c>
      <c r="Q79" t="s">
        <v>1769</v>
      </c>
      <c r="R79" s="22">
        <v>43082.530104166668</v>
      </c>
      <c r="S79" s="108">
        <f>S78+(ckCodingTable[[#This Row],[ILN]]&lt;"M")</f>
        <v>69</v>
      </c>
      <c r="T79" s="21" t="s">
        <v>491</v>
      </c>
      <c r="U79" t="s">
        <v>1351</v>
      </c>
      <c r="V79" s="7" t="str">
        <f>HYPERLINK("https://www.ejacket.nsf.gov/ej/showProposal.do?ID="&amp;ckCodingTable[[#This Row],[prop_id]],"eJ")</f>
        <v>eJ</v>
      </c>
      <c r="W79" t="s">
        <v>478</v>
      </c>
      <c r="X79" t="s">
        <v>1351</v>
      </c>
      <c r="Y79" t="s">
        <v>1352</v>
      </c>
      <c r="Z79" t="s">
        <v>1770</v>
      </c>
      <c r="AA79" t="s">
        <v>1771</v>
      </c>
      <c r="AB79" s="111" t="str">
        <f>HYPERLINK("mailto:"&amp;ckCodingTable[[#This Row],[email]]&amp;"&amp;subject=Your NSF Proposal:  "&amp;ckCodingTable[[#This Row],[Div]]&amp;" "&amp;ckCodingTable[[#This Row],[prop_id]], ckCodingTable[[#This Row],[email]])</f>
        <v>qcheng@ou.edu</v>
      </c>
      <c r="AC79" s="30">
        <v>43282</v>
      </c>
      <c r="AD79">
        <v>36</v>
      </c>
      <c r="AE79">
        <v>1</v>
      </c>
      <c r="AG79" s="112">
        <v>1</v>
      </c>
      <c r="AH79" t="s">
        <v>1772</v>
      </c>
      <c r="AI79" s="26">
        <v>5</v>
      </c>
      <c r="AJ79" s="22">
        <v>43081.617361111108</v>
      </c>
      <c r="AL79">
        <v>4</v>
      </c>
      <c r="AN79" s="112">
        <v>4</v>
      </c>
      <c r="AO79" s="112"/>
      <c r="AP79" s="112"/>
      <c r="AQ79" s="112"/>
      <c r="AR79" s="7" t="str">
        <f>HYPERLINK("https://www.ejacket.nsf.gov/ej/showProposal.do?ID="&amp;ckCodingTable[[#This Row],[prop_id]],"eJ")</f>
        <v>eJ</v>
      </c>
      <c r="AS79" t="s">
        <v>172</v>
      </c>
      <c r="AT79" t="s">
        <v>1773</v>
      </c>
      <c r="AU79" t="b">
        <f>IF(ckCodingTable[[#This Row],[ILN]]="N",SUBSTITUTE(AT78," ","")&lt;&gt;SUBSTITUTE(ckCodingTable[[#This Row],[prop_titl_txt]]," ",""), FALSE)</f>
        <v>0</v>
      </c>
      <c r="AV79">
        <v>0</v>
      </c>
      <c r="AW79" s="13">
        <v>298823</v>
      </c>
      <c r="AX79" s="13">
        <v>298823</v>
      </c>
      <c r="AY79" s="13"/>
      <c r="AZ79" s="13"/>
      <c r="BA79" s="13"/>
      <c r="BB79" s="13"/>
      <c r="BC79">
        <v>3</v>
      </c>
      <c r="BD79">
        <v>3</v>
      </c>
      <c r="BE79">
        <v>3</v>
      </c>
      <c r="BH79">
        <v>0</v>
      </c>
      <c r="BI79">
        <v>0</v>
      </c>
      <c r="BJ79">
        <v>0</v>
      </c>
      <c r="BK79">
        <v>0</v>
      </c>
      <c r="BL79" t="s">
        <v>1774</v>
      </c>
    </row>
    <row r="80" spans="1:64" x14ac:dyDescent="0.4">
      <c r="A80" s="30"/>
      <c r="B80" s="30">
        <v>43005.537499999999</v>
      </c>
      <c r="C80" t="s">
        <v>524</v>
      </c>
      <c r="D80" t="s">
        <v>477</v>
      </c>
      <c r="E80" t="s">
        <v>582</v>
      </c>
      <c r="F80" t="s">
        <v>171</v>
      </c>
      <c r="G80" t="s">
        <v>169</v>
      </c>
      <c r="H80" s="21" t="s">
        <v>94</v>
      </c>
      <c r="I80" s="86">
        <v>1</v>
      </c>
      <c r="J80" s="86">
        <v>0</v>
      </c>
      <c r="K80" t="s">
        <v>525</v>
      </c>
      <c r="L80" t="s">
        <v>611</v>
      </c>
      <c r="M80" t="s">
        <v>230</v>
      </c>
      <c r="N80" t="str">
        <f>IF(SUM(ckCodingTable[[#This Row],[NfmlPIs]:[NnonWhtAsnPIs]])&gt;0,"WMD","")</f>
        <v/>
      </c>
      <c r="O80" t="b">
        <f>_xlfn.XOR(IFERROR(MATCH(ckCodingTable[[#This Row],[st_code]],EpscorTable[],0)&gt;0,FALSE),IFERROR(FIND("9150",ckCodingTable[[#This Row],[propPRCs]])&gt;0,FALSE))</f>
        <v>0</v>
      </c>
      <c r="P80" s="21" t="b">
        <f>_xlfn.XOR(ckCodingTable[[#This Row],[wmd]]&lt;&gt;"",IFERROR(FIND("9102",ckCodingTable[[#This Row],[propPRCs]])&gt;0,FALSE))</f>
        <v>0</v>
      </c>
      <c r="Q80" t="s">
        <v>1722</v>
      </c>
      <c r="R80" s="22">
        <v>43082.530104166668</v>
      </c>
      <c r="S80" s="108">
        <f>S79+(ckCodingTable[[#This Row],[ILN]]&lt;"M")</f>
        <v>69</v>
      </c>
      <c r="T80" s="21" t="s">
        <v>493</v>
      </c>
      <c r="U80" t="s">
        <v>1351</v>
      </c>
      <c r="V80" s="7" t="str">
        <f>HYPERLINK("https://www.ejacket.nsf.gov/ej/showProposal.do?ID="&amp;ckCodingTable[[#This Row],[prop_id]],"eJ")</f>
        <v>eJ</v>
      </c>
      <c r="W80" t="s">
        <v>478</v>
      </c>
      <c r="X80" t="s">
        <v>1775</v>
      </c>
      <c r="Y80" t="s">
        <v>1776</v>
      </c>
      <c r="Z80" t="s">
        <v>1777</v>
      </c>
      <c r="AA80" t="s">
        <v>1709</v>
      </c>
      <c r="AB80" s="111" t="str">
        <f>HYPERLINK("mailto:"&amp;ckCodingTable[[#This Row],[email]]&amp;"&amp;subject=Your NSF Proposal:  "&amp;ckCodingTable[[#This Row],[Div]]&amp;" "&amp;ckCodingTable[[#This Row],[prop_id]], ckCodingTable[[#This Row],[email]])</f>
        <v>dwan@math.uci.edu</v>
      </c>
      <c r="AC80" s="30">
        <v>43282</v>
      </c>
      <c r="AD80">
        <v>36</v>
      </c>
      <c r="AG80" s="112"/>
      <c r="AI80" s="26"/>
      <c r="AJ80" s="22"/>
      <c r="AN80" s="112"/>
      <c r="AO80" s="112"/>
      <c r="AP80" s="112"/>
      <c r="AQ80" s="112"/>
      <c r="AR80" s="7" t="str">
        <f>HYPERLINK("https://www.ejacket.nsf.gov/ej/showProposal.do?ID="&amp;ckCodingTable[[#This Row],[prop_id]],"eJ")</f>
        <v>eJ</v>
      </c>
      <c r="AS80" t="s">
        <v>172</v>
      </c>
      <c r="AT80" t="s">
        <v>1773</v>
      </c>
      <c r="AU80" t="b">
        <f>IF(ckCodingTable[[#This Row],[ILN]]="N",SUBSTITUTE(AT79," ","")&lt;&gt;SUBSTITUTE(ckCodingTable[[#This Row],[prop_titl_txt]]," ",""), FALSE)</f>
        <v>0</v>
      </c>
      <c r="AV80">
        <v>0</v>
      </c>
      <c r="AW80" s="13">
        <v>299950</v>
      </c>
      <c r="AX80" s="13">
        <v>299950</v>
      </c>
      <c r="AY80" s="13"/>
      <c r="AZ80" s="13">
        <v>15455</v>
      </c>
      <c r="BA80" s="13"/>
      <c r="BB80" s="13"/>
      <c r="BC80">
        <v>3</v>
      </c>
      <c r="BD80">
        <v>3</v>
      </c>
      <c r="BE80">
        <v>3</v>
      </c>
      <c r="BH80">
        <v>0</v>
      </c>
      <c r="BI80">
        <v>0</v>
      </c>
      <c r="BJ80">
        <v>0</v>
      </c>
      <c r="BK80">
        <v>0</v>
      </c>
      <c r="BL80" t="s">
        <v>1778</v>
      </c>
    </row>
    <row r="81" spans="1:64" x14ac:dyDescent="0.4">
      <c r="A81" s="30"/>
      <c r="B81" s="30">
        <v>43005.547222222223</v>
      </c>
      <c r="C81" t="s">
        <v>524</v>
      </c>
      <c r="D81" t="s">
        <v>477</v>
      </c>
      <c r="E81" t="s">
        <v>582</v>
      </c>
      <c r="F81" t="s">
        <v>171</v>
      </c>
      <c r="G81" t="s">
        <v>169</v>
      </c>
      <c r="H81" s="21" t="s">
        <v>94</v>
      </c>
      <c r="I81" s="86">
        <v>1</v>
      </c>
      <c r="J81" s="86">
        <v>0</v>
      </c>
      <c r="K81" t="s">
        <v>525</v>
      </c>
      <c r="L81" t="s">
        <v>611</v>
      </c>
      <c r="M81" t="s">
        <v>119</v>
      </c>
      <c r="N81" t="str">
        <f>IF(SUM(ckCodingTable[[#This Row],[NfmlPIs]:[NnonWhtAsnPIs]])&gt;0,"WMD","")</f>
        <v/>
      </c>
      <c r="O81" t="b">
        <f>_xlfn.XOR(IFERROR(MATCH(ckCodingTable[[#This Row],[st_code]],EpscorTable[],0)&gt;0,FALSE),IFERROR(FIND("9150",ckCodingTable[[#This Row],[propPRCs]])&gt;0,FALSE))</f>
        <v>0</v>
      </c>
      <c r="P81" s="21" t="b">
        <f>_xlfn.XOR(ckCodingTable[[#This Row],[wmd]]&lt;&gt;"",IFERROR(FIND("9102",ckCodingTable[[#This Row],[propPRCs]])&gt;0,FALSE))</f>
        <v>0</v>
      </c>
      <c r="Q81" t="s">
        <v>1769</v>
      </c>
      <c r="R81" s="22">
        <v>43082.530104166668</v>
      </c>
      <c r="S81" s="108">
        <f>S80+(ckCodingTable[[#This Row],[ILN]]&lt;"M")</f>
        <v>69</v>
      </c>
      <c r="T81" s="21" t="s">
        <v>493</v>
      </c>
      <c r="U81" t="s">
        <v>1351</v>
      </c>
      <c r="V81" s="7" t="str">
        <f>HYPERLINK("https://www.ejacket.nsf.gov/ej/showProposal.do?ID="&amp;ckCodingTable[[#This Row],[prop_id]],"eJ")</f>
        <v>eJ</v>
      </c>
      <c r="W81" t="s">
        <v>478</v>
      </c>
      <c r="X81" t="s">
        <v>1779</v>
      </c>
      <c r="Y81" t="s">
        <v>1780</v>
      </c>
      <c r="Z81" t="s">
        <v>1781</v>
      </c>
      <c r="AA81" t="s">
        <v>1782</v>
      </c>
      <c r="AB81" s="111" t="str">
        <f>HYPERLINK("mailto:"&amp;ckCodingTable[[#This Row],[email]]&amp;"&amp;subject=Your NSF Proposal:  "&amp;ckCodingTable[[#This Row],[Div]]&amp;" "&amp;ckCodingTable[[#This Row],[prop_id]], ckCodingTable[[#This Row],[email]])</f>
        <v>sgao@clemson.edu</v>
      </c>
      <c r="AC81" s="30">
        <v>43282</v>
      </c>
      <c r="AD81">
        <v>36</v>
      </c>
      <c r="AG81" s="112"/>
      <c r="AI81" s="26"/>
      <c r="AJ81" s="22"/>
      <c r="AN81" s="112"/>
      <c r="AO81" s="112"/>
      <c r="AP81" s="112"/>
      <c r="AQ81" s="112"/>
      <c r="AR81" s="7" t="str">
        <f>HYPERLINK("https://www.ejacket.nsf.gov/ej/showProposal.do?ID="&amp;ckCodingTable[[#This Row],[prop_id]],"eJ")</f>
        <v>eJ</v>
      </c>
      <c r="AS81" t="s">
        <v>172</v>
      </c>
      <c r="AT81" t="s">
        <v>1783</v>
      </c>
      <c r="AU81" t="b">
        <f>IF(ckCodingTable[[#This Row],[ILN]]="N",SUBSTITUTE(AT80," ","")&lt;&gt;SUBSTITUTE(ckCodingTable[[#This Row],[prop_titl_txt]]," ",""), FALSE)</f>
        <v>0</v>
      </c>
      <c r="AV81">
        <v>0</v>
      </c>
      <c r="AW81" s="13">
        <v>299918</v>
      </c>
      <c r="AX81" s="13">
        <v>299918</v>
      </c>
      <c r="AY81" s="13"/>
      <c r="AZ81" s="13">
        <v>13500</v>
      </c>
      <c r="BA81" s="13"/>
      <c r="BB81" s="13"/>
      <c r="BC81">
        <v>3</v>
      </c>
      <c r="BD81">
        <v>3</v>
      </c>
      <c r="BE81">
        <v>3.3</v>
      </c>
      <c r="BH81">
        <v>0</v>
      </c>
      <c r="BI81">
        <v>0</v>
      </c>
      <c r="BJ81">
        <v>0</v>
      </c>
      <c r="BK81">
        <v>0</v>
      </c>
      <c r="BL81" t="s">
        <v>1784</v>
      </c>
    </row>
    <row r="82" spans="1:64" x14ac:dyDescent="0.4">
      <c r="A82" s="30"/>
      <c r="B82" s="30">
        <v>43005.606249999997</v>
      </c>
      <c r="C82" t="s">
        <v>524</v>
      </c>
      <c r="D82" t="s">
        <v>477</v>
      </c>
      <c r="E82" t="s">
        <v>582</v>
      </c>
      <c r="F82" t="s">
        <v>171</v>
      </c>
      <c r="G82" t="s">
        <v>169</v>
      </c>
      <c r="H82" s="21" t="s">
        <v>94</v>
      </c>
      <c r="I82" s="86">
        <v>1</v>
      </c>
      <c r="J82" s="86">
        <v>0</v>
      </c>
      <c r="K82" t="s">
        <v>525</v>
      </c>
      <c r="L82" t="s">
        <v>611</v>
      </c>
      <c r="M82" t="s">
        <v>310</v>
      </c>
      <c r="N82" t="str">
        <f>IF(SUM(ckCodingTable[[#This Row],[NfmlPIs]:[NnonWhtAsnPIs]])&gt;0,"WMD","")</f>
        <v>WMD</v>
      </c>
      <c r="O82" t="b">
        <f>_xlfn.XOR(IFERROR(MATCH(ckCodingTable[[#This Row],[st_code]],EpscorTable[],0)&gt;0,FALSE),IFERROR(FIND("9150",ckCodingTable[[#This Row],[propPRCs]])&gt;0,FALSE))</f>
        <v>0</v>
      </c>
      <c r="P82" s="21" t="b">
        <f>_xlfn.XOR(ckCodingTable[[#This Row],[wmd]]&lt;&gt;"",IFERROR(FIND("9102",ckCodingTable[[#This Row],[propPRCs]])&gt;0,FALSE))</f>
        <v>1</v>
      </c>
      <c r="Q82" t="s">
        <v>1722</v>
      </c>
      <c r="R82" s="22">
        <v>43082.530104166668</v>
      </c>
      <c r="S82" s="108">
        <f>S81+(ckCodingTable[[#This Row],[ILN]]&lt;"M")</f>
        <v>69</v>
      </c>
      <c r="T82" s="21" t="s">
        <v>493</v>
      </c>
      <c r="U82" t="s">
        <v>1351</v>
      </c>
      <c r="V82" s="7" t="str">
        <f>HYPERLINK("https://www.ejacket.nsf.gov/ej/showProposal.do?ID="&amp;ckCodingTable[[#This Row],[prop_id]],"eJ")</f>
        <v>eJ</v>
      </c>
      <c r="W82" t="s">
        <v>478</v>
      </c>
      <c r="X82" t="s">
        <v>1785</v>
      </c>
      <c r="Y82" t="s">
        <v>1786</v>
      </c>
      <c r="Z82" t="s">
        <v>1787</v>
      </c>
      <c r="AA82" t="s">
        <v>1788</v>
      </c>
      <c r="AB82" s="111" t="str">
        <f>HYPERLINK("mailto:"&amp;ckCodingTable[[#This Row],[email]]&amp;"&amp;subject=Your NSF Proposal:  "&amp;ckCodingTable[[#This Row],[Div]]&amp;" "&amp;ckCodingTable[[#This Row],[prop_id]], ckCodingTable[[#This Row],[email]])</f>
        <v>rojas@math.tamu.edu</v>
      </c>
      <c r="AC82" s="30">
        <v>43282</v>
      </c>
      <c r="AD82">
        <v>36</v>
      </c>
      <c r="AG82" s="112"/>
      <c r="AI82" s="26"/>
      <c r="AJ82" s="22"/>
      <c r="AN82" s="112"/>
      <c r="AO82" s="112"/>
      <c r="AP82" s="112"/>
      <c r="AQ82" s="112"/>
      <c r="AR82" s="7" t="str">
        <f>HYPERLINK("https://www.ejacket.nsf.gov/ej/showProposal.do?ID="&amp;ckCodingTable[[#This Row],[prop_id]],"eJ")</f>
        <v>eJ</v>
      </c>
      <c r="AS82" t="s">
        <v>172</v>
      </c>
      <c r="AT82" t="s">
        <v>1773</v>
      </c>
      <c r="AU82" t="b">
        <f>IF(ckCodingTable[[#This Row],[ILN]]="N",SUBSTITUTE(AT81," ","")&lt;&gt;SUBSTITUTE(ckCodingTable[[#This Row],[prop_titl_txt]]," ",""), FALSE)</f>
        <v>0</v>
      </c>
      <c r="AV82">
        <v>0</v>
      </c>
      <c r="AW82" s="13">
        <v>300000</v>
      </c>
      <c r="AX82" s="13">
        <v>300000</v>
      </c>
      <c r="AY82" s="13"/>
      <c r="AZ82" s="13"/>
      <c r="BA82" s="13"/>
      <c r="BB82" s="13"/>
      <c r="BC82">
        <v>6</v>
      </c>
      <c r="BD82">
        <v>3</v>
      </c>
      <c r="BG82">
        <v>4.5</v>
      </c>
      <c r="BH82">
        <v>0</v>
      </c>
      <c r="BI82">
        <v>1</v>
      </c>
      <c r="BJ82">
        <v>0</v>
      </c>
      <c r="BK82">
        <v>0</v>
      </c>
      <c r="BL82" t="s">
        <v>1789</v>
      </c>
    </row>
    <row r="83" spans="1:64" x14ac:dyDescent="0.4">
      <c r="A83" s="30"/>
      <c r="B83" s="30">
        <v>43005.590277777781</v>
      </c>
      <c r="C83" t="s">
        <v>524</v>
      </c>
      <c r="D83" t="s">
        <v>477</v>
      </c>
      <c r="E83" t="s">
        <v>582</v>
      </c>
      <c r="F83" t="s">
        <v>171</v>
      </c>
      <c r="G83" t="s">
        <v>169</v>
      </c>
      <c r="H83" s="21" t="s">
        <v>94</v>
      </c>
      <c r="I83" s="86">
        <v>1</v>
      </c>
      <c r="J83" s="86">
        <v>0</v>
      </c>
      <c r="K83" t="s">
        <v>525</v>
      </c>
      <c r="L83" t="s">
        <v>611</v>
      </c>
      <c r="M83" t="s">
        <v>494</v>
      </c>
      <c r="N83" t="str">
        <f>IF(SUM(ckCodingTable[[#This Row],[NfmlPIs]:[NnonWhtAsnPIs]])&gt;0,"WMD","")</f>
        <v/>
      </c>
      <c r="O83" t="b">
        <f>_xlfn.XOR(IFERROR(MATCH(ckCodingTable[[#This Row],[st_code]],EpscorTable[],0)&gt;0,FALSE),IFERROR(FIND("9150",ckCodingTable[[#This Row],[propPRCs]])&gt;0,FALSE))</f>
        <v>0</v>
      </c>
      <c r="P83" s="21" t="b">
        <f>_xlfn.XOR(ckCodingTable[[#This Row],[wmd]]&lt;&gt;"",IFERROR(FIND("9102",ckCodingTable[[#This Row],[propPRCs]])&gt;0,FALSE))</f>
        <v>0</v>
      </c>
      <c r="Q83" t="s">
        <v>1790</v>
      </c>
      <c r="R83" s="22">
        <v>43082.530173611114</v>
      </c>
      <c r="S83" s="108">
        <f>S82+(ckCodingTable[[#This Row],[ILN]]&lt;"M")</f>
        <v>70</v>
      </c>
      <c r="T83" s="21" t="s">
        <v>491</v>
      </c>
      <c r="U83" t="s">
        <v>1360</v>
      </c>
      <c r="V83" s="7" t="str">
        <f>HYPERLINK("https://www.ejacket.nsf.gov/ej/showProposal.do?ID="&amp;ckCodingTable[[#This Row],[prop_id]],"eJ")</f>
        <v>eJ</v>
      </c>
      <c r="W83" t="s">
        <v>478</v>
      </c>
      <c r="X83" t="s">
        <v>1360</v>
      </c>
      <c r="Y83" t="s">
        <v>1361</v>
      </c>
      <c r="Z83" t="s">
        <v>528</v>
      </c>
      <c r="AA83" t="s">
        <v>495</v>
      </c>
      <c r="AB83" s="111" t="str">
        <f>HYPERLINK("mailto:"&amp;ckCodingTable[[#This Row],[email]]&amp;"&amp;subject=Your NSF Proposal:  "&amp;ckCodingTable[[#This Row],[Div]]&amp;" "&amp;ckCodingTable[[#This Row],[prop_id]], ckCodingTable[[#This Row],[email]])</f>
        <v>dgleich@purdue.edu</v>
      </c>
      <c r="AC83" s="30">
        <v>43327</v>
      </c>
      <c r="AD83">
        <v>48</v>
      </c>
      <c r="AE83">
        <v>1</v>
      </c>
      <c r="AG83" s="112">
        <v>1</v>
      </c>
      <c r="AH83" t="s">
        <v>531</v>
      </c>
      <c r="AI83" s="26">
        <v>5.75</v>
      </c>
      <c r="AJ83" s="22">
        <v>43080.352777777778</v>
      </c>
      <c r="AK83" s="21">
        <v>1</v>
      </c>
      <c r="AL83">
        <v>4</v>
      </c>
      <c r="AN83" s="112">
        <v>4</v>
      </c>
      <c r="AO83" s="112"/>
      <c r="AP83" s="112"/>
      <c r="AQ83" s="112"/>
      <c r="AR83" s="7" t="str">
        <f>HYPERLINK("https://www.ejacket.nsf.gov/ej/showProposal.do?ID="&amp;ckCodingTable[[#This Row],[prop_id]],"eJ")</f>
        <v>eJ</v>
      </c>
      <c r="AS83" t="s">
        <v>172</v>
      </c>
      <c r="AT83" t="s">
        <v>1791</v>
      </c>
      <c r="AU83" t="b">
        <f>IF(ckCodingTable[[#This Row],[ILN]]="N",SUBSTITUTE(AT82," ","")&lt;&gt;SUBSTITUTE(ckCodingTable[[#This Row],[prop_titl_txt]]," ",""), FALSE)</f>
        <v>0</v>
      </c>
      <c r="AV83">
        <v>0</v>
      </c>
      <c r="AW83" s="13">
        <v>508040</v>
      </c>
      <c r="AX83" s="13">
        <v>508040</v>
      </c>
      <c r="AY83" s="13"/>
      <c r="AZ83" s="13">
        <v>20000</v>
      </c>
      <c r="BA83" s="13"/>
      <c r="BB83" s="13"/>
      <c r="BC83">
        <v>4</v>
      </c>
      <c r="BD83">
        <v>4</v>
      </c>
      <c r="BE83">
        <v>4</v>
      </c>
      <c r="BH83">
        <v>0</v>
      </c>
      <c r="BI83">
        <v>0</v>
      </c>
      <c r="BJ83">
        <v>0</v>
      </c>
      <c r="BK83">
        <v>0</v>
      </c>
      <c r="BL83" t="s">
        <v>1792</v>
      </c>
    </row>
    <row r="84" spans="1:64" x14ac:dyDescent="0.4">
      <c r="A84" s="30"/>
      <c r="B84" s="30">
        <v>43005.378472222219</v>
      </c>
      <c r="C84" t="s">
        <v>524</v>
      </c>
      <c r="D84" t="s">
        <v>477</v>
      </c>
      <c r="E84" t="s">
        <v>582</v>
      </c>
      <c r="F84" t="s">
        <v>171</v>
      </c>
      <c r="G84" t="s">
        <v>169</v>
      </c>
      <c r="H84" s="21" t="s">
        <v>94</v>
      </c>
      <c r="I84" s="86">
        <v>1</v>
      </c>
      <c r="J84" s="86">
        <v>0</v>
      </c>
      <c r="K84" t="s">
        <v>525</v>
      </c>
      <c r="L84" t="s">
        <v>611</v>
      </c>
      <c r="M84" t="s">
        <v>1470</v>
      </c>
      <c r="N84" t="str">
        <f>IF(SUM(ckCodingTable[[#This Row],[NfmlPIs]:[NnonWhtAsnPIs]])&gt;0,"WMD","")</f>
        <v/>
      </c>
      <c r="O84" t="b">
        <f>_xlfn.XOR(IFERROR(MATCH(ckCodingTable[[#This Row],[st_code]],EpscorTable[],0)&gt;0,FALSE),IFERROR(FIND("9150",ckCodingTable[[#This Row],[propPRCs]])&gt;0,FALSE))</f>
        <v>0</v>
      </c>
      <c r="P84" s="21" t="b">
        <f>_xlfn.XOR(ckCodingTable[[#This Row],[wmd]]&lt;&gt;"",IFERROR(FIND("9102",ckCodingTable[[#This Row],[propPRCs]])&gt;0,FALSE))</f>
        <v>0</v>
      </c>
      <c r="Q84" t="s">
        <v>1790</v>
      </c>
      <c r="R84" s="22">
        <v>43082.530173611114</v>
      </c>
      <c r="S84" s="108">
        <f>S83+(ckCodingTable[[#This Row],[ILN]]&lt;"M")</f>
        <v>70</v>
      </c>
      <c r="T84" s="21" t="s">
        <v>493</v>
      </c>
      <c r="U84" t="s">
        <v>1360</v>
      </c>
      <c r="V84" s="7" t="str">
        <f>HYPERLINK("https://www.ejacket.nsf.gov/ej/showProposal.do?ID="&amp;ckCodingTable[[#This Row],[prop_id]],"eJ")</f>
        <v>eJ</v>
      </c>
      <c r="W84" t="s">
        <v>478</v>
      </c>
      <c r="X84" t="s">
        <v>1793</v>
      </c>
      <c r="Y84" t="s">
        <v>1794</v>
      </c>
      <c r="Z84" t="s">
        <v>1795</v>
      </c>
      <c r="AA84" t="s">
        <v>1754</v>
      </c>
      <c r="AB84" s="111" t="str">
        <f>HYPERLINK("mailto:"&amp;ckCodingTable[[#This Row],[email]]&amp;"&amp;subject=Your NSF Proposal:  "&amp;ckCodingTable[[#This Row],[Div]]&amp;" "&amp;ckCodingTable[[#This Row],[prop_id]], ckCodingTable[[#This Row],[email]])</f>
        <v>arb@cs.cornell.edu</v>
      </c>
      <c r="AC84" s="30">
        <v>43327</v>
      </c>
      <c r="AD84">
        <v>48</v>
      </c>
      <c r="AG84" s="112"/>
      <c r="AI84" s="26"/>
      <c r="AJ84" s="22"/>
      <c r="AN84" s="112"/>
      <c r="AO84" s="112"/>
      <c r="AP84" s="112"/>
      <c r="AQ84" s="112"/>
      <c r="AR84" s="7" t="str">
        <f>HYPERLINK("https://www.ejacket.nsf.gov/ej/showProposal.do?ID="&amp;ckCodingTable[[#This Row],[prop_id]],"eJ")</f>
        <v>eJ</v>
      </c>
      <c r="AS84" t="s">
        <v>172</v>
      </c>
      <c r="AT84" t="s">
        <v>1791</v>
      </c>
      <c r="AU84" t="b">
        <f>IF(ckCodingTable[[#This Row],[ILN]]="N",SUBSTITUTE(AT83," ","")&lt;&gt;SUBSTITUTE(ckCodingTable[[#This Row],[prop_titl_txt]]," ",""), FALSE)</f>
        <v>0</v>
      </c>
      <c r="AV84">
        <v>0</v>
      </c>
      <c r="AW84" s="13">
        <v>591393</v>
      </c>
      <c r="AX84" s="13">
        <v>591393</v>
      </c>
      <c r="AY84" s="13"/>
      <c r="AZ84" s="13">
        <v>23636</v>
      </c>
      <c r="BA84" s="13"/>
      <c r="BB84" s="13"/>
      <c r="BC84">
        <v>4</v>
      </c>
      <c r="BD84">
        <v>4</v>
      </c>
      <c r="BE84">
        <v>4</v>
      </c>
      <c r="BH84">
        <v>0</v>
      </c>
      <c r="BI84">
        <v>0</v>
      </c>
      <c r="BJ84">
        <v>0</v>
      </c>
      <c r="BK84">
        <v>0</v>
      </c>
      <c r="BL84" t="s">
        <v>1796</v>
      </c>
    </row>
    <row r="85" spans="1:64" x14ac:dyDescent="0.4">
      <c r="A85" s="30"/>
      <c r="B85" s="30">
        <v>43005.654861111114</v>
      </c>
      <c r="C85" t="s">
        <v>524</v>
      </c>
      <c r="D85" t="s">
        <v>477</v>
      </c>
      <c r="E85" t="s">
        <v>582</v>
      </c>
      <c r="F85" t="s">
        <v>171</v>
      </c>
      <c r="G85" t="s">
        <v>169</v>
      </c>
      <c r="H85" s="21" t="s">
        <v>94</v>
      </c>
      <c r="I85" s="86">
        <v>1</v>
      </c>
      <c r="J85" s="86">
        <v>0</v>
      </c>
      <c r="K85" t="s">
        <v>525</v>
      </c>
      <c r="L85" t="s">
        <v>611</v>
      </c>
      <c r="M85" t="s">
        <v>310</v>
      </c>
      <c r="N85" t="str">
        <f>IF(SUM(ckCodingTable[[#This Row],[NfmlPIs]:[NnonWhtAsnPIs]])&gt;0,"WMD","")</f>
        <v/>
      </c>
      <c r="O85" t="b">
        <f>_xlfn.XOR(IFERROR(MATCH(ckCodingTable[[#This Row],[st_code]],EpscorTable[],0)&gt;0,FALSE),IFERROR(FIND("9150",ckCodingTable[[#This Row],[propPRCs]])&gt;0,FALSE))</f>
        <v>0</v>
      </c>
      <c r="P85" s="21" t="b">
        <f>_xlfn.XOR(ckCodingTable[[#This Row],[wmd]]&lt;&gt;"",IFERROR(FIND("9102",ckCodingTable[[#This Row],[propPRCs]])&gt;0,FALSE))</f>
        <v>0</v>
      </c>
      <c r="Q85" t="s">
        <v>1797</v>
      </c>
      <c r="R85" s="22">
        <v>43082.530243055553</v>
      </c>
      <c r="S85" s="108">
        <f>S84+(ckCodingTable[[#This Row],[ILN]]&lt;"M")</f>
        <v>71</v>
      </c>
      <c r="T85" s="21" t="s">
        <v>491</v>
      </c>
      <c r="U85" t="s">
        <v>1372</v>
      </c>
      <c r="V85" s="7" t="str">
        <f>HYPERLINK("https://www.ejacket.nsf.gov/ej/showProposal.do?ID="&amp;ckCodingTable[[#This Row],[prop_id]],"eJ")</f>
        <v>eJ</v>
      </c>
      <c r="W85" t="s">
        <v>478</v>
      </c>
      <c r="X85" t="s">
        <v>1372</v>
      </c>
      <c r="Y85" t="s">
        <v>750</v>
      </c>
      <c r="Z85" t="s">
        <v>1798</v>
      </c>
      <c r="AA85" t="s">
        <v>1701</v>
      </c>
      <c r="AB85" s="111" t="str">
        <f>HYPERLINK("mailto:"&amp;ckCodingTable[[#This Row],[email]]&amp;"&amp;subject=Your NSF Proposal:  "&amp;ckCodingTable[[#This Row],[Div]]&amp;" "&amp;ckCodingTable[[#This Row],[prop_id]], ckCodingTable[[#This Row],[email]])</f>
        <v>gchen16@uh.edu</v>
      </c>
      <c r="AC85" s="30">
        <v>43221</v>
      </c>
      <c r="AD85">
        <v>48</v>
      </c>
      <c r="AE85">
        <v>1</v>
      </c>
      <c r="AG85" s="112">
        <v>1</v>
      </c>
      <c r="AH85" t="s">
        <v>1799</v>
      </c>
      <c r="AI85" s="26">
        <v>4.25</v>
      </c>
      <c r="AJ85" s="22">
        <v>43081.45416666667</v>
      </c>
      <c r="AL85">
        <v>4</v>
      </c>
      <c r="AN85" s="112">
        <v>4</v>
      </c>
      <c r="AO85" s="112"/>
      <c r="AP85" s="112"/>
      <c r="AQ85" s="112"/>
      <c r="AR85" s="7" t="str">
        <f>HYPERLINK("https://www.ejacket.nsf.gov/ej/showProposal.do?ID="&amp;ckCodingTable[[#This Row],[prop_id]],"eJ")</f>
        <v>eJ</v>
      </c>
      <c r="AS85" t="s">
        <v>172</v>
      </c>
      <c r="AT85" t="s">
        <v>1800</v>
      </c>
      <c r="AU85" t="b">
        <f>IF(ckCodingTable[[#This Row],[ILN]]="N",SUBSTITUTE(AT84," ","")&lt;&gt;SUBSTITUTE(ckCodingTable[[#This Row],[prop_titl_txt]]," ",""), FALSE)</f>
        <v>0</v>
      </c>
      <c r="AV85">
        <v>0</v>
      </c>
      <c r="AW85" s="13">
        <v>599997</v>
      </c>
      <c r="AX85" s="13">
        <v>599997</v>
      </c>
      <c r="AY85" s="13"/>
      <c r="AZ85" s="13"/>
      <c r="BA85" s="13"/>
      <c r="BB85" s="13"/>
      <c r="BC85">
        <v>10</v>
      </c>
      <c r="BD85">
        <v>6</v>
      </c>
      <c r="BE85">
        <v>6</v>
      </c>
      <c r="BH85">
        <v>0</v>
      </c>
      <c r="BI85">
        <v>0</v>
      </c>
      <c r="BJ85">
        <v>0</v>
      </c>
      <c r="BK85">
        <v>0</v>
      </c>
      <c r="BL85" t="s">
        <v>1801</v>
      </c>
    </row>
    <row r="86" spans="1:64" x14ac:dyDescent="0.4">
      <c r="A86" s="30"/>
      <c r="B86" s="30">
        <v>43005.677777777775</v>
      </c>
      <c r="C86" t="s">
        <v>524</v>
      </c>
      <c r="D86" t="s">
        <v>477</v>
      </c>
      <c r="E86" t="s">
        <v>582</v>
      </c>
      <c r="F86" t="s">
        <v>171</v>
      </c>
      <c r="G86" t="s">
        <v>169</v>
      </c>
      <c r="H86" s="21" t="s">
        <v>94</v>
      </c>
      <c r="I86" s="86">
        <v>1</v>
      </c>
      <c r="J86" s="86">
        <v>0</v>
      </c>
      <c r="K86" t="s">
        <v>525</v>
      </c>
      <c r="L86" t="s">
        <v>611</v>
      </c>
      <c r="M86" t="s">
        <v>1598</v>
      </c>
      <c r="N86" t="str">
        <f>IF(SUM(ckCodingTable[[#This Row],[NfmlPIs]:[NnonWhtAsnPIs]])&gt;0,"WMD","")</f>
        <v>WMD</v>
      </c>
      <c r="O86" t="b">
        <f>_xlfn.XOR(IFERROR(MATCH(ckCodingTable[[#This Row],[st_code]],EpscorTable[],0)&gt;0,FALSE),IFERROR(FIND("9150",ckCodingTable[[#This Row],[propPRCs]])&gt;0,FALSE))</f>
        <v>0</v>
      </c>
      <c r="P86" s="21" t="b">
        <f>_xlfn.XOR(ckCodingTable[[#This Row],[wmd]]&lt;&gt;"",IFERROR(FIND("9102",ckCodingTable[[#This Row],[propPRCs]])&gt;0,FALSE))</f>
        <v>1</v>
      </c>
      <c r="Q86" t="s">
        <v>1797</v>
      </c>
      <c r="R86" s="22">
        <v>43082.530243055553</v>
      </c>
      <c r="S86" s="108">
        <f>S85+(ckCodingTable[[#This Row],[ILN]]&lt;"M")</f>
        <v>71</v>
      </c>
      <c r="T86" s="21" t="s">
        <v>493</v>
      </c>
      <c r="U86" t="s">
        <v>1372</v>
      </c>
      <c r="V86" s="7" t="str">
        <f>HYPERLINK("https://www.ejacket.nsf.gov/ej/showProposal.do?ID="&amp;ckCodingTable[[#This Row],[prop_id]],"eJ")</f>
        <v>eJ</v>
      </c>
      <c r="W86" t="s">
        <v>478</v>
      </c>
      <c r="X86" t="s">
        <v>1802</v>
      </c>
      <c r="Y86" t="s">
        <v>488</v>
      </c>
      <c r="Z86" t="s">
        <v>1803</v>
      </c>
      <c r="AA86" t="s">
        <v>1600</v>
      </c>
      <c r="AB86" s="111" t="str">
        <f>HYPERLINK("mailto:"&amp;ckCodingTable[[#This Row],[email]]&amp;"&amp;subject=Your NSF Proposal:  "&amp;ckCodingTable[[#This Row],[Div]]&amp;" "&amp;ckCodingTable[[#This Row],[prop_id]], ckCodingTable[[#This Row],[email]])</f>
        <v>zhange@eecs.oregonstate.edu</v>
      </c>
      <c r="AC86" s="30">
        <v>43221</v>
      </c>
      <c r="AD86">
        <v>48</v>
      </c>
      <c r="AG86" s="112"/>
      <c r="AI86" s="26"/>
      <c r="AJ86" s="22"/>
      <c r="AN86" s="112"/>
      <c r="AO86" s="112"/>
      <c r="AP86" s="112"/>
      <c r="AQ86" s="112"/>
      <c r="AR86" s="7" t="str">
        <f>HYPERLINK("https://www.ejacket.nsf.gov/ej/showProposal.do?ID="&amp;ckCodingTable[[#This Row],[prop_id]],"eJ")</f>
        <v>eJ</v>
      </c>
      <c r="AS86" t="s">
        <v>172</v>
      </c>
      <c r="AT86" t="s">
        <v>1804</v>
      </c>
      <c r="AU86" t="b">
        <f>IF(ckCodingTable[[#This Row],[ILN]]="N",SUBSTITUTE(AT85," ","")&lt;&gt;SUBSTITUTE(ckCodingTable[[#This Row],[prop_titl_txt]]," ",""), FALSE)</f>
        <v>0</v>
      </c>
      <c r="AV86">
        <v>0</v>
      </c>
      <c r="AW86" s="13">
        <v>600000</v>
      </c>
      <c r="AX86" s="13">
        <v>600000</v>
      </c>
      <c r="AY86" s="13"/>
      <c r="AZ86" s="13">
        <v>10548</v>
      </c>
      <c r="BA86" s="13"/>
      <c r="BB86" s="13">
        <v>7000</v>
      </c>
      <c r="BC86">
        <v>6</v>
      </c>
      <c r="BD86">
        <v>8</v>
      </c>
      <c r="BE86">
        <v>6</v>
      </c>
      <c r="BH86">
        <v>2</v>
      </c>
      <c r="BI86">
        <v>0</v>
      </c>
      <c r="BJ86">
        <v>0</v>
      </c>
      <c r="BK86">
        <v>0</v>
      </c>
      <c r="BL86" t="s">
        <v>1805</v>
      </c>
    </row>
    <row r="87" spans="1:64" x14ac:dyDescent="0.4">
      <c r="A87" s="30"/>
      <c r="B87" s="30">
        <v>43005.654861111114</v>
      </c>
      <c r="C87" t="s">
        <v>524</v>
      </c>
      <c r="D87" t="s">
        <v>477</v>
      </c>
      <c r="E87" t="s">
        <v>582</v>
      </c>
      <c r="F87" t="s">
        <v>171</v>
      </c>
      <c r="G87" t="s">
        <v>169</v>
      </c>
      <c r="H87" s="21" t="s">
        <v>94</v>
      </c>
      <c r="I87" s="86">
        <v>1</v>
      </c>
      <c r="J87" s="86">
        <v>0</v>
      </c>
      <c r="K87" t="s">
        <v>525</v>
      </c>
      <c r="L87" t="s">
        <v>654</v>
      </c>
      <c r="M87" t="s">
        <v>496</v>
      </c>
      <c r="N87" t="str">
        <f>IF(SUM(ckCodingTable[[#This Row],[NfmlPIs]:[NnonWhtAsnPIs]])&gt;0,"WMD","")</f>
        <v>WMD</v>
      </c>
      <c r="O87" t="b">
        <f>_xlfn.XOR(IFERROR(MATCH(ckCodingTable[[#This Row],[st_code]],EpscorTable[],0)&gt;0,FALSE),IFERROR(FIND("9150",ckCodingTable[[#This Row],[propPRCs]])&gt;0,FALSE))</f>
        <v>0</v>
      </c>
      <c r="P87" s="21" t="b">
        <f>_xlfn.XOR(ckCodingTable[[#This Row],[wmd]]&lt;&gt;"",IFERROR(FIND("9102",ckCodingTable[[#This Row],[propPRCs]])&gt;0,FALSE))</f>
        <v>1</v>
      </c>
      <c r="Q87" t="s">
        <v>1806</v>
      </c>
      <c r="S87" s="108">
        <f>S86+(ckCodingTable[[#This Row],[ILN]]&lt;"M")</f>
        <v>72</v>
      </c>
      <c r="T87" s="21" t="s">
        <v>95</v>
      </c>
      <c r="U87" t="s">
        <v>1379</v>
      </c>
      <c r="V87" s="7" t="str">
        <f>HYPERLINK("https://www.ejacket.nsf.gov/ej/showProposal.do?ID="&amp;ckCodingTable[[#This Row],[prop_id]],"eJ")</f>
        <v>eJ</v>
      </c>
      <c r="W87" t="s">
        <v>478</v>
      </c>
      <c r="X87" t="s">
        <v>1379</v>
      </c>
      <c r="Y87" t="s">
        <v>1380</v>
      </c>
      <c r="Z87" t="s">
        <v>528</v>
      </c>
      <c r="AA87" t="s">
        <v>497</v>
      </c>
      <c r="AB87" s="111" t="str">
        <f>HYPERLINK("mailto:"&amp;ckCodingTable[[#This Row],[email]]&amp;"&amp;subject=Your NSF Proposal:  "&amp;ckCodingTable[[#This Row],[Div]]&amp;" "&amp;ckCodingTable[[#This Row],[prop_id]], ckCodingTable[[#This Row],[email]])</f>
        <v>dwoodruf@andrew.cmu.edu</v>
      </c>
      <c r="AC87" s="30">
        <v>43252</v>
      </c>
      <c r="AD87">
        <v>48</v>
      </c>
      <c r="AE87">
        <v>1</v>
      </c>
      <c r="AG87" s="112">
        <v>1</v>
      </c>
      <c r="AH87" t="s">
        <v>1450</v>
      </c>
      <c r="AI87" s="26">
        <v>7</v>
      </c>
      <c r="AJ87" s="22">
        <v>43081.438194444447</v>
      </c>
      <c r="AK87" s="21">
        <v>1</v>
      </c>
      <c r="AL87">
        <v>4</v>
      </c>
      <c r="AN87" s="112">
        <v>4</v>
      </c>
      <c r="AO87" s="112"/>
      <c r="AP87" s="112"/>
      <c r="AQ87" s="112"/>
      <c r="AR87" s="7" t="str">
        <f>HYPERLINK("https://www.ejacket.nsf.gov/ej/showProposal.do?ID="&amp;ckCodingTable[[#This Row],[prop_id]],"eJ")</f>
        <v>eJ</v>
      </c>
      <c r="AS87" t="s">
        <v>172</v>
      </c>
      <c r="AT87" t="s">
        <v>1807</v>
      </c>
      <c r="AU87" t="b">
        <f>IF(ckCodingTable[[#This Row],[ILN]]="N",SUBSTITUTE(AT86," ","")&lt;&gt;SUBSTITUTE(ckCodingTable[[#This Row],[prop_titl_txt]]," ",""), FALSE)</f>
        <v>0</v>
      </c>
      <c r="AV87">
        <v>0</v>
      </c>
      <c r="AW87" s="13">
        <v>1191636</v>
      </c>
      <c r="AX87" s="13">
        <v>1191636</v>
      </c>
      <c r="AY87" s="13"/>
      <c r="AZ87" s="13">
        <v>12777</v>
      </c>
      <c r="BA87" s="13"/>
      <c r="BB87" s="13"/>
      <c r="BC87">
        <v>8</v>
      </c>
      <c r="BD87">
        <v>8</v>
      </c>
      <c r="BE87">
        <v>8</v>
      </c>
      <c r="BH87">
        <v>1</v>
      </c>
      <c r="BI87">
        <v>0</v>
      </c>
      <c r="BJ87">
        <v>0</v>
      </c>
      <c r="BK87">
        <v>0</v>
      </c>
      <c r="BL87" t="s">
        <v>1808</v>
      </c>
    </row>
    <row r="88" spans="1:64" x14ac:dyDescent="0.4">
      <c r="A88" s="30"/>
      <c r="B88" s="30">
        <v>43005.67291666667</v>
      </c>
      <c r="C88" t="s">
        <v>524</v>
      </c>
      <c r="D88" t="s">
        <v>477</v>
      </c>
      <c r="E88" t="s">
        <v>582</v>
      </c>
      <c r="F88" t="s">
        <v>171</v>
      </c>
      <c r="G88" t="s">
        <v>169</v>
      </c>
      <c r="H88" s="21" t="s">
        <v>94</v>
      </c>
      <c r="I88" s="86">
        <v>1</v>
      </c>
      <c r="J88" s="86">
        <v>0</v>
      </c>
      <c r="K88" t="s">
        <v>525</v>
      </c>
      <c r="L88" t="s">
        <v>611</v>
      </c>
      <c r="M88" t="s">
        <v>231</v>
      </c>
      <c r="N88" t="str">
        <f>IF(SUM(ckCodingTable[[#This Row],[NfmlPIs]:[NnonWhtAsnPIs]])&gt;0,"WMD","")</f>
        <v/>
      </c>
      <c r="O88" t="b">
        <f>_xlfn.XOR(IFERROR(MATCH(ckCodingTable[[#This Row],[st_code]],EpscorTable[],0)&gt;0,FALSE),IFERROR(FIND("9150",ckCodingTable[[#This Row],[propPRCs]])&gt;0,FALSE))</f>
        <v>0</v>
      </c>
      <c r="P88" s="21" t="b">
        <f>_xlfn.XOR(ckCodingTable[[#This Row],[wmd]]&lt;&gt;"",IFERROR(FIND("9102",ckCodingTable[[#This Row],[propPRCs]])&gt;0,FALSE))</f>
        <v>0</v>
      </c>
      <c r="Q88" t="s">
        <v>1809</v>
      </c>
      <c r="S88" s="108">
        <f>S87+(ckCodingTable[[#This Row],[ILN]]&lt;"M")</f>
        <v>73</v>
      </c>
      <c r="T88" s="21" t="s">
        <v>491</v>
      </c>
      <c r="U88" t="s">
        <v>1387</v>
      </c>
      <c r="V88" s="7" t="str">
        <f>HYPERLINK("https://www.ejacket.nsf.gov/ej/showProposal.do?ID="&amp;ckCodingTable[[#This Row],[prop_id]],"eJ")</f>
        <v>eJ</v>
      </c>
      <c r="W88" t="s">
        <v>478</v>
      </c>
      <c r="X88" t="s">
        <v>1387</v>
      </c>
      <c r="Y88" t="s">
        <v>1388</v>
      </c>
      <c r="Z88" t="s">
        <v>1810</v>
      </c>
      <c r="AA88" t="s">
        <v>1487</v>
      </c>
      <c r="AB88" s="111" t="str">
        <f>HYPERLINK("mailto:"&amp;ckCodingTable[[#This Row],[email]]&amp;"&amp;subject=Your NSF Proposal:  "&amp;ckCodingTable[[#This Row],[Div]]&amp;" "&amp;ckCodingTable[[#This Row],[prop_id]], ckCodingTable[[#This Row],[email]])</f>
        <v>edemaine@mit.edu</v>
      </c>
      <c r="AC88" s="30">
        <v>43252</v>
      </c>
      <c r="AD88">
        <v>48</v>
      </c>
      <c r="AE88">
        <v>1</v>
      </c>
      <c r="AG88" s="112">
        <v>1</v>
      </c>
      <c r="AH88" t="s">
        <v>1493</v>
      </c>
      <c r="AI88" s="26">
        <v>6.75</v>
      </c>
      <c r="AJ88" s="22">
        <v>43080.599305555559</v>
      </c>
      <c r="AL88">
        <v>4</v>
      </c>
      <c r="AN88" s="112">
        <v>4</v>
      </c>
      <c r="AO88" s="112"/>
      <c r="AP88" s="112"/>
      <c r="AQ88" s="112"/>
      <c r="AR88" s="7" t="str">
        <f>HYPERLINK("https://www.ejacket.nsf.gov/ej/showProposal.do?ID="&amp;ckCodingTable[[#This Row],[prop_id]],"eJ")</f>
        <v>eJ</v>
      </c>
      <c r="AS88" t="s">
        <v>172</v>
      </c>
      <c r="AT88" t="s">
        <v>1811</v>
      </c>
      <c r="AU88" t="b">
        <f>IF(ckCodingTable[[#This Row],[ILN]]="N",SUBSTITUTE(AT87," ","")&lt;&gt;SUBSTITUTE(ckCodingTable[[#This Row],[prop_titl_txt]]," ",""), FALSE)</f>
        <v>0</v>
      </c>
      <c r="AV88">
        <v>0</v>
      </c>
      <c r="AW88" s="13">
        <v>600000</v>
      </c>
      <c r="AX88" s="13">
        <v>600000</v>
      </c>
      <c r="AY88" s="13"/>
      <c r="AZ88" s="13"/>
      <c r="BA88" s="13"/>
      <c r="BB88" s="13"/>
      <c r="BC88">
        <v>8</v>
      </c>
      <c r="BD88">
        <v>4</v>
      </c>
      <c r="BE88">
        <v>2</v>
      </c>
      <c r="BH88">
        <v>0</v>
      </c>
      <c r="BI88">
        <v>0</v>
      </c>
      <c r="BJ88">
        <v>0</v>
      </c>
      <c r="BK88">
        <v>0</v>
      </c>
      <c r="BL88" t="s">
        <v>1812</v>
      </c>
    </row>
    <row r="89" spans="1:64" x14ac:dyDescent="0.4">
      <c r="A89" s="30"/>
      <c r="B89" s="30">
        <v>43005.448611111111</v>
      </c>
      <c r="C89" t="s">
        <v>524</v>
      </c>
      <c r="D89" t="s">
        <v>477</v>
      </c>
      <c r="E89" t="s">
        <v>582</v>
      </c>
      <c r="F89" t="s">
        <v>171</v>
      </c>
      <c r="G89" t="s">
        <v>169</v>
      </c>
      <c r="H89" s="21" t="s">
        <v>94</v>
      </c>
      <c r="I89" s="86">
        <v>1</v>
      </c>
      <c r="J89" s="86">
        <v>0</v>
      </c>
      <c r="K89" t="s">
        <v>525</v>
      </c>
      <c r="L89" t="s">
        <v>611</v>
      </c>
      <c r="M89" t="s">
        <v>490</v>
      </c>
      <c r="N89" t="str">
        <f>IF(SUM(ckCodingTable[[#This Row],[NfmlPIs]:[NnonWhtAsnPIs]])&gt;0,"WMD","")</f>
        <v/>
      </c>
      <c r="O89" t="b">
        <f>_xlfn.XOR(IFERROR(MATCH(ckCodingTable[[#This Row],[st_code]],EpscorTable[],0)&gt;0,FALSE),IFERROR(FIND("9150",ckCodingTable[[#This Row],[propPRCs]])&gt;0,FALSE))</f>
        <v>0</v>
      </c>
      <c r="P89" s="21" t="b">
        <f>_xlfn.XOR(ckCodingTable[[#This Row],[wmd]]&lt;&gt;"",IFERROR(FIND("9102",ckCodingTable[[#This Row],[propPRCs]])&gt;0,FALSE))</f>
        <v>0</v>
      </c>
      <c r="Q89" t="s">
        <v>1809</v>
      </c>
      <c r="S89" s="108">
        <f>S88+(ckCodingTable[[#This Row],[ILN]]&lt;"M")</f>
        <v>73</v>
      </c>
      <c r="T89" s="21" t="s">
        <v>493</v>
      </c>
      <c r="U89" t="s">
        <v>1387</v>
      </c>
      <c r="V89" s="7" t="str">
        <f>HYPERLINK("https://www.ejacket.nsf.gov/ej/showProposal.do?ID="&amp;ckCodingTable[[#This Row],[prop_id]],"eJ")</f>
        <v>eJ</v>
      </c>
      <c r="W89" t="s">
        <v>478</v>
      </c>
      <c r="X89" t="s">
        <v>1813</v>
      </c>
      <c r="Y89" t="s">
        <v>1814</v>
      </c>
      <c r="Z89" t="s">
        <v>1815</v>
      </c>
      <c r="AA89" t="s">
        <v>500</v>
      </c>
      <c r="AB89" s="111" t="str">
        <f>HYPERLINK("mailto:"&amp;ckCodingTable[[#This Row],[email]]&amp;"&amp;subject=Your NSF Proposal:  "&amp;ckCodingTable[[#This Row],[Div]]&amp;" "&amp;ckCodingTable[[#This Row],[prop_id]], ckCodingTable[[#This Row],[email]])</f>
        <v>hajiagha@cs.umd.edu</v>
      </c>
      <c r="AC89" s="30">
        <v>43252</v>
      </c>
      <c r="AD89">
        <v>48</v>
      </c>
      <c r="AG89" s="112"/>
      <c r="AI89" s="26"/>
      <c r="AJ89" s="22"/>
      <c r="AN89" s="112"/>
      <c r="AO89" s="112"/>
      <c r="AP89" s="112"/>
      <c r="AQ89" s="112"/>
      <c r="AR89" s="7" t="str">
        <f>HYPERLINK("https://www.ejacket.nsf.gov/ej/showProposal.do?ID="&amp;ckCodingTable[[#This Row],[prop_id]],"eJ")</f>
        <v>eJ</v>
      </c>
      <c r="AS89" t="s">
        <v>172</v>
      </c>
      <c r="AT89" t="s">
        <v>1811</v>
      </c>
      <c r="AU89" t="b">
        <f>IF(ckCodingTable[[#This Row],[ILN]]="N",SUBSTITUTE(AT88," ","")&lt;&gt;SUBSTITUTE(ckCodingTable[[#This Row],[prop_titl_txt]]," ",""), FALSE)</f>
        <v>0</v>
      </c>
      <c r="AV89">
        <v>0</v>
      </c>
      <c r="AW89" s="13">
        <v>600000</v>
      </c>
      <c r="AX89" s="13">
        <v>600000</v>
      </c>
      <c r="AY89" s="13"/>
      <c r="AZ89" s="13">
        <v>12000</v>
      </c>
      <c r="BA89" s="13"/>
      <c r="BB89" s="13"/>
      <c r="BC89">
        <v>8</v>
      </c>
      <c r="BD89">
        <v>4</v>
      </c>
      <c r="BG89">
        <v>4</v>
      </c>
      <c r="BH89">
        <v>0</v>
      </c>
      <c r="BI89">
        <v>0</v>
      </c>
      <c r="BJ89">
        <v>0</v>
      </c>
      <c r="BK89">
        <v>0</v>
      </c>
      <c r="BL89" t="s">
        <v>1816</v>
      </c>
    </row>
    <row r="90" spans="1:64" x14ac:dyDescent="0.4">
      <c r="A90" s="30"/>
      <c r="B90" s="30">
        <v>43005.686805555553</v>
      </c>
      <c r="C90" t="s">
        <v>524</v>
      </c>
      <c r="D90" t="s">
        <v>477</v>
      </c>
      <c r="E90" t="s">
        <v>582</v>
      </c>
      <c r="F90" t="s">
        <v>171</v>
      </c>
      <c r="G90" t="s">
        <v>169</v>
      </c>
      <c r="H90" s="21" t="s">
        <v>94</v>
      </c>
      <c r="I90" s="86">
        <v>1</v>
      </c>
      <c r="J90" s="86">
        <v>0</v>
      </c>
      <c r="K90" t="s">
        <v>525</v>
      </c>
      <c r="L90" t="s">
        <v>654</v>
      </c>
      <c r="M90" t="s">
        <v>1470</v>
      </c>
      <c r="N90" t="str">
        <f>IF(SUM(ckCodingTable[[#This Row],[NfmlPIs]:[NnonWhtAsnPIs]])&gt;0,"WMD","")</f>
        <v/>
      </c>
      <c r="O90" t="b">
        <f>_xlfn.XOR(IFERROR(MATCH(ckCodingTable[[#This Row],[st_code]],EpscorTable[],0)&gt;0,FALSE),IFERROR(FIND("9150",ckCodingTable[[#This Row],[propPRCs]])&gt;0,FALSE))</f>
        <v>0</v>
      </c>
      <c r="P90" s="21" t="b">
        <f>_xlfn.XOR(ckCodingTable[[#This Row],[wmd]]&lt;&gt;"",IFERROR(FIND("9102",ckCodingTable[[#This Row],[propPRCs]])&gt;0,FALSE))</f>
        <v>0</v>
      </c>
      <c r="Q90" t="s">
        <v>1817</v>
      </c>
      <c r="S90" s="108">
        <f>S89+(ckCodingTable[[#This Row],[ILN]]&lt;"M")</f>
        <v>74</v>
      </c>
      <c r="T90" s="21" t="s">
        <v>95</v>
      </c>
      <c r="U90" t="s">
        <v>1395</v>
      </c>
      <c r="V90" s="7" t="str">
        <f>HYPERLINK("https://www.ejacket.nsf.gov/ej/showProposal.do?ID="&amp;ckCodingTable[[#This Row],[prop_id]],"eJ")</f>
        <v>eJ</v>
      </c>
      <c r="W90" t="s">
        <v>478</v>
      </c>
      <c r="X90" t="s">
        <v>1395</v>
      </c>
      <c r="Y90" t="s">
        <v>1396</v>
      </c>
      <c r="Z90" t="s">
        <v>1818</v>
      </c>
      <c r="AA90" t="s">
        <v>1472</v>
      </c>
      <c r="AB90" s="111" t="str">
        <f>HYPERLINK("mailto:"&amp;ckCodingTable[[#This Row],[email]]&amp;"&amp;subject=Your NSF Proposal:  "&amp;ckCodingTable[[#This Row],[Div]]&amp;" "&amp;ckCodingTable[[#This Row],[prop_id]], ckCodingTable[[#This Row],[email]])</f>
        <v>christos@cs.berkeley.edu</v>
      </c>
      <c r="AC90" s="30">
        <v>43221</v>
      </c>
      <c r="AD90">
        <v>48</v>
      </c>
      <c r="AE90">
        <v>1</v>
      </c>
      <c r="AG90" s="112">
        <v>1</v>
      </c>
      <c r="AH90" t="s">
        <v>1819</v>
      </c>
      <c r="AI90" s="26">
        <v>8.5</v>
      </c>
      <c r="AJ90" s="22">
        <v>43080.079861111109</v>
      </c>
      <c r="AK90" s="21">
        <v>1</v>
      </c>
      <c r="AL90">
        <v>4</v>
      </c>
      <c r="AN90" s="112">
        <v>4</v>
      </c>
      <c r="AO90" s="112"/>
      <c r="AP90" s="112"/>
      <c r="AQ90" s="112"/>
      <c r="AR90" s="7" t="str">
        <f>HYPERLINK("https://www.ejacket.nsf.gov/ej/showProposal.do?ID="&amp;ckCodingTable[[#This Row],[prop_id]],"eJ")</f>
        <v>eJ</v>
      </c>
      <c r="AS90" t="s">
        <v>172</v>
      </c>
      <c r="AT90" t="s">
        <v>1820</v>
      </c>
      <c r="AU90" t="b">
        <f>IF(ckCodingTable[[#This Row],[ILN]]="N",SUBSTITUTE(AT89," ","")&lt;&gt;SUBSTITUTE(ckCodingTable[[#This Row],[prop_titl_txt]]," ",""), FALSE)</f>
        <v>0</v>
      </c>
      <c r="AV90">
        <v>0</v>
      </c>
      <c r="AW90" s="13">
        <v>1200000</v>
      </c>
      <c r="AX90" s="13">
        <v>1200000</v>
      </c>
      <c r="AY90" s="13"/>
      <c r="AZ90" s="13"/>
      <c r="BA90" s="13"/>
      <c r="BB90" s="13"/>
      <c r="BC90">
        <v>8</v>
      </c>
      <c r="BD90">
        <v>8</v>
      </c>
      <c r="BG90">
        <v>10.1</v>
      </c>
      <c r="BH90">
        <v>0</v>
      </c>
      <c r="BI90">
        <v>0</v>
      </c>
      <c r="BJ90">
        <v>0</v>
      </c>
      <c r="BK90">
        <v>0</v>
      </c>
      <c r="BL90" t="s">
        <v>1821</v>
      </c>
    </row>
    <row r="91" spans="1:64" x14ac:dyDescent="0.4">
      <c r="A91" s="30"/>
      <c r="B91" s="30">
        <v>43005.713194444441</v>
      </c>
      <c r="C91" t="s">
        <v>524</v>
      </c>
      <c r="D91" t="s">
        <v>477</v>
      </c>
      <c r="E91" t="s">
        <v>582</v>
      </c>
      <c r="F91" t="s">
        <v>171</v>
      </c>
      <c r="G91" t="s">
        <v>169</v>
      </c>
      <c r="H91" s="21" t="s">
        <v>94</v>
      </c>
      <c r="I91" s="86">
        <v>1</v>
      </c>
      <c r="J91" s="86">
        <v>0</v>
      </c>
      <c r="K91" t="s">
        <v>525</v>
      </c>
      <c r="L91" t="s">
        <v>654</v>
      </c>
      <c r="M91" t="s">
        <v>306</v>
      </c>
      <c r="N91" t="str">
        <f>IF(SUM(ckCodingTable[[#This Row],[NfmlPIs]:[NnonWhtAsnPIs]])&gt;0,"WMD","")</f>
        <v/>
      </c>
      <c r="O91" t="b">
        <f>_xlfn.XOR(IFERROR(MATCH(ckCodingTable[[#This Row],[st_code]],EpscorTable[],0)&gt;0,FALSE),IFERROR(FIND("9150",ckCodingTable[[#This Row],[propPRCs]])&gt;0,FALSE))</f>
        <v>0</v>
      </c>
      <c r="P91" s="21" t="b">
        <f>_xlfn.XOR(ckCodingTable[[#This Row],[wmd]]&lt;&gt;"",IFERROR(FIND("9102",ckCodingTable[[#This Row],[propPRCs]])&gt;0,FALSE))</f>
        <v>0</v>
      </c>
      <c r="Q91" t="s">
        <v>1704</v>
      </c>
      <c r="S91" s="108">
        <f>S90+(ckCodingTable[[#This Row],[ILN]]&lt;"M")</f>
        <v>75</v>
      </c>
      <c r="T91" s="21" t="s">
        <v>491</v>
      </c>
      <c r="U91" t="s">
        <v>1403</v>
      </c>
      <c r="V91" s="7" t="str">
        <f>HYPERLINK("https://www.ejacket.nsf.gov/ej/showProposal.do?ID="&amp;ckCodingTable[[#This Row],[prop_id]],"eJ")</f>
        <v>eJ</v>
      </c>
      <c r="W91" t="s">
        <v>478</v>
      </c>
      <c r="X91" t="s">
        <v>1403</v>
      </c>
      <c r="Y91" t="s">
        <v>1404</v>
      </c>
      <c r="Z91" t="s">
        <v>1822</v>
      </c>
      <c r="AA91" t="s">
        <v>1823</v>
      </c>
      <c r="AB91" s="111" t="str">
        <f>HYPERLINK("mailto:"&amp;ckCodingTable[[#This Row],[email]]&amp;"&amp;subject=Your NSF Proposal:  "&amp;ckCodingTable[[#This Row],[Div]]&amp;" "&amp;ckCodingTable[[#This Row],[prop_id]], ckCodingTable[[#This Row],[email]])</f>
        <v>nati@ttic.edu</v>
      </c>
      <c r="AC91" s="30">
        <v>43313</v>
      </c>
      <c r="AD91">
        <v>36</v>
      </c>
      <c r="AE91">
        <v>1</v>
      </c>
      <c r="AG91" s="112">
        <v>1</v>
      </c>
      <c r="AH91" t="s">
        <v>1731</v>
      </c>
      <c r="AI91" s="26">
        <v>8</v>
      </c>
      <c r="AJ91" s="22">
        <v>43080.379861111112</v>
      </c>
      <c r="AK91" s="21">
        <v>1</v>
      </c>
      <c r="AL91">
        <v>4</v>
      </c>
      <c r="AN91" s="112">
        <v>4</v>
      </c>
      <c r="AO91" s="112"/>
      <c r="AP91" s="112"/>
      <c r="AQ91" s="112"/>
      <c r="AR91" s="7" t="str">
        <f>HYPERLINK("https://www.ejacket.nsf.gov/ej/showProposal.do?ID="&amp;ckCodingTable[[#This Row],[prop_id]],"eJ")</f>
        <v>eJ</v>
      </c>
      <c r="AS91" t="s">
        <v>172</v>
      </c>
      <c r="AT91" t="s">
        <v>1824</v>
      </c>
      <c r="AU91" t="b">
        <f>IF(ckCodingTable[[#This Row],[ILN]]="N",SUBSTITUTE(AT90," ","")&lt;&gt;SUBSTITUTE(ckCodingTable[[#This Row],[prop_titl_txt]]," ",""), FALSE)</f>
        <v>0</v>
      </c>
      <c r="AV91">
        <v>0</v>
      </c>
      <c r="AW91" s="13">
        <v>541101</v>
      </c>
      <c r="AX91" s="13">
        <v>541101</v>
      </c>
      <c r="AY91" s="13"/>
      <c r="AZ91" s="13">
        <v>24727</v>
      </c>
      <c r="BA91" s="13">
        <v>92000</v>
      </c>
      <c r="BB91" s="13"/>
      <c r="BC91">
        <v>3</v>
      </c>
      <c r="BD91">
        <v>6</v>
      </c>
      <c r="BE91">
        <v>5</v>
      </c>
      <c r="BH91">
        <v>0</v>
      </c>
      <c r="BI91">
        <v>0</v>
      </c>
      <c r="BJ91">
        <v>0</v>
      </c>
      <c r="BK91">
        <v>0</v>
      </c>
      <c r="BL91" t="s">
        <v>1825</v>
      </c>
    </row>
    <row r="92" spans="1:64" x14ac:dyDescent="0.4">
      <c r="A92" s="30"/>
      <c r="B92" s="30">
        <v>43005.481944444444</v>
      </c>
      <c r="C92" t="s">
        <v>524</v>
      </c>
      <c r="D92" t="s">
        <v>477</v>
      </c>
      <c r="E92" t="s">
        <v>582</v>
      </c>
      <c r="F92" t="s">
        <v>171</v>
      </c>
      <c r="G92" t="s">
        <v>169</v>
      </c>
      <c r="H92" s="21" t="s">
        <v>94</v>
      </c>
      <c r="I92" s="86">
        <v>1</v>
      </c>
      <c r="J92" s="86">
        <v>0</v>
      </c>
      <c r="K92" t="s">
        <v>525</v>
      </c>
      <c r="L92" t="s">
        <v>654</v>
      </c>
      <c r="M92" t="s">
        <v>496</v>
      </c>
      <c r="N92" t="str">
        <f>IF(SUM(ckCodingTable[[#This Row],[NfmlPIs]:[NnonWhtAsnPIs]])&gt;0,"WMD","")</f>
        <v/>
      </c>
      <c r="O92" t="b">
        <f>_xlfn.XOR(IFERROR(MATCH(ckCodingTable[[#This Row],[st_code]],EpscorTable[],0)&gt;0,FALSE),IFERROR(FIND("9150",ckCodingTable[[#This Row],[propPRCs]])&gt;0,FALSE))</f>
        <v>0</v>
      </c>
      <c r="P92" s="21" t="b">
        <f>_xlfn.XOR(ckCodingTable[[#This Row],[wmd]]&lt;&gt;"",IFERROR(FIND("9102",ckCodingTable[[#This Row],[propPRCs]])&gt;0,FALSE))</f>
        <v>0</v>
      </c>
      <c r="Q92" t="s">
        <v>1704</v>
      </c>
      <c r="S92" s="108">
        <f>S91+(ckCodingTable[[#This Row],[ILN]]&lt;"M")</f>
        <v>75</v>
      </c>
      <c r="T92" s="21" t="s">
        <v>493</v>
      </c>
      <c r="U92" t="s">
        <v>1403</v>
      </c>
      <c r="V92" s="7" t="str">
        <f>HYPERLINK("https://www.ejacket.nsf.gov/ej/showProposal.do?ID="&amp;ckCodingTable[[#This Row],[prop_id]],"eJ")</f>
        <v>eJ</v>
      </c>
      <c r="W92" t="s">
        <v>478</v>
      </c>
      <c r="X92" t="s">
        <v>1826</v>
      </c>
      <c r="Y92" t="s">
        <v>1827</v>
      </c>
      <c r="Z92" t="s">
        <v>1828</v>
      </c>
      <c r="AA92" t="s">
        <v>497</v>
      </c>
      <c r="AB92" s="111" t="str">
        <f>HYPERLINK("mailto:"&amp;ckCodingTable[[#This Row],[email]]&amp;"&amp;subject=Your NSF Proposal:  "&amp;ckCodingTable[[#This Row],[Div]]&amp;" "&amp;ckCodingTable[[#This Row],[prop_id]], ckCodingTable[[#This Row],[email]])</f>
        <v>rsalakhu@cs.cmu.edu</v>
      </c>
      <c r="AC92" s="30">
        <v>43313</v>
      </c>
      <c r="AD92">
        <v>36</v>
      </c>
      <c r="AG92" s="112"/>
      <c r="AI92" s="26"/>
      <c r="AJ92" s="22"/>
      <c r="AN92" s="112"/>
      <c r="AO92" s="112"/>
      <c r="AP92" s="112"/>
      <c r="AQ92" s="112"/>
      <c r="AR92" s="7" t="str">
        <f>HYPERLINK("https://www.ejacket.nsf.gov/ej/showProposal.do?ID="&amp;ckCodingTable[[#This Row],[prop_id]],"eJ")</f>
        <v>eJ</v>
      </c>
      <c r="AS92" t="s">
        <v>172</v>
      </c>
      <c r="AT92" t="s">
        <v>1824</v>
      </c>
      <c r="AU92" t="b">
        <f>IF(ckCodingTable[[#This Row],[ILN]]="N",SUBSTITUTE(AT91," ","")&lt;&gt;SUBSTITUTE(ckCodingTable[[#This Row],[prop_titl_txt]]," ",""), FALSE)</f>
        <v>0</v>
      </c>
      <c r="AV92">
        <v>0</v>
      </c>
      <c r="AW92" s="13">
        <v>329074</v>
      </c>
      <c r="AX92" s="13">
        <v>329074</v>
      </c>
      <c r="AY92" s="13"/>
      <c r="AZ92" s="13">
        <v>16345</v>
      </c>
      <c r="BA92" s="13"/>
      <c r="BB92" s="13"/>
      <c r="BC92">
        <v>3</v>
      </c>
      <c r="BD92">
        <v>3</v>
      </c>
      <c r="BE92">
        <v>2.1</v>
      </c>
      <c r="BH92">
        <v>0</v>
      </c>
      <c r="BI92">
        <v>0</v>
      </c>
      <c r="BJ92">
        <v>0</v>
      </c>
      <c r="BK92">
        <v>0</v>
      </c>
      <c r="BL92" t="s">
        <v>1829</v>
      </c>
    </row>
    <row r="93" spans="1:64" x14ac:dyDescent="0.4">
      <c r="A93" s="30"/>
      <c r="B93" s="30">
        <v>43005.713888888888</v>
      </c>
      <c r="C93" t="s">
        <v>524</v>
      </c>
      <c r="D93" t="s">
        <v>477</v>
      </c>
      <c r="E93" t="s">
        <v>582</v>
      </c>
      <c r="F93" t="s">
        <v>171</v>
      </c>
      <c r="G93" t="s">
        <v>169</v>
      </c>
      <c r="H93" s="21" t="s">
        <v>94</v>
      </c>
      <c r="I93" s="86">
        <v>1</v>
      </c>
      <c r="J93" s="86">
        <v>0</v>
      </c>
      <c r="K93" t="s">
        <v>525</v>
      </c>
      <c r="L93" t="s">
        <v>654</v>
      </c>
      <c r="M93" t="s">
        <v>230</v>
      </c>
      <c r="N93" t="str">
        <f>IF(SUM(ckCodingTable[[#This Row],[NfmlPIs]:[NnonWhtAsnPIs]])&gt;0,"WMD","")</f>
        <v/>
      </c>
      <c r="O93" t="b">
        <f>_xlfn.XOR(IFERROR(MATCH(ckCodingTable[[#This Row],[st_code]],EpscorTable[],0)&gt;0,FALSE),IFERROR(FIND("9150",ckCodingTable[[#This Row],[propPRCs]])&gt;0,FALSE))</f>
        <v>0</v>
      </c>
      <c r="P93" s="21" t="b">
        <f>_xlfn.XOR(ckCodingTable[[#This Row],[wmd]]&lt;&gt;"",IFERROR(FIND("9102",ckCodingTable[[#This Row],[propPRCs]])&gt;0,FALSE))</f>
        <v>0</v>
      </c>
      <c r="Q93" t="s">
        <v>1704</v>
      </c>
      <c r="S93" s="108">
        <f>S92+(ckCodingTable[[#This Row],[ILN]]&lt;"M")</f>
        <v>75</v>
      </c>
      <c r="T93" s="21" t="s">
        <v>493</v>
      </c>
      <c r="U93" t="s">
        <v>1403</v>
      </c>
      <c r="V93" s="7" t="str">
        <f>HYPERLINK("https://www.ejacket.nsf.gov/ej/showProposal.do?ID="&amp;ckCodingTable[[#This Row],[prop_id]],"eJ")</f>
        <v>eJ</v>
      </c>
      <c r="W93" t="s">
        <v>478</v>
      </c>
      <c r="X93" t="s">
        <v>1830</v>
      </c>
      <c r="Y93" t="s">
        <v>937</v>
      </c>
      <c r="Z93" t="s">
        <v>1554</v>
      </c>
      <c r="AA93" t="s">
        <v>501</v>
      </c>
      <c r="AB93" s="111" t="str">
        <f>HYPERLINK("mailto:"&amp;ckCodingTable[[#This Row],[email]]&amp;"&amp;subject=Your NSF Proposal:  "&amp;ckCodingTable[[#This Row],[Div]]&amp;" "&amp;ckCodingTable[[#This Row],[prop_id]], ckCodingTable[[#This Row],[email]])</f>
        <v xml:space="preserve"> hardt@eecs.berkeley.edu</v>
      </c>
      <c r="AC93" s="30">
        <v>43313</v>
      </c>
      <c r="AD93">
        <v>36</v>
      </c>
      <c r="AG93" s="112"/>
      <c r="AI93" s="26"/>
      <c r="AJ93" s="22"/>
      <c r="AN93" s="112"/>
      <c r="AO93" s="112"/>
      <c r="AP93" s="112"/>
      <c r="AQ93" s="112"/>
      <c r="AR93" s="7" t="str">
        <f>HYPERLINK("https://www.ejacket.nsf.gov/ej/showProposal.do?ID="&amp;ckCodingTable[[#This Row],[prop_id]],"eJ")</f>
        <v>eJ</v>
      </c>
      <c r="AS93" t="s">
        <v>172</v>
      </c>
      <c r="AT93" t="s">
        <v>1824</v>
      </c>
      <c r="AU93" t="b">
        <f>IF(ckCodingTable[[#This Row],[ILN]]="N",SUBSTITUTE(AT92," ","")&lt;&gt;SUBSTITUTE(ckCodingTable[[#This Row],[prop_titl_txt]]," ",""), FALSE)</f>
        <v>0</v>
      </c>
      <c r="AV93">
        <v>0</v>
      </c>
      <c r="AW93" s="13">
        <v>328204</v>
      </c>
      <c r="AX93" s="13">
        <v>328204</v>
      </c>
      <c r="AY93" s="13"/>
      <c r="AZ93" s="13"/>
      <c r="BA93" s="13"/>
      <c r="BB93" s="13"/>
      <c r="BC93">
        <v>3</v>
      </c>
      <c r="BD93">
        <v>3</v>
      </c>
      <c r="BE93">
        <v>1.5</v>
      </c>
      <c r="BH93">
        <v>0</v>
      </c>
      <c r="BI93">
        <v>0</v>
      </c>
      <c r="BJ93">
        <v>0</v>
      </c>
      <c r="BK93">
        <v>0</v>
      </c>
      <c r="BL93" t="s">
        <v>1557</v>
      </c>
    </row>
    <row r="94" spans="1:64" x14ac:dyDescent="0.4">
      <c r="A94" s="30"/>
      <c r="B94" s="30">
        <v>43005.740277777775</v>
      </c>
      <c r="C94" t="s">
        <v>1831</v>
      </c>
      <c r="D94" t="s">
        <v>1622</v>
      </c>
      <c r="E94" t="s">
        <v>580</v>
      </c>
      <c r="F94" t="s">
        <v>171</v>
      </c>
      <c r="G94" t="s">
        <v>169</v>
      </c>
      <c r="H94" s="21" t="s">
        <v>94</v>
      </c>
      <c r="I94" s="86">
        <v>1</v>
      </c>
      <c r="J94" s="86">
        <v>0</v>
      </c>
      <c r="K94" t="s">
        <v>1832</v>
      </c>
      <c r="L94" t="s">
        <v>1166</v>
      </c>
      <c r="M94" t="s">
        <v>230</v>
      </c>
      <c r="N94" t="str">
        <f>IF(SUM(ckCodingTable[[#This Row],[NfmlPIs]:[NnonWhtAsnPIs]])&gt;0,"WMD","")</f>
        <v/>
      </c>
      <c r="O94" t="b">
        <f>_xlfn.XOR(IFERROR(MATCH(ckCodingTable[[#This Row],[st_code]],EpscorTable[],0)&gt;0,FALSE),IFERROR(FIND("9150",ckCodingTable[[#This Row],[propPRCs]])&gt;0,FALSE))</f>
        <v>0</v>
      </c>
      <c r="P94" s="21" t="b">
        <f>_xlfn.XOR(ckCodingTable[[#This Row],[wmd]]&lt;&gt;"",IFERROR(FIND("9102",ckCodingTable[[#This Row],[propPRCs]])&gt;0,FALSE))</f>
        <v>0</v>
      </c>
      <c r="Q94" t="s">
        <v>1833</v>
      </c>
      <c r="S94" s="108">
        <f>S93+(ckCodingTable[[#This Row],[ILN]]&lt;"M")</f>
        <v>76</v>
      </c>
      <c r="T94" s="21" t="s">
        <v>95</v>
      </c>
      <c r="U94" t="s">
        <v>1411</v>
      </c>
      <c r="V94" s="7" t="str">
        <f>HYPERLINK("https://www.ejacket.nsf.gov/ej/showProposal.do?ID="&amp;ckCodingTable[[#This Row],[prop_id]],"eJ")</f>
        <v>eJ</v>
      </c>
      <c r="W94" t="s">
        <v>1625</v>
      </c>
      <c r="X94" t="s">
        <v>1411</v>
      </c>
      <c r="Y94" t="s">
        <v>1412</v>
      </c>
      <c r="Z94" t="s">
        <v>1524</v>
      </c>
      <c r="AA94" t="s">
        <v>1834</v>
      </c>
      <c r="AB94" s="111" t="str">
        <f>HYPERLINK("mailto:"&amp;ckCodingTable[[#This Row],[email]]&amp;"&amp;subject=Your NSF Proposal:  "&amp;ckCodingTable[[#This Row],[Div]]&amp;" "&amp;ckCodingTable[[#This Row],[prop_id]], ckCodingTable[[#This Row],[email]])</f>
        <v>mmahoney@icsi.berkeley.edu</v>
      </c>
      <c r="AC94" s="30">
        <v>43160</v>
      </c>
      <c r="AD94">
        <v>48</v>
      </c>
      <c r="AE94">
        <v>1</v>
      </c>
      <c r="AG94" s="112">
        <v>1</v>
      </c>
      <c r="AH94" t="s">
        <v>1835</v>
      </c>
      <c r="AI94" s="26">
        <v>5.25</v>
      </c>
      <c r="AJ94" s="22">
        <v>43081.304861111108</v>
      </c>
      <c r="AK94" s="21">
        <v>1</v>
      </c>
      <c r="AL94">
        <v>4</v>
      </c>
      <c r="AN94" s="112">
        <v>4</v>
      </c>
      <c r="AO94" s="112"/>
      <c r="AP94" s="112"/>
      <c r="AQ94" s="112"/>
      <c r="AR94" s="7" t="str">
        <f>HYPERLINK("https://www.ejacket.nsf.gov/ej/showProposal.do?ID="&amp;ckCodingTable[[#This Row],[prop_id]],"eJ")</f>
        <v>eJ</v>
      </c>
      <c r="AS94" t="s">
        <v>172</v>
      </c>
      <c r="AT94" t="s">
        <v>1836</v>
      </c>
      <c r="AU94" t="b">
        <f>IF(ckCodingTable[[#This Row],[ILN]]="N",SUBSTITUTE(AT93," ","")&lt;&gt;SUBSTITUTE(ckCodingTable[[#This Row],[prop_titl_txt]]," ",""), FALSE)</f>
        <v>0</v>
      </c>
      <c r="AV94">
        <v>0</v>
      </c>
      <c r="AW94" s="13">
        <v>1200000</v>
      </c>
      <c r="AX94" s="13">
        <v>1200000</v>
      </c>
      <c r="AY94" s="13"/>
      <c r="AZ94" s="13">
        <v>48000</v>
      </c>
      <c r="BA94" s="13"/>
      <c r="BB94" s="13"/>
      <c r="BC94">
        <v>16</v>
      </c>
      <c r="BD94">
        <v>4</v>
      </c>
      <c r="BG94">
        <v>4</v>
      </c>
      <c r="BH94">
        <v>0</v>
      </c>
      <c r="BI94">
        <v>0</v>
      </c>
      <c r="BJ94">
        <v>0</v>
      </c>
      <c r="BK94">
        <v>0</v>
      </c>
      <c r="BL94" t="s">
        <v>1837</v>
      </c>
    </row>
    <row r="95" spans="1:64" x14ac:dyDescent="0.4">
      <c r="A95" s="30"/>
      <c r="B95" s="30">
        <v>43005.743750000001</v>
      </c>
      <c r="C95" t="s">
        <v>524</v>
      </c>
      <c r="D95" t="s">
        <v>477</v>
      </c>
      <c r="E95" t="s">
        <v>582</v>
      </c>
      <c r="F95" t="s">
        <v>171</v>
      </c>
      <c r="G95" t="s">
        <v>169</v>
      </c>
      <c r="H95" s="21" t="s">
        <v>94</v>
      </c>
      <c r="I95" s="86">
        <v>1</v>
      </c>
      <c r="J95" s="86">
        <v>0</v>
      </c>
      <c r="K95" t="s">
        <v>525</v>
      </c>
      <c r="L95" t="s">
        <v>611</v>
      </c>
      <c r="M95" t="s">
        <v>306</v>
      </c>
      <c r="N95" t="str">
        <f>IF(SUM(ckCodingTable[[#This Row],[NfmlPIs]:[NnonWhtAsnPIs]])&gt;0,"WMD","")</f>
        <v/>
      </c>
      <c r="O95" t="b">
        <f>_xlfn.XOR(IFERROR(MATCH(ckCodingTable[[#This Row],[st_code]],EpscorTable[],0)&gt;0,FALSE),IFERROR(FIND("9150",ckCodingTable[[#This Row],[propPRCs]])&gt;0,FALSE))</f>
        <v>0</v>
      </c>
      <c r="P95" s="21" t="b">
        <f>_xlfn.XOR(ckCodingTable[[#This Row],[wmd]]&lt;&gt;"",IFERROR(FIND("9102",ckCodingTable[[#This Row],[propPRCs]])&gt;0,FALSE))</f>
        <v>0</v>
      </c>
      <c r="Q95" t="s">
        <v>1704</v>
      </c>
      <c r="R95" s="22">
        <v>43082.530312499999</v>
      </c>
      <c r="S95" s="108">
        <f>S94+(ckCodingTable[[#This Row],[ILN]]&lt;"M")</f>
        <v>77</v>
      </c>
      <c r="T95" s="21" t="s">
        <v>491</v>
      </c>
      <c r="U95" t="s">
        <v>1420</v>
      </c>
      <c r="V95" s="7" t="str">
        <f>HYPERLINK("https://www.ejacket.nsf.gov/ej/showProposal.do?ID="&amp;ckCodingTable[[#This Row],[prop_id]],"eJ")</f>
        <v>eJ</v>
      </c>
      <c r="W95" t="s">
        <v>478</v>
      </c>
      <c r="X95" t="s">
        <v>1420</v>
      </c>
      <c r="Y95" t="s">
        <v>1421</v>
      </c>
      <c r="Z95" t="s">
        <v>1838</v>
      </c>
      <c r="AA95" t="s">
        <v>1839</v>
      </c>
      <c r="AB95" s="111" t="str">
        <f>HYPERLINK("mailto:"&amp;ckCodingTable[[#This Row],[email]]&amp;"&amp;subject=Your NSF Proposal:  "&amp;ckCodingTable[[#This Row],[Div]]&amp;" "&amp;ckCodingTable[[#This Row],[prop_id]], ckCodingTable[[#This Row],[email]])</f>
        <v>wbwu@galton.uchicago.edu</v>
      </c>
      <c r="AC95" s="30">
        <v>43282</v>
      </c>
      <c r="AD95">
        <v>48</v>
      </c>
      <c r="AE95">
        <v>1</v>
      </c>
      <c r="AG95" s="112">
        <v>1</v>
      </c>
      <c r="AH95" t="s">
        <v>1840</v>
      </c>
      <c r="AI95" s="26">
        <v>4</v>
      </c>
      <c r="AJ95" s="22">
        <v>43081.243055555555</v>
      </c>
      <c r="AL95">
        <v>4</v>
      </c>
      <c r="AN95" s="112">
        <v>4</v>
      </c>
      <c r="AO95" s="112"/>
      <c r="AP95" s="112"/>
      <c r="AQ95" s="112"/>
      <c r="AR95" s="7" t="str">
        <f>HYPERLINK("https://www.ejacket.nsf.gov/ej/showProposal.do?ID="&amp;ckCodingTable[[#This Row],[prop_id]],"eJ")</f>
        <v>eJ</v>
      </c>
      <c r="AS95" t="s">
        <v>172</v>
      </c>
      <c r="AT95" t="s">
        <v>1841</v>
      </c>
      <c r="AU95" t="b">
        <f>IF(ckCodingTable[[#This Row],[ILN]]="N",SUBSTITUTE(AT94," ","")&lt;&gt;SUBSTITUTE(ckCodingTable[[#This Row],[prop_titl_txt]]," ",""), FALSE)</f>
        <v>0</v>
      </c>
      <c r="AV95">
        <v>0</v>
      </c>
      <c r="AW95" s="13">
        <v>399414</v>
      </c>
      <c r="AX95" s="13">
        <v>399414</v>
      </c>
      <c r="AY95" s="13"/>
      <c r="AZ95" s="13">
        <v>12551</v>
      </c>
      <c r="BA95" s="13"/>
      <c r="BB95" s="13"/>
      <c r="BC95">
        <v>8</v>
      </c>
      <c r="BD95">
        <v>4</v>
      </c>
      <c r="BE95">
        <v>6.5</v>
      </c>
      <c r="BH95">
        <v>0</v>
      </c>
      <c r="BI95">
        <v>0</v>
      </c>
      <c r="BJ95">
        <v>0</v>
      </c>
      <c r="BK95">
        <v>0</v>
      </c>
      <c r="BL95" t="s">
        <v>1842</v>
      </c>
    </row>
    <row r="96" spans="1:64" x14ac:dyDescent="0.4">
      <c r="A96" s="30"/>
      <c r="B96" s="30">
        <v>43005.654166666667</v>
      </c>
      <c r="C96" t="s">
        <v>524</v>
      </c>
      <c r="D96" t="s">
        <v>477</v>
      </c>
      <c r="E96" t="s">
        <v>582</v>
      </c>
      <c r="F96" t="s">
        <v>171</v>
      </c>
      <c r="G96" t="s">
        <v>169</v>
      </c>
      <c r="H96" s="21" t="s">
        <v>94</v>
      </c>
      <c r="I96" s="86">
        <v>1</v>
      </c>
      <c r="J96" s="86">
        <v>0</v>
      </c>
      <c r="K96" t="s">
        <v>525</v>
      </c>
      <c r="L96" t="s">
        <v>611</v>
      </c>
      <c r="M96" t="s">
        <v>498</v>
      </c>
      <c r="N96" t="str">
        <f>IF(SUM(ckCodingTable[[#This Row],[NfmlPIs]:[NnonWhtAsnPIs]])&gt;0,"WMD","")</f>
        <v>WMD</v>
      </c>
      <c r="O96" t="b">
        <f>_xlfn.XOR(IFERROR(MATCH(ckCodingTable[[#This Row],[st_code]],EpscorTable[],0)&gt;0,FALSE),IFERROR(FIND("9150",ckCodingTable[[#This Row],[propPRCs]])&gt;0,FALSE))</f>
        <v>0</v>
      </c>
      <c r="P96" s="21" t="b">
        <f>_xlfn.XOR(ckCodingTable[[#This Row],[wmd]]&lt;&gt;"",IFERROR(FIND("9102",ckCodingTable[[#This Row],[propPRCs]])&gt;0,FALSE))</f>
        <v>1</v>
      </c>
      <c r="Q96" t="s">
        <v>1704</v>
      </c>
      <c r="R96" s="22">
        <v>43082.530312499999</v>
      </c>
      <c r="S96" s="108">
        <f>S95+(ckCodingTable[[#This Row],[ILN]]&lt;"M")</f>
        <v>77</v>
      </c>
      <c r="T96" s="21" t="s">
        <v>493</v>
      </c>
      <c r="U96" t="s">
        <v>1420</v>
      </c>
      <c r="V96" s="7" t="str">
        <f>HYPERLINK("https://www.ejacket.nsf.gov/ej/showProposal.do?ID="&amp;ckCodingTable[[#This Row],[prop_id]],"eJ")</f>
        <v>eJ</v>
      </c>
      <c r="W96" t="s">
        <v>478</v>
      </c>
      <c r="X96" t="s">
        <v>1843</v>
      </c>
      <c r="Y96" t="s">
        <v>1352</v>
      </c>
      <c r="Z96" t="s">
        <v>1844</v>
      </c>
      <c r="AA96" t="s">
        <v>1845</v>
      </c>
      <c r="AB96" s="111" t="str">
        <f>HYPERLINK("mailto:"&amp;ckCodingTable[[#This Row],[email]]&amp;"&amp;subject=Your NSF Proposal:  "&amp;ckCodingTable[[#This Row],[Div]]&amp;" "&amp;ckCodingTable[[#This Row],[prop_id]], ckCodingTable[[#This Row],[email]])</f>
        <v>maggie.cheng@njit.edu</v>
      </c>
      <c r="AC96" s="30">
        <v>43282</v>
      </c>
      <c r="AD96">
        <v>48</v>
      </c>
      <c r="AG96" s="112"/>
      <c r="AI96" s="26"/>
      <c r="AJ96" s="22"/>
      <c r="AN96" s="112"/>
      <c r="AO96" s="112"/>
      <c r="AP96" s="112"/>
      <c r="AQ96" s="112"/>
      <c r="AR96" s="7" t="str">
        <f>HYPERLINK("https://www.ejacket.nsf.gov/ej/showProposal.do?ID="&amp;ckCodingTable[[#This Row],[prop_id]],"eJ")</f>
        <v>eJ</v>
      </c>
      <c r="AS96" t="s">
        <v>172</v>
      </c>
      <c r="AT96" t="s">
        <v>1841</v>
      </c>
      <c r="AU96" t="b">
        <f>IF(ckCodingTable[[#This Row],[ILN]]="N",SUBSTITUTE(AT95," ","")&lt;&gt;SUBSTITUTE(ckCodingTable[[#This Row],[prop_titl_txt]]," ",""), FALSE)</f>
        <v>0</v>
      </c>
      <c r="AV96">
        <v>0</v>
      </c>
      <c r="AW96" s="13">
        <v>398685</v>
      </c>
      <c r="AX96" s="13">
        <v>398685</v>
      </c>
      <c r="AY96" s="13"/>
      <c r="AZ96" s="13">
        <v>8000</v>
      </c>
      <c r="BA96" s="13"/>
      <c r="BB96" s="13"/>
      <c r="BC96">
        <v>4</v>
      </c>
      <c r="BD96">
        <v>4</v>
      </c>
      <c r="BE96">
        <v>4</v>
      </c>
      <c r="BH96">
        <v>2</v>
      </c>
      <c r="BI96">
        <v>0</v>
      </c>
      <c r="BJ96">
        <v>0</v>
      </c>
      <c r="BK96">
        <v>0</v>
      </c>
      <c r="BL96" t="s">
        <v>1846</v>
      </c>
    </row>
  </sheetData>
  <conditionalFormatting sqref="A2:BL96">
    <cfRule type="expression" dxfId="40" priority="6">
      <formula>MOD($S2,2)</formula>
    </cfRule>
  </conditionalFormatting>
  <conditionalFormatting sqref="AL2:AM96">
    <cfRule type="expression" dxfId="39" priority="5">
      <formula>AND($T2&lt;"M",$AL2&lt;$AM2+3)</formula>
    </cfRule>
  </conditionalFormatting>
  <conditionalFormatting sqref="C2:L96">
    <cfRule type="expression" dxfId="38" priority="4">
      <formula>AND($T2="N", C2&lt;&gt;C1)</formula>
    </cfRule>
  </conditionalFormatting>
  <conditionalFormatting sqref="AT2:AT96">
    <cfRule type="expression" dxfId="37" priority="3">
      <formula>$AU2</formula>
    </cfRule>
  </conditionalFormatting>
  <conditionalFormatting sqref="I2:J96">
    <cfRule type="expression" dxfId="36" priority="2">
      <formula>($J2+$I2)&lt;&gt;1</formula>
    </cfRule>
  </conditionalFormatting>
  <conditionalFormatting sqref="M2:N96">
    <cfRule type="expression" dxfId="35"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96"/>
  <sheetViews>
    <sheetView topLeftCell="AN25" zoomScale="98" workbookViewId="0">
      <selection activeCell="AT51" sqref="AT51"/>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5"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373</v>
      </c>
      <c r="J1" t="s">
        <v>92</v>
      </c>
      <c r="K1" t="s">
        <v>17</v>
      </c>
      <c r="L1" s="22" t="s">
        <v>16</v>
      </c>
      <c r="M1" s="110" t="s">
        <v>101</v>
      </c>
      <c r="N1" t="s">
        <v>88</v>
      </c>
      <c r="O1" t="s">
        <v>9</v>
      </c>
      <c r="P1" t="s">
        <v>1</v>
      </c>
      <c r="Q1" t="s">
        <v>143</v>
      </c>
      <c r="R1" t="s">
        <v>0</v>
      </c>
      <c r="S1" t="s">
        <v>10</v>
      </c>
      <c r="T1" t="s">
        <v>18</v>
      </c>
      <c r="U1" t="s">
        <v>287</v>
      </c>
      <c r="V1" t="s">
        <v>93</v>
      </c>
      <c r="W1" s="110" t="s">
        <v>130</v>
      </c>
      <c r="X1" s="30" t="s">
        <v>19</v>
      </c>
      <c r="Y1" t="s">
        <v>20</v>
      </c>
      <c r="Z1" t="s">
        <v>89</v>
      </c>
      <c r="AA1" s="21" t="s">
        <v>397</v>
      </c>
      <c r="AB1" s="21" t="s">
        <v>398</v>
      </c>
      <c r="AC1" t="s">
        <v>90</v>
      </c>
      <c r="AD1" s="21" t="s">
        <v>399</v>
      </c>
      <c r="AE1" s="21" t="s">
        <v>131</v>
      </c>
      <c r="AF1" s="13" t="s">
        <v>21</v>
      </c>
      <c r="AG1" s="124" t="s">
        <v>296</v>
      </c>
      <c r="AH1" s="1" t="s">
        <v>22</v>
      </c>
      <c r="AI1" s="1" t="s">
        <v>297</v>
      </c>
      <c r="AJ1" s="1" t="s">
        <v>298</v>
      </c>
      <c r="AK1" s="1" t="s">
        <v>299</v>
      </c>
      <c r="AL1" s="1" t="s">
        <v>300</v>
      </c>
      <c r="AM1" s="21" t="s">
        <v>301</v>
      </c>
      <c r="AN1" s="21" t="s">
        <v>302</v>
      </c>
      <c r="AO1" s="21" t="s">
        <v>303</v>
      </c>
      <c r="AP1" s="21" t="s">
        <v>304</v>
      </c>
      <c r="AQ1" s="21" t="s">
        <v>305</v>
      </c>
      <c r="AR1" s="125" t="s">
        <v>166</v>
      </c>
      <c r="AS1" s="21" t="s">
        <v>380</v>
      </c>
      <c r="AT1" s="21" t="s">
        <v>425</v>
      </c>
      <c r="AU1" s="21" t="s">
        <v>132</v>
      </c>
      <c r="AV1" t="s">
        <v>36</v>
      </c>
      <c r="AW1" t="s">
        <v>411</v>
      </c>
      <c r="AX1" t="s">
        <v>145</v>
      </c>
      <c r="AY1"/>
      <c r="AZ1"/>
      <c r="BA1"/>
      <c r="BB1"/>
      <c r="BC1"/>
      <c r="BD1"/>
      <c r="BL1"/>
      <c r="BP1"/>
    </row>
    <row r="2" spans="1:68" ht="14.7" customHeight="1" x14ac:dyDescent="0.4">
      <c r="B2" s="30">
        <v>42930.554166666669</v>
      </c>
      <c r="C2" t="s">
        <v>1430</v>
      </c>
      <c r="D2" t="s">
        <v>477</v>
      </c>
      <c r="E2" t="s">
        <v>582</v>
      </c>
      <c r="F2" t="s">
        <v>604</v>
      </c>
      <c r="G2" s="8" t="s">
        <v>171</v>
      </c>
      <c r="H2" s="8" t="s">
        <v>169</v>
      </c>
      <c r="I2" s="8" t="s">
        <v>505</v>
      </c>
      <c r="J2" t="s">
        <v>94</v>
      </c>
      <c r="K2" t="s">
        <v>1431</v>
      </c>
      <c r="L2" s="22">
        <v>43076.608981481484</v>
      </c>
      <c r="M2" s="109">
        <f xml:space="preserve"> M1+(ckAwdTable[ILN]&lt;"M")</f>
        <v>1</v>
      </c>
      <c r="N2" t="s">
        <v>95</v>
      </c>
      <c r="O2" t="s">
        <v>602</v>
      </c>
      <c r="P2" s="15" t="str">
        <f>HYPERLINK("https://www.ejacket.nsf.gov/ej/showProposal.do?ID="&amp;ckAwdTable[[#This Row],[prop_id]],"eJ")</f>
        <v>eJ</v>
      </c>
      <c r="Q2" s="8" t="s">
        <v>478</v>
      </c>
      <c r="R2" t="s">
        <v>602</v>
      </c>
      <c r="S2" t="s">
        <v>603</v>
      </c>
      <c r="T2" t="s">
        <v>1434</v>
      </c>
      <c r="U2" s="8" t="s">
        <v>1435</v>
      </c>
      <c r="V2" t="s">
        <v>1433</v>
      </c>
      <c r="W2" s="113" t="str">
        <f>HYPERLINK("mailto:"&amp; ckAwdTable[[#This Row],[email]]&amp;"&amp;subject=Your NSF Proposal:  "&amp;ckAwdTable[[#This Row],[prop_id]], ckAwdTable[[#This Row],[email]])</f>
        <v>steffen.borgwardt@ucdenver.edu</v>
      </c>
      <c r="X2" s="30">
        <v>43101</v>
      </c>
      <c r="Y2">
        <v>60</v>
      </c>
      <c r="AA2" s="21" t="s">
        <v>13</v>
      </c>
      <c r="AB2" s="21" t="s">
        <v>382</v>
      </c>
      <c r="AC2"/>
      <c r="AD2" s="21" t="s">
        <v>13</v>
      </c>
      <c r="AE2" s="21" t="s">
        <v>506</v>
      </c>
      <c r="AF2" s="13">
        <v>470400</v>
      </c>
      <c r="AG2" s="124">
        <v>0</v>
      </c>
      <c r="AH2" s="1">
        <v>470400</v>
      </c>
      <c r="AI2" s="1"/>
      <c r="AJ2" s="1">
        <v>9600</v>
      </c>
      <c r="AM2" s="21">
        <v>5</v>
      </c>
      <c r="AN2" s="21">
        <v>5</v>
      </c>
      <c r="AO2" s="21">
        <v>7.5</v>
      </c>
      <c r="AP2" s="21"/>
      <c r="AQ2" s="21"/>
      <c r="AR2" s="126" t="s">
        <v>172</v>
      </c>
      <c r="AS2" s="21" t="s">
        <v>493</v>
      </c>
      <c r="AT2" s="21" t="str">
        <f>IFERROR(IF(FIND("?",ckAwdTable[abst_narr_txt]),SummarizeQuestMarks(ckAwdTable[abst_narr_txt]),""),"")</f>
        <v/>
      </c>
      <c r="AU2" s="119"/>
      <c r="AV2" t="s">
        <v>1437</v>
      </c>
      <c r="AW2" t="b">
        <f>AND(ckAwdTable[[#This Row],[ILN]]&gt;"M", SUBSTITUTE(ckAwdTable[[#This Row],[prop_titl_txt]]," ","")&lt;&gt;SUBSTITUTE(AV1," ",""))</f>
        <v>0</v>
      </c>
      <c r="AX2" s="8" t="s">
        <v>1438</v>
      </c>
      <c r="AY2"/>
      <c r="AZ2"/>
      <c r="BA2"/>
      <c r="BB2"/>
      <c r="BC2"/>
      <c r="BD2"/>
      <c r="BL2"/>
      <c r="BP2"/>
    </row>
    <row r="3" spans="1:68" x14ac:dyDescent="0.4">
      <c r="B3" s="30">
        <v>42933.444444444445</v>
      </c>
      <c r="C3" t="s">
        <v>1430</v>
      </c>
      <c r="D3" t="s">
        <v>1622</v>
      </c>
      <c r="E3" t="s">
        <v>580</v>
      </c>
      <c r="F3" t="s">
        <v>1166</v>
      </c>
      <c r="G3" s="8" t="s">
        <v>171</v>
      </c>
      <c r="H3" s="8" t="s">
        <v>169</v>
      </c>
      <c r="I3" s="8" t="s">
        <v>505</v>
      </c>
      <c r="J3" t="s">
        <v>94</v>
      </c>
      <c r="K3" t="s">
        <v>2065</v>
      </c>
      <c r="L3" s="22">
        <v>43068.644884259258</v>
      </c>
      <c r="M3" s="109">
        <f xml:space="preserve"> M2+(ckAwdTable[ILN]&lt;"M")</f>
        <v>2</v>
      </c>
      <c r="N3" t="s">
        <v>95</v>
      </c>
      <c r="O3" t="s">
        <v>2015</v>
      </c>
      <c r="P3" s="15" t="str">
        <f>HYPERLINK("https://www.ejacket.nsf.gov/ej/showProposal.do?ID="&amp;ckAwdTable[[#This Row],[prop_id]],"eJ")</f>
        <v>eJ</v>
      </c>
      <c r="Q3" s="8" t="s">
        <v>1625</v>
      </c>
      <c r="R3" t="s">
        <v>2015</v>
      </c>
      <c r="S3" t="s">
        <v>2016</v>
      </c>
      <c r="T3" t="s">
        <v>2067</v>
      </c>
      <c r="U3" s="8" t="s">
        <v>2068</v>
      </c>
      <c r="V3" t="s">
        <v>563</v>
      </c>
      <c r="W3" s="113" t="str">
        <f>HYPERLINK("mailto:"&amp; ckAwdTable[[#This Row],[email]]&amp;"&amp;subject=Your NSF Proposal:  "&amp;ckAwdTable[[#This Row],[prop_id]], ckAwdTable[[#This Row],[email]])</f>
        <v>tianbao-yang@uiowa.edu</v>
      </c>
      <c r="X3" s="30">
        <v>43252</v>
      </c>
      <c r="Y3">
        <v>60</v>
      </c>
      <c r="AA3" s="21" t="s">
        <v>13</v>
      </c>
      <c r="AB3" s="21" t="s">
        <v>382</v>
      </c>
      <c r="AC3"/>
      <c r="AD3" s="21" t="s">
        <v>13</v>
      </c>
      <c r="AE3" s="21" t="s">
        <v>506</v>
      </c>
      <c r="AF3" s="13">
        <v>543913</v>
      </c>
      <c r="AG3" s="124">
        <v>0</v>
      </c>
      <c r="AH3" s="1">
        <v>543913</v>
      </c>
      <c r="AI3" s="1"/>
      <c r="AJ3" s="1">
        <v>15500</v>
      </c>
      <c r="AM3" s="21">
        <v>10</v>
      </c>
      <c r="AN3" s="21">
        <v>5</v>
      </c>
      <c r="AO3" s="21">
        <v>5</v>
      </c>
      <c r="AP3" s="21"/>
      <c r="AQ3" s="21"/>
      <c r="AR3" s="126" t="s">
        <v>2070</v>
      </c>
      <c r="AS3" s="21" t="s">
        <v>493</v>
      </c>
      <c r="AT3" s="21" t="str">
        <f>IFERROR(IF(FIND("?",ckAwdTable[abst_narr_txt]),SummarizeQuestMarks(ckAwdTable[abst_narr_txt]),""),"")</f>
        <v/>
      </c>
      <c r="AU3" s="119"/>
      <c r="AV3" t="s">
        <v>2071</v>
      </c>
      <c r="AW3" t="b">
        <f>AND(ckAwdTable[[#This Row],[ILN]]&gt;"M", SUBSTITUTE(ckAwdTable[[#This Row],[prop_titl_txt]]," ","")&lt;&gt;SUBSTITUTE(AV2," ",""))</f>
        <v>0</v>
      </c>
      <c r="AX3" s="8" t="s">
        <v>2072</v>
      </c>
      <c r="AY3"/>
      <c r="AZ3"/>
      <c r="BA3"/>
      <c r="BB3"/>
      <c r="BC3"/>
      <c r="BD3"/>
      <c r="BL3"/>
      <c r="BP3"/>
    </row>
    <row r="4" spans="1:68" x14ac:dyDescent="0.4">
      <c r="B4" s="30">
        <v>42933.547222222223</v>
      </c>
      <c r="C4" t="s">
        <v>1430</v>
      </c>
      <c r="D4" t="s">
        <v>477</v>
      </c>
      <c r="E4" t="s">
        <v>582</v>
      </c>
      <c r="F4" t="s">
        <v>604</v>
      </c>
      <c r="G4" s="8" t="s">
        <v>171</v>
      </c>
      <c r="H4" s="8" t="s">
        <v>169</v>
      </c>
      <c r="I4" s="8" t="s">
        <v>505</v>
      </c>
      <c r="J4" t="s">
        <v>94</v>
      </c>
      <c r="K4" t="s">
        <v>1431</v>
      </c>
      <c r="L4" s="22">
        <v>43082.662557870368</v>
      </c>
      <c r="M4" s="109">
        <f xml:space="preserve"> M3+(ckAwdTable[ILN]&lt;"M")</f>
        <v>3</v>
      </c>
      <c r="N4" t="s">
        <v>95</v>
      </c>
      <c r="O4" t="s">
        <v>630</v>
      </c>
      <c r="P4" s="15" t="str">
        <f>HYPERLINK("https://www.ejacket.nsf.gov/ej/showProposal.do?ID="&amp;ckAwdTable[[#This Row],[prop_id]],"eJ")</f>
        <v>eJ</v>
      </c>
      <c r="Q4" s="8" t="s">
        <v>478</v>
      </c>
      <c r="R4" t="s">
        <v>630</v>
      </c>
      <c r="S4" t="s">
        <v>631</v>
      </c>
      <c r="T4" t="s">
        <v>1440</v>
      </c>
      <c r="U4" s="8" t="s">
        <v>559</v>
      </c>
      <c r="V4" t="s">
        <v>555</v>
      </c>
      <c r="W4" s="113" t="str">
        <f>HYPERLINK("mailto:"&amp; ckAwdTable[[#This Row],[email]]&amp;"&amp;subject=Your NSF Proposal:  "&amp;ckAwdTable[[#This Row],[prop_id]], ckAwdTable[[#This Row],[email]])</f>
        <v>haitao.wang@usu.edu</v>
      </c>
      <c r="X4" s="30">
        <v>43221</v>
      </c>
      <c r="Y4">
        <v>60</v>
      </c>
      <c r="AA4" s="21" t="s">
        <v>13</v>
      </c>
      <c r="AB4" s="21" t="s">
        <v>382</v>
      </c>
      <c r="AC4"/>
      <c r="AD4" s="21" t="s">
        <v>13</v>
      </c>
      <c r="AE4" s="21" t="s">
        <v>2004</v>
      </c>
      <c r="AF4" s="13">
        <v>524898</v>
      </c>
      <c r="AG4" s="124">
        <v>0</v>
      </c>
      <c r="AH4" s="1">
        <v>524898</v>
      </c>
      <c r="AI4" s="1"/>
      <c r="AJ4" s="1">
        <v>15000</v>
      </c>
      <c r="AM4" s="21">
        <v>10</v>
      </c>
      <c r="AN4" s="21">
        <v>5</v>
      </c>
      <c r="AO4" s="21">
        <v>5</v>
      </c>
      <c r="AP4" s="21"/>
      <c r="AQ4" s="21"/>
      <c r="AR4" s="126" t="s">
        <v>172</v>
      </c>
      <c r="AS4" s="21" t="s">
        <v>493</v>
      </c>
      <c r="AT4" s="21" t="str">
        <f>IFERROR(IF(FIND("?",ckAwdTable[abst_narr_txt]),SummarizeQuestMarks(ckAwdTable[abst_narr_txt]),""),"")</f>
        <v/>
      </c>
      <c r="AU4" s="119"/>
      <c r="AV4" t="s">
        <v>1442</v>
      </c>
      <c r="AW4" t="b">
        <f>AND(ckAwdTable[[#This Row],[ILN]]&gt;"M", SUBSTITUTE(ckAwdTable[[#This Row],[prop_titl_txt]]," ","")&lt;&gt;SUBSTITUTE(AV3," ",""))</f>
        <v>0</v>
      </c>
      <c r="AX4" s="8" t="s">
        <v>1443</v>
      </c>
      <c r="AY4"/>
      <c r="AZ4"/>
      <c r="BA4"/>
      <c r="BB4"/>
      <c r="BC4"/>
      <c r="BD4"/>
      <c r="BL4"/>
      <c r="BP4"/>
    </row>
    <row r="5" spans="1:68" x14ac:dyDescent="0.4">
      <c r="B5" s="30">
        <v>42933.579861111109</v>
      </c>
      <c r="C5" t="s">
        <v>1430</v>
      </c>
      <c r="D5" t="s">
        <v>477</v>
      </c>
      <c r="E5" t="s">
        <v>582</v>
      </c>
      <c r="F5" t="s">
        <v>654</v>
      </c>
      <c r="G5" s="8" t="s">
        <v>171</v>
      </c>
      <c r="H5" s="8" t="s">
        <v>169</v>
      </c>
      <c r="I5" s="8" t="s">
        <v>505</v>
      </c>
      <c r="J5" t="s">
        <v>94</v>
      </c>
      <c r="K5" t="s">
        <v>1431</v>
      </c>
      <c r="L5" s="22">
        <v>43082.662615740737</v>
      </c>
      <c r="M5" s="109">
        <f xml:space="preserve"> M4+(ckAwdTable[ILN]&lt;"M")</f>
        <v>4</v>
      </c>
      <c r="N5" t="s">
        <v>95</v>
      </c>
      <c r="O5" t="s">
        <v>652</v>
      </c>
      <c r="P5" s="15" t="str">
        <f>HYPERLINK("https://www.ejacket.nsf.gov/ej/showProposal.do?ID="&amp;ckAwdTable[[#This Row],[prop_id]],"eJ")</f>
        <v>eJ</v>
      </c>
      <c r="Q5" s="8" t="s">
        <v>478</v>
      </c>
      <c r="R5" t="s">
        <v>652</v>
      </c>
      <c r="S5" t="s">
        <v>653</v>
      </c>
      <c r="T5" t="s">
        <v>1445</v>
      </c>
      <c r="U5" s="8" t="s">
        <v>497</v>
      </c>
      <c r="V5" t="s">
        <v>496</v>
      </c>
      <c r="W5" s="113" t="str">
        <f>HYPERLINK("mailto:"&amp; ckAwdTable[[#This Row],[email]]&amp;"&amp;subject=Your NSF Proposal:  "&amp;ckAwdTable[[#This Row],[prop_id]], ckAwdTable[[#This Row],[email]])</f>
        <v>bmoseley@seas.wustl.edu</v>
      </c>
      <c r="X5" s="30">
        <v>43282</v>
      </c>
      <c r="Y5">
        <v>60</v>
      </c>
      <c r="AA5" s="21" t="s">
        <v>13</v>
      </c>
      <c r="AB5" s="21" t="s">
        <v>382</v>
      </c>
      <c r="AC5"/>
      <c r="AD5" s="21" t="s">
        <v>13</v>
      </c>
      <c r="AF5" s="13">
        <v>545000</v>
      </c>
      <c r="AG5" s="124">
        <v>0</v>
      </c>
      <c r="AH5" s="1">
        <v>545000</v>
      </c>
      <c r="AI5" s="1"/>
      <c r="AJ5" s="1"/>
      <c r="AL5" s="1">
        <v>8000</v>
      </c>
      <c r="AM5" s="21">
        <v>5</v>
      </c>
      <c r="AN5" s="21">
        <v>5</v>
      </c>
      <c r="AO5" s="21">
        <v>6.5</v>
      </c>
      <c r="AP5" s="21"/>
      <c r="AQ5" s="21"/>
      <c r="AR5" s="126" t="s">
        <v>172</v>
      </c>
      <c r="AS5" s="21" t="s">
        <v>493</v>
      </c>
      <c r="AT5" s="21" t="str">
        <f>IFERROR(IF(FIND("?",ckAwdTable[abst_narr_txt]),SummarizeQuestMarks(ckAwdTable[abst_narr_txt]),""),"")</f>
        <v/>
      </c>
      <c r="AU5" s="119"/>
      <c r="AV5" t="s">
        <v>1447</v>
      </c>
      <c r="AW5" t="b">
        <f>AND(ckAwdTable[[#This Row],[ILN]]&gt;"M", SUBSTITUTE(ckAwdTable[[#This Row],[prop_titl_txt]]," ","")&lt;&gt;SUBSTITUTE(AV4," ",""))</f>
        <v>0</v>
      </c>
      <c r="AX5" s="8" t="s">
        <v>1448</v>
      </c>
      <c r="AY5"/>
      <c r="AZ5"/>
      <c r="BA5"/>
      <c r="BB5"/>
      <c r="BC5"/>
      <c r="BD5"/>
      <c r="BL5"/>
      <c r="BP5"/>
    </row>
    <row r="6" spans="1:68" x14ac:dyDescent="0.4">
      <c r="B6" s="30">
        <v>42933.713888888888</v>
      </c>
      <c r="C6" t="s">
        <v>1430</v>
      </c>
      <c r="D6" t="s">
        <v>477</v>
      </c>
      <c r="E6" t="s">
        <v>582</v>
      </c>
      <c r="F6" t="s">
        <v>604</v>
      </c>
      <c r="G6" s="8" t="s">
        <v>171</v>
      </c>
      <c r="H6" s="8" t="s">
        <v>169</v>
      </c>
      <c r="I6" s="8" t="s">
        <v>505</v>
      </c>
      <c r="J6" t="s">
        <v>94</v>
      </c>
      <c r="K6" t="s">
        <v>1431</v>
      </c>
      <c r="L6" s="22"/>
      <c r="M6" s="109">
        <f xml:space="preserve"> M5+(ckAwdTable[ILN]&lt;"M")</f>
        <v>5</v>
      </c>
      <c r="N6" t="s">
        <v>95</v>
      </c>
      <c r="O6" t="s">
        <v>669</v>
      </c>
      <c r="P6" s="15" t="str">
        <f>HYPERLINK("https://www.ejacket.nsf.gov/ej/showProposal.do?ID="&amp;ckAwdTable[[#This Row],[prop_id]],"eJ")</f>
        <v>eJ</v>
      </c>
      <c r="Q6" s="8" t="s">
        <v>478</v>
      </c>
      <c r="R6" t="s">
        <v>669</v>
      </c>
      <c r="S6" t="s">
        <v>670</v>
      </c>
      <c r="T6" t="s">
        <v>1449</v>
      </c>
      <c r="U6" s="8" t="s">
        <v>554</v>
      </c>
      <c r="V6" t="s">
        <v>553</v>
      </c>
      <c r="W6" s="113" t="str">
        <f>HYPERLINK("mailto:"&amp; ckAwdTable[[#This Row],[email]]&amp;"&amp;subject=Your NSF Proposal:  "&amp;ckAwdTable[[#This Row],[prop_id]], ckAwdTable[[#This Row],[email]])</f>
        <v>delpia@wisc.edu</v>
      </c>
      <c r="X6" s="30">
        <v>43344</v>
      </c>
      <c r="Y6">
        <v>60</v>
      </c>
      <c r="AA6" s="21" t="s">
        <v>13</v>
      </c>
      <c r="AB6" s="21" t="s">
        <v>382</v>
      </c>
      <c r="AC6"/>
      <c r="AD6" s="21" t="s">
        <v>13</v>
      </c>
      <c r="AE6" s="21" t="s">
        <v>506</v>
      </c>
      <c r="AF6" s="13">
        <v>500000</v>
      </c>
      <c r="AG6" s="124">
        <v>0</v>
      </c>
      <c r="AH6" s="1">
        <v>500000</v>
      </c>
      <c r="AI6" s="1"/>
      <c r="AJ6" s="1">
        <v>12416</v>
      </c>
      <c r="AM6" s="21">
        <v>5</v>
      </c>
      <c r="AN6" s="21">
        <v>5</v>
      </c>
      <c r="AO6" s="21">
        <v>5</v>
      </c>
      <c r="AP6" s="21"/>
      <c r="AQ6" s="21"/>
      <c r="AR6" s="126" t="s">
        <v>172</v>
      </c>
      <c r="AS6" s="21" t="s">
        <v>493</v>
      </c>
      <c r="AT6" s="21" t="str">
        <f>IFERROR(IF(FIND("?",ckAwdTable[abst_narr_txt]),SummarizeQuestMarks(ckAwdTable[abst_narr_txt]),""),"")</f>
        <v/>
      </c>
      <c r="AU6" s="119"/>
      <c r="AV6" t="s">
        <v>1451</v>
      </c>
      <c r="AW6" t="b">
        <f>AND(ckAwdTable[[#This Row],[ILN]]&gt;"M", SUBSTITUTE(ckAwdTable[[#This Row],[prop_titl_txt]]," ","")&lt;&gt;SUBSTITUTE(AV5," ",""))</f>
        <v>0</v>
      </c>
      <c r="AX6" s="8" t="s">
        <v>1452</v>
      </c>
      <c r="AY6"/>
      <c r="AZ6"/>
      <c r="BA6"/>
      <c r="BB6"/>
      <c r="BC6"/>
      <c r="BD6"/>
      <c r="BL6"/>
      <c r="BP6"/>
    </row>
    <row r="7" spans="1:68" x14ac:dyDescent="0.4">
      <c r="B7" s="30">
        <v>42933.820138888892</v>
      </c>
      <c r="C7" t="s">
        <v>1430</v>
      </c>
      <c r="D7" t="s">
        <v>477</v>
      </c>
      <c r="E7" t="s">
        <v>582</v>
      </c>
      <c r="F7" t="s">
        <v>604</v>
      </c>
      <c r="G7" s="8" t="s">
        <v>171</v>
      </c>
      <c r="H7" s="8" t="s">
        <v>169</v>
      </c>
      <c r="I7" s="8" t="s">
        <v>505</v>
      </c>
      <c r="J7" t="s">
        <v>94</v>
      </c>
      <c r="K7" t="s">
        <v>1431</v>
      </c>
      <c r="L7" s="22"/>
      <c r="M7" s="109">
        <f xml:space="preserve"> M6+(ckAwdTable[ILN]&lt;"M")</f>
        <v>6</v>
      </c>
      <c r="N7" t="s">
        <v>95</v>
      </c>
      <c r="O7" t="s">
        <v>677</v>
      </c>
      <c r="P7" s="15" t="str">
        <f>HYPERLINK("https://www.ejacket.nsf.gov/ej/showProposal.do?ID="&amp;ckAwdTable[[#This Row],[prop_id]],"eJ")</f>
        <v>eJ</v>
      </c>
      <c r="Q7" s="8" t="s">
        <v>478</v>
      </c>
      <c r="R7" t="s">
        <v>677</v>
      </c>
      <c r="S7" t="s">
        <v>678</v>
      </c>
      <c r="T7" t="s">
        <v>1454</v>
      </c>
      <c r="U7" s="8" t="s">
        <v>1455</v>
      </c>
      <c r="V7" t="s">
        <v>1453</v>
      </c>
      <c r="W7" s="113" t="str">
        <f>HYPERLINK("mailto:"&amp; ckAwdTable[[#This Row],[email]]&amp;"&amp;subject=Your NSF Proposal:  "&amp;ckAwdTable[[#This Row],[prop_id]], ckAwdTable[[#This Row],[email]])</f>
        <v>yintat@uw.edu</v>
      </c>
      <c r="X7" s="30">
        <v>43175</v>
      </c>
      <c r="Y7">
        <v>60</v>
      </c>
      <c r="AA7" s="21" t="s">
        <v>13</v>
      </c>
      <c r="AB7" s="21" t="s">
        <v>382</v>
      </c>
      <c r="AC7"/>
      <c r="AD7" s="21" t="s">
        <v>13</v>
      </c>
      <c r="AF7" s="13">
        <v>549841</v>
      </c>
      <c r="AG7" s="124">
        <v>0</v>
      </c>
      <c r="AH7" s="1">
        <v>549841</v>
      </c>
      <c r="AI7" s="1"/>
      <c r="AJ7" s="1"/>
      <c r="AM7" s="21">
        <v>5</v>
      </c>
      <c r="AN7" s="21">
        <v>5</v>
      </c>
      <c r="AO7" s="21">
        <v>2.5</v>
      </c>
      <c r="AP7" s="21"/>
      <c r="AQ7" s="21">
        <v>2.5</v>
      </c>
      <c r="AR7" s="126" t="s">
        <v>172</v>
      </c>
      <c r="AS7" s="21" t="s">
        <v>493</v>
      </c>
      <c r="AT7" s="21" t="str">
        <f>IFERROR(IF(FIND("?",ckAwdTable[abst_narr_txt]),SummarizeQuestMarks(ckAwdTable[abst_narr_txt]),""),"")</f>
        <v/>
      </c>
      <c r="AU7" s="119"/>
      <c r="AV7" t="s">
        <v>1457</v>
      </c>
      <c r="AW7" t="b">
        <f>AND(ckAwdTable[[#This Row],[ILN]]&gt;"M", SUBSTITUTE(ckAwdTable[[#This Row],[prop_titl_txt]]," ","")&lt;&gt;SUBSTITUTE(AV6," ",""))</f>
        <v>0</v>
      </c>
      <c r="AX7" s="8" t="s">
        <v>1458</v>
      </c>
    </row>
    <row r="8" spans="1:68" x14ac:dyDescent="0.4">
      <c r="B8" s="30">
        <v>42934.453472222223</v>
      </c>
      <c r="C8" t="s">
        <v>1430</v>
      </c>
      <c r="D8" t="s">
        <v>477</v>
      </c>
      <c r="E8" t="s">
        <v>582</v>
      </c>
      <c r="F8" t="s">
        <v>654</v>
      </c>
      <c r="G8" s="8" t="s">
        <v>171</v>
      </c>
      <c r="H8" s="8" t="s">
        <v>169</v>
      </c>
      <c r="I8" s="8" t="s">
        <v>505</v>
      </c>
      <c r="J8" t="s">
        <v>94</v>
      </c>
      <c r="K8" t="s">
        <v>1431</v>
      </c>
      <c r="L8" s="22"/>
      <c r="M8" s="109">
        <f xml:space="preserve"> M7+(ckAwdTable[ILN]&lt;"M")</f>
        <v>7</v>
      </c>
      <c r="N8" t="s">
        <v>95</v>
      </c>
      <c r="O8" t="s">
        <v>685</v>
      </c>
      <c r="P8" s="15" t="str">
        <f>HYPERLINK("https://www.ejacket.nsf.gov/ej/showProposal.do?ID="&amp;ckAwdTable[[#This Row],[prop_id]],"eJ")</f>
        <v>eJ</v>
      </c>
      <c r="Q8" s="8" t="s">
        <v>478</v>
      </c>
      <c r="R8" t="s">
        <v>685</v>
      </c>
      <c r="S8" t="s">
        <v>686</v>
      </c>
      <c r="T8" t="s">
        <v>1459</v>
      </c>
      <c r="U8" s="8" t="s">
        <v>1460</v>
      </c>
      <c r="V8" t="s">
        <v>230</v>
      </c>
      <c r="W8" s="113" t="str">
        <f>HYPERLINK("mailto:"&amp; ckAwdTable[[#This Row],[email]]&amp;"&amp;subject=Your NSF Proposal:  "&amp;ckAwdTable[[#This Row],[prop_id]], ckAwdTable[[#This Row],[email]])</f>
        <v>sim3@ucmerced.edu</v>
      </c>
      <c r="X8" s="30">
        <v>43282</v>
      </c>
      <c r="Y8">
        <v>60</v>
      </c>
      <c r="AA8" s="21" t="s">
        <v>13</v>
      </c>
      <c r="AB8" s="21" t="s">
        <v>382</v>
      </c>
      <c r="AC8"/>
      <c r="AD8" s="21" t="s">
        <v>13</v>
      </c>
      <c r="AF8" s="13">
        <v>514477</v>
      </c>
      <c r="AG8" s="124">
        <v>0</v>
      </c>
      <c r="AH8" s="1">
        <v>514477</v>
      </c>
      <c r="AI8" s="1"/>
      <c r="AJ8" s="1"/>
      <c r="AM8" s="21">
        <v>10</v>
      </c>
      <c r="AN8" s="21">
        <v>4</v>
      </c>
      <c r="AO8" s="21">
        <v>7</v>
      </c>
      <c r="AP8" s="21"/>
      <c r="AQ8" s="21"/>
      <c r="AR8" s="126" t="s">
        <v>172</v>
      </c>
      <c r="AS8" s="21" t="s">
        <v>493</v>
      </c>
      <c r="AT8" s="21" t="str">
        <f>IFERROR(IF(FIND("?",ckAwdTable[abst_narr_txt]),SummarizeQuestMarks(ckAwdTable[abst_narr_txt]),""),"")</f>
        <v/>
      </c>
      <c r="AU8" s="119"/>
      <c r="AV8" t="s">
        <v>1462</v>
      </c>
      <c r="AW8" t="b">
        <f>AND(ckAwdTable[[#This Row],[ILN]]&gt;"M", SUBSTITUTE(ckAwdTable[[#This Row],[prop_titl_txt]]," ","")&lt;&gt;SUBSTITUTE(AV7," ",""))</f>
        <v>0</v>
      </c>
      <c r="AX8" s="8" t="s">
        <v>1463</v>
      </c>
    </row>
    <row r="9" spans="1:68" x14ac:dyDescent="0.4">
      <c r="B9" s="30">
        <v>42934.507638888892</v>
      </c>
      <c r="C9" t="s">
        <v>1430</v>
      </c>
      <c r="D9" t="s">
        <v>477</v>
      </c>
      <c r="E9" t="s">
        <v>582</v>
      </c>
      <c r="F9" t="s">
        <v>654</v>
      </c>
      <c r="G9" s="8" t="s">
        <v>171</v>
      </c>
      <c r="H9" s="8" t="s">
        <v>169</v>
      </c>
      <c r="I9" s="8" t="s">
        <v>505</v>
      </c>
      <c r="J9" t="s">
        <v>94</v>
      </c>
      <c r="K9" t="s">
        <v>1431</v>
      </c>
      <c r="L9" s="22"/>
      <c r="M9" s="109">
        <f xml:space="preserve"> M8+(ckAwdTable[ILN]&lt;"M")</f>
        <v>8</v>
      </c>
      <c r="N9" t="s">
        <v>95</v>
      </c>
      <c r="O9" t="s">
        <v>702</v>
      </c>
      <c r="P9" s="15" t="str">
        <f>HYPERLINK("https://www.ejacket.nsf.gov/ej/showProposal.do?ID="&amp;ckAwdTable[[#This Row],[prop_id]],"eJ")</f>
        <v>eJ</v>
      </c>
      <c r="Q9" s="8" t="s">
        <v>478</v>
      </c>
      <c r="R9" t="s">
        <v>702</v>
      </c>
      <c r="S9" t="s">
        <v>703</v>
      </c>
      <c r="T9" t="s">
        <v>1464</v>
      </c>
      <c r="U9" s="8" t="s">
        <v>1465</v>
      </c>
      <c r="V9" t="s">
        <v>230</v>
      </c>
      <c r="W9" s="113" t="str">
        <f>HYPERLINK("mailto:"&amp; ckAwdTable[[#This Row],[email]]&amp;"&amp;subject=Your NSF Proposal:  "&amp;ckAwdTable[[#This Row],[prop_id]], ckAwdTable[[#This Row],[email]])</f>
        <v>sidford@stanford.edu</v>
      </c>
      <c r="X9" s="30">
        <v>43009</v>
      </c>
      <c r="Y9">
        <v>60</v>
      </c>
      <c r="AA9" s="21" t="s">
        <v>13</v>
      </c>
      <c r="AB9" s="21" t="s">
        <v>382</v>
      </c>
      <c r="AC9"/>
      <c r="AD9" s="21" t="s">
        <v>13</v>
      </c>
      <c r="AF9" s="13">
        <v>500000</v>
      </c>
      <c r="AG9" s="124">
        <v>0</v>
      </c>
      <c r="AH9" s="1">
        <v>500000</v>
      </c>
      <c r="AI9" s="1"/>
      <c r="AJ9" s="1"/>
      <c r="AL9" s="1">
        <v>7500</v>
      </c>
      <c r="AM9" s="21">
        <v>5</v>
      </c>
      <c r="AN9" s="21">
        <v>5</v>
      </c>
      <c r="AO9" s="21">
        <v>6.75</v>
      </c>
      <c r="AP9" s="21"/>
      <c r="AQ9" s="21"/>
      <c r="AR9" s="126" t="s">
        <v>172</v>
      </c>
      <c r="AS9" s="21" t="s">
        <v>493</v>
      </c>
      <c r="AT9" s="21" t="str">
        <f>IFERROR(IF(FIND("?",ckAwdTable[abst_narr_txt]),SummarizeQuestMarks(ckAwdTable[abst_narr_txt]),""),"")</f>
        <v/>
      </c>
      <c r="AU9" s="119"/>
      <c r="AV9" t="s">
        <v>1467</v>
      </c>
      <c r="AW9" t="b">
        <f>AND(ckAwdTable[[#This Row],[ILN]]&gt;"M", SUBSTITUTE(ckAwdTable[[#This Row],[prop_titl_txt]]," ","")&lt;&gt;SUBSTITUTE(AV8," ",""))</f>
        <v>0</v>
      </c>
      <c r="AX9" s="8" t="s">
        <v>1468</v>
      </c>
    </row>
    <row r="10" spans="1:68" x14ac:dyDescent="0.4">
      <c r="B10" s="30">
        <v>42934.524305555555</v>
      </c>
      <c r="C10" t="s">
        <v>1430</v>
      </c>
      <c r="D10" t="s">
        <v>477</v>
      </c>
      <c r="E10" t="s">
        <v>582</v>
      </c>
      <c r="F10" t="s">
        <v>611</v>
      </c>
      <c r="G10" s="8" t="s">
        <v>171</v>
      </c>
      <c r="H10" s="8" t="s">
        <v>169</v>
      </c>
      <c r="I10" s="8" t="s">
        <v>505</v>
      </c>
      <c r="J10" t="s">
        <v>94</v>
      </c>
      <c r="K10" t="s">
        <v>1431</v>
      </c>
      <c r="L10" s="22"/>
      <c r="M10" s="109">
        <f xml:space="preserve"> M9+(ckAwdTable[ILN]&lt;"M")</f>
        <v>9</v>
      </c>
      <c r="N10" t="s">
        <v>95</v>
      </c>
      <c r="O10" t="s">
        <v>712</v>
      </c>
      <c r="P10" s="15" t="str">
        <f>HYPERLINK("https://www.ejacket.nsf.gov/ej/showProposal.do?ID="&amp;ckAwdTable[[#This Row],[prop_id]],"eJ")</f>
        <v>eJ</v>
      </c>
      <c r="Q10" s="8" t="s">
        <v>478</v>
      </c>
      <c r="R10" t="s">
        <v>712</v>
      </c>
      <c r="S10" t="s">
        <v>713</v>
      </c>
      <c r="T10" t="s">
        <v>1471</v>
      </c>
      <c r="U10" s="8" t="s">
        <v>1472</v>
      </c>
      <c r="V10" t="s">
        <v>1470</v>
      </c>
      <c r="W10" s="113" t="str">
        <f>HYPERLINK("mailto:"&amp; ckAwdTable[[#This Row],[email]]&amp;"&amp;subject=Your NSF Proposal:  "&amp;ckAwdTable[[#This Row],[prop_id]], ckAwdTable[[#This Row],[email]])</f>
        <v>omri@cs.columbia.edu</v>
      </c>
      <c r="X10" s="30">
        <v>42979</v>
      </c>
      <c r="Y10">
        <v>60</v>
      </c>
      <c r="AA10" s="21" t="s">
        <v>13</v>
      </c>
      <c r="AB10" s="21" t="s">
        <v>382</v>
      </c>
      <c r="AC10"/>
      <c r="AD10" s="21" t="s">
        <v>13</v>
      </c>
      <c r="AF10" s="13">
        <v>400000</v>
      </c>
      <c r="AG10" s="124">
        <v>0</v>
      </c>
      <c r="AH10" s="1">
        <v>400000</v>
      </c>
      <c r="AI10" s="1"/>
      <c r="AJ10" s="1"/>
      <c r="AM10" s="21">
        <v>3</v>
      </c>
      <c r="AN10" s="21">
        <v>5</v>
      </c>
      <c r="AO10" s="21">
        <v>1</v>
      </c>
      <c r="AP10" s="21"/>
      <c r="AQ10" s="21">
        <v>3.5</v>
      </c>
      <c r="AR10" s="126" t="s">
        <v>172</v>
      </c>
      <c r="AS10" s="21" t="s">
        <v>493</v>
      </c>
      <c r="AT10" s="21" t="str">
        <f>IFERROR(IF(FIND("?",ckAwdTable[abst_narr_txt]),SummarizeQuestMarks(ckAwdTable[abst_narr_txt]),""),"")</f>
        <v/>
      </c>
      <c r="AU10" s="119"/>
      <c r="AV10" t="s">
        <v>1474</v>
      </c>
      <c r="AW10" t="b">
        <f>AND(ckAwdTable[[#This Row],[ILN]]&gt;"M", SUBSTITUTE(ckAwdTable[[#This Row],[prop_titl_txt]]," ","")&lt;&gt;SUBSTITUTE(AV9," ",""))</f>
        <v>0</v>
      </c>
      <c r="AX10" s="8" t="s">
        <v>1475</v>
      </c>
    </row>
    <row r="11" spans="1:68" x14ac:dyDescent="0.4">
      <c r="B11" s="30">
        <v>42934.524305555555</v>
      </c>
      <c r="C11" t="s">
        <v>1430</v>
      </c>
      <c r="D11" t="s">
        <v>477</v>
      </c>
      <c r="E11" t="s">
        <v>582</v>
      </c>
      <c r="F11" t="s">
        <v>611</v>
      </c>
      <c r="G11" s="8" t="s">
        <v>171</v>
      </c>
      <c r="H11" s="8" t="s">
        <v>169</v>
      </c>
      <c r="I11" s="8" t="s">
        <v>505</v>
      </c>
      <c r="J11" t="s">
        <v>94</v>
      </c>
      <c r="K11" t="s">
        <v>1431</v>
      </c>
      <c r="L11" s="22"/>
      <c r="M11" s="109">
        <f xml:space="preserve"> M10+(ckAwdTable[ILN]&lt;"M")</f>
        <v>10</v>
      </c>
      <c r="N11" t="s">
        <v>95</v>
      </c>
      <c r="O11" t="s">
        <v>733</v>
      </c>
      <c r="P11" s="15" t="str">
        <f>HYPERLINK("https://www.ejacket.nsf.gov/ej/showProposal.do?ID="&amp;ckAwdTable[[#This Row],[prop_id]],"eJ")</f>
        <v>eJ</v>
      </c>
      <c r="Q11" s="8" t="s">
        <v>478</v>
      </c>
      <c r="R11" t="s">
        <v>733</v>
      </c>
      <c r="S11" t="s">
        <v>734</v>
      </c>
      <c r="T11" t="s">
        <v>1476</v>
      </c>
      <c r="U11" s="8" t="s">
        <v>1477</v>
      </c>
      <c r="V11" t="s">
        <v>306</v>
      </c>
      <c r="W11" s="113" t="str">
        <f>HYPERLINK("mailto:"&amp; ckAwdTable[[#This Row],[email]]&amp;"&amp;subject=Your NSF Proposal:  "&amp;ckAwdTable[[#This Row],[prop_id]], ckAwdTable[[#This Row],[email]])</f>
        <v>karthe@illinois.edu</v>
      </c>
      <c r="X11" s="30">
        <v>43115</v>
      </c>
      <c r="Y11">
        <v>60</v>
      </c>
      <c r="AA11" s="21" t="s">
        <v>13</v>
      </c>
      <c r="AB11" s="21" t="s">
        <v>382</v>
      </c>
      <c r="AC11"/>
      <c r="AD11" s="21" t="s">
        <v>13</v>
      </c>
      <c r="AE11" s="21" t="s">
        <v>506</v>
      </c>
      <c r="AF11" s="13">
        <v>446040</v>
      </c>
      <c r="AG11" s="124">
        <v>0</v>
      </c>
      <c r="AH11" s="1">
        <v>446040</v>
      </c>
      <c r="AI11" s="1"/>
      <c r="AJ11" s="1">
        <v>20000</v>
      </c>
      <c r="AM11" s="21">
        <v>5</v>
      </c>
      <c r="AN11" s="21">
        <v>5</v>
      </c>
      <c r="AO11" s="21">
        <v>5</v>
      </c>
      <c r="AP11" s="21"/>
      <c r="AQ11" s="21"/>
      <c r="AR11" s="126" t="s">
        <v>172</v>
      </c>
      <c r="AS11" s="21" t="s">
        <v>493</v>
      </c>
      <c r="AT11" s="21" t="str">
        <f>IFERROR(IF(FIND("?",ckAwdTable[abst_narr_txt]),SummarizeQuestMarks(ckAwdTable[abst_narr_txt]),""),"")</f>
        <v/>
      </c>
      <c r="AU11" s="119"/>
      <c r="AV11" t="s">
        <v>1479</v>
      </c>
      <c r="AW11" t="b">
        <f>AND(ckAwdTable[[#This Row],[ILN]]&gt;"M", SUBSTITUTE(ckAwdTable[[#This Row],[prop_titl_txt]]," ","")&lt;&gt;SUBSTITUTE(AV10," ",""))</f>
        <v>0</v>
      </c>
      <c r="AX11" s="8" t="s">
        <v>1480</v>
      </c>
    </row>
    <row r="12" spans="1:68" x14ac:dyDescent="0.4">
      <c r="B12" s="30">
        <v>42934.625694444447</v>
      </c>
      <c r="C12" t="s">
        <v>1430</v>
      </c>
      <c r="D12" t="s">
        <v>477</v>
      </c>
      <c r="E12" t="s">
        <v>582</v>
      </c>
      <c r="F12" t="s">
        <v>604</v>
      </c>
      <c r="G12" s="8" t="s">
        <v>171</v>
      </c>
      <c r="H12" s="8" t="s">
        <v>169</v>
      </c>
      <c r="I12" s="8" t="s">
        <v>505</v>
      </c>
      <c r="J12" t="s">
        <v>94</v>
      </c>
      <c r="K12" t="s">
        <v>1431</v>
      </c>
      <c r="L12" s="22"/>
      <c r="M12" s="109">
        <f xml:space="preserve"> M11+(ckAwdTable[ILN]&lt;"M")</f>
        <v>11</v>
      </c>
      <c r="N12" t="s">
        <v>95</v>
      </c>
      <c r="O12" t="s">
        <v>742</v>
      </c>
      <c r="P12" s="15" t="str">
        <f>HYPERLINK("https://www.ejacket.nsf.gov/ej/showProposal.do?ID="&amp;ckAwdTable[[#This Row],[prop_id]],"eJ")</f>
        <v>eJ</v>
      </c>
      <c r="Q12" s="8" t="s">
        <v>478</v>
      </c>
      <c r="R12" t="s">
        <v>742</v>
      </c>
      <c r="S12" t="s">
        <v>743</v>
      </c>
      <c r="T12" t="s">
        <v>1481</v>
      </c>
      <c r="U12" s="8" t="s">
        <v>1482</v>
      </c>
      <c r="V12" t="s">
        <v>1470</v>
      </c>
      <c r="W12" s="113" t="str">
        <f>HYPERLINK("mailto:"&amp; ckAwdTable[[#This Row],[email]]&amp;"&amp;subject=Your NSF Proposal:  "&amp;ckAwdTable[[#This Row],[prop_id]], ckAwdTable[[#This Row],[email]])</f>
        <v>francesco@cs.stonybrook.edu</v>
      </c>
      <c r="X12" s="30">
        <v>43101</v>
      </c>
      <c r="Y12">
        <v>60</v>
      </c>
      <c r="AA12" s="21" t="s">
        <v>13</v>
      </c>
      <c r="AB12" s="21" t="s">
        <v>382</v>
      </c>
      <c r="AC12"/>
      <c r="AD12" s="21" t="s">
        <v>13</v>
      </c>
      <c r="AE12" s="21" t="s">
        <v>506</v>
      </c>
      <c r="AF12" s="13">
        <v>516750</v>
      </c>
      <c r="AG12" s="124">
        <v>0</v>
      </c>
      <c r="AH12" s="1">
        <v>516750</v>
      </c>
      <c r="AI12" s="1"/>
      <c r="AJ12" s="1">
        <v>10000</v>
      </c>
      <c r="AM12" s="21">
        <v>9</v>
      </c>
      <c r="AN12" s="21">
        <v>5</v>
      </c>
      <c r="AO12" s="21">
        <v>5</v>
      </c>
      <c r="AP12" s="21"/>
      <c r="AQ12" s="21"/>
      <c r="AR12" s="126" t="s">
        <v>172</v>
      </c>
      <c r="AS12" s="21" t="s">
        <v>493</v>
      </c>
      <c r="AT12" s="21" t="str">
        <f>IFERROR(IF(FIND("?",ckAwdTable[abst_narr_txt]),SummarizeQuestMarks(ckAwdTable[abst_narr_txt]),""),"")</f>
        <v/>
      </c>
      <c r="AU12" s="119"/>
      <c r="AV12" t="s">
        <v>1484</v>
      </c>
      <c r="AW12" t="b">
        <f>AND(ckAwdTable[[#This Row],[ILN]]&gt;"M", SUBSTITUTE(ckAwdTable[[#This Row],[prop_titl_txt]]," ","")&lt;&gt;SUBSTITUTE(AV11," ",""))</f>
        <v>0</v>
      </c>
      <c r="AX12" s="8" t="s">
        <v>1485</v>
      </c>
    </row>
    <row r="13" spans="1:68" x14ac:dyDescent="0.4">
      <c r="B13" s="30">
        <v>42934.695138888892</v>
      </c>
      <c r="C13" t="s">
        <v>1430</v>
      </c>
      <c r="D13" t="s">
        <v>477</v>
      </c>
      <c r="E13" t="s">
        <v>582</v>
      </c>
      <c r="F13" t="s">
        <v>604</v>
      </c>
      <c r="G13" s="8" t="s">
        <v>171</v>
      </c>
      <c r="H13" s="8" t="s">
        <v>169</v>
      </c>
      <c r="I13" s="8" t="s">
        <v>505</v>
      </c>
      <c r="J13" t="s">
        <v>94</v>
      </c>
      <c r="K13" t="s">
        <v>1431</v>
      </c>
      <c r="L13" s="22">
        <v>43082.662685185183</v>
      </c>
      <c r="M13" s="109">
        <f xml:space="preserve"> M12+(ckAwdTable[ILN]&lt;"M")</f>
        <v>12</v>
      </c>
      <c r="N13" t="s">
        <v>95</v>
      </c>
      <c r="O13" t="s">
        <v>762</v>
      </c>
      <c r="P13" s="15" t="str">
        <f>HYPERLINK("https://www.ejacket.nsf.gov/ej/showProposal.do?ID="&amp;ckAwdTable[[#This Row],[prop_id]],"eJ")</f>
        <v>eJ</v>
      </c>
      <c r="Q13" s="8" t="s">
        <v>478</v>
      </c>
      <c r="R13" t="s">
        <v>762</v>
      </c>
      <c r="S13" t="s">
        <v>763</v>
      </c>
      <c r="T13" t="s">
        <v>1486</v>
      </c>
      <c r="U13" s="8" t="s">
        <v>1487</v>
      </c>
      <c r="V13" t="s">
        <v>231</v>
      </c>
      <c r="W13" s="113" t="str">
        <f>HYPERLINK("mailto:"&amp; ckAwdTable[[#This Row],[email]]&amp;"&amp;subject=Your NSF Proposal:  "&amp;ckAwdTable[[#This Row],[prop_id]], ckAwdTable[[#This Row],[email]])</f>
        <v>jsolomon@mit.edu</v>
      </c>
      <c r="X13" s="30">
        <v>43101</v>
      </c>
      <c r="Y13">
        <v>60</v>
      </c>
      <c r="AA13" s="21" t="s">
        <v>13</v>
      </c>
      <c r="AB13" s="21" t="s">
        <v>382</v>
      </c>
      <c r="AC13"/>
      <c r="AD13" s="21" t="s">
        <v>13</v>
      </c>
      <c r="AF13" s="13">
        <v>550000</v>
      </c>
      <c r="AG13" s="124">
        <v>0</v>
      </c>
      <c r="AH13" s="1">
        <v>550000</v>
      </c>
      <c r="AI13" s="1"/>
      <c r="AJ13" s="1"/>
      <c r="AM13" s="21">
        <v>5</v>
      </c>
      <c r="AN13" s="21">
        <v>5</v>
      </c>
      <c r="AO13" s="21">
        <v>2.5</v>
      </c>
      <c r="AP13" s="21"/>
      <c r="AQ13" s="21"/>
      <c r="AR13" s="126" t="s">
        <v>172</v>
      </c>
      <c r="AS13" s="21" t="s">
        <v>493</v>
      </c>
      <c r="AT13" s="21" t="str">
        <f>IFERROR(IF(FIND("?",ckAwdTable[abst_narr_txt]),SummarizeQuestMarks(ckAwdTable[abst_narr_txt]),""),"")</f>
        <v/>
      </c>
      <c r="AU13" s="119"/>
      <c r="AV13" t="s">
        <v>1489</v>
      </c>
      <c r="AW13" t="b">
        <f>AND(ckAwdTable[[#This Row],[ILN]]&gt;"M", SUBSTITUTE(ckAwdTable[[#This Row],[prop_titl_txt]]," ","")&lt;&gt;SUBSTITUTE(AV12," ",""))</f>
        <v>0</v>
      </c>
      <c r="AX13" s="8" t="s">
        <v>1490</v>
      </c>
    </row>
    <row r="14" spans="1:68" x14ac:dyDescent="0.4">
      <c r="B14" s="30">
        <v>42934.734722222223</v>
      </c>
      <c r="C14" t="s">
        <v>1430</v>
      </c>
      <c r="D14" t="s">
        <v>477</v>
      </c>
      <c r="E14" t="s">
        <v>582</v>
      </c>
      <c r="F14" t="s">
        <v>611</v>
      </c>
      <c r="G14" s="8" t="s">
        <v>171</v>
      </c>
      <c r="H14" s="8" t="s">
        <v>169</v>
      </c>
      <c r="I14" s="8" t="s">
        <v>505</v>
      </c>
      <c r="J14" t="s">
        <v>94</v>
      </c>
      <c r="K14" t="s">
        <v>1431</v>
      </c>
      <c r="L14" s="22"/>
      <c r="M14" s="109">
        <f xml:space="preserve"> M13+(ckAwdTable[ILN]&lt;"M")</f>
        <v>13</v>
      </c>
      <c r="N14" t="s">
        <v>95</v>
      </c>
      <c r="O14" t="s">
        <v>771</v>
      </c>
      <c r="P14" s="15" t="str">
        <f>HYPERLINK("https://www.ejacket.nsf.gov/ej/showProposal.do?ID="&amp;ckAwdTable[[#This Row],[prop_id]],"eJ")</f>
        <v>eJ</v>
      </c>
      <c r="Q14" s="8" t="s">
        <v>478</v>
      </c>
      <c r="R14" t="s">
        <v>771</v>
      </c>
      <c r="S14" t="s">
        <v>772</v>
      </c>
      <c r="T14" t="s">
        <v>1486</v>
      </c>
      <c r="U14" s="8" t="s">
        <v>1492</v>
      </c>
      <c r="V14" t="s">
        <v>1491</v>
      </c>
      <c r="W14" s="113" t="str">
        <f>HYPERLINK("mailto:"&amp; ckAwdTable[[#This Row],[email]]&amp;"&amp;subject=Your NSF Proposal:  "&amp;ckAwdTable[[#This Row],[prop_id]], ckAwdTable[[#This Row],[email]])</f>
        <v>jt1157@georgetown.edu</v>
      </c>
      <c r="X14" s="30">
        <v>43252</v>
      </c>
      <c r="Y14">
        <v>60</v>
      </c>
      <c r="AA14" s="21" t="s">
        <v>13</v>
      </c>
      <c r="AB14" s="21" t="s">
        <v>382</v>
      </c>
      <c r="AC14"/>
      <c r="AD14" s="21" t="s">
        <v>13</v>
      </c>
      <c r="AE14" s="21" t="s">
        <v>506</v>
      </c>
      <c r="AF14" s="13">
        <v>525636</v>
      </c>
      <c r="AG14" s="124">
        <v>0</v>
      </c>
      <c r="AH14" s="1">
        <v>525636</v>
      </c>
      <c r="AI14" s="1"/>
      <c r="AJ14" s="1">
        <v>12500</v>
      </c>
      <c r="AM14" s="21">
        <v>4</v>
      </c>
      <c r="AN14" s="21">
        <v>5</v>
      </c>
      <c r="AO14" s="21">
        <v>7</v>
      </c>
      <c r="AP14" s="21"/>
      <c r="AQ14" s="21"/>
      <c r="AR14" s="126" t="s">
        <v>172</v>
      </c>
      <c r="AS14" s="21" t="s">
        <v>493</v>
      </c>
      <c r="AT14" s="21" t="str">
        <f>IFERROR(IF(FIND("?",ckAwdTable[abst_narr_txt]),SummarizeQuestMarks(ckAwdTable[abst_narr_txt]),""),"")</f>
        <v/>
      </c>
      <c r="AU14" s="119"/>
      <c r="AV14" t="s">
        <v>1494</v>
      </c>
      <c r="AW14" t="b">
        <f>AND(ckAwdTable[[#This Row],[ILN]]&gt;"M", SUBSTITUTE(ckAwdTable[[#This Row],[prop_titl_txt]]," ","")&lt;&gt;SUBSTITUTE(AV13," ",""))</f>
        <v>0</v>
      </c>
      <c r="AX14" s="8" t="s">
        <v>1495</v>
      </c>
    </row>
    <row r="15" spans="1:68" x14ac:dyDescent="0.4">
      <c r="B15" s="30">
        <v>42934.737500000003</v>
      </c>
      <c r="C15" t="s">
        <v>1430</v>
      </c>
      <c r="D15" t="s">
        <v>477</v>
      </c>
      <c r="E15" t="s">
        <v>582</v>
      </c>
      <c r="F15" t="s">
        <v>611</v>
      </c>
      <c r="G15" s="8" t="s">
        <v>171</v>
      </c>
      <c r="H15" s="8" t="s">
        <v>169</v>
      </c>
      <c r="I15" s="8" t="s">
        <v>505</v>
      </c>
      <c r="J15" t="s">
        <v>94</v>
      </c>
      <c r="K15" t="s">
        <v>1431</v>
      </c>
      <c r="L15" s="22">
        <v>43082.668715277781</v>
      </c>
      <c r="M15" s="109">
        <f xml:space="preserve"> M14+(ckAwdTable[ILN]&lt;"M")</f>
        <v>14</v>
      </c>
      <c r="N15" t="s">
        <v>95</v>
      </c>
      <c r="O15" t="s">
        <v>782</v>
      </c>
      <c r="P15" s="15" t="str">
        <f>HYPERLINK("https://www.ejacket.nsf.gov/ej/showProposal.do?ID="&amp;ckAwdTable[[#This Row],[prop_id]],"eJ")</f>
        <v>eJ</v>
      </c>
      <c r="Q15" s="8" t="s">
        <v>478</v>
      </c>
      <c r="R15" t="s">
        <v>782</v>
      </c>
      <c r="S15" t="s">
        <v>783</v>
      </c>
      <c r="T15" t="s">
        <v>1496</v>
      </c>
      <c r="U15" s="8" t="s">
        <v>1477</v>
      </c>
      <c r="V15" t="s">
        <v>306</v>
      </c>
      <c r="W15" s="113" t="str">
        <f>HYPERLINK("mailto:"&amp; ckAwdTable[[#This Row],[email]]&amp;"&amp;subject=Your NSF Proposal:  "&amp;ckAwdTable[[#This Row],[prop_id]], ckAwdTable[[#This Row],[email]])</f>
        <v>solomon2@illinois.edu</v>
      </c>
      <c r="X15" s="30">
        <v>43132</v>
      </c>
      <c r="Y15">
        <v>60</v>
      </c>
      <c r="AA15" s="21" t="s">
        <v>13</v>
      </c>
      <c r="AB15" s="21" t="s">
        <v>382</v>
      </c>
      <c r="AC15"/>
      <c r="AD15" s="21" t="s">
        <v>13</v>
      </c>
      <c r="AE15" s="21" t="s">
        <v>506</v>
      </c>
      <c r="AF15" s="13">
        <v>524117</v>
      </c>
      <c r="AG15" s="124">
        <v>0</v>
      </c>
      <c r="AH15" s="1">
        <v>524117</v>
      </c>
      <c r="AI15" s="1"/>
      <c r="AJ15" s="1">
        <v>11250</v>
      </c>
      <c r="AM15" s="21">
        <v>5</v>
      </c>
      <c r="AN15" s="21">
        <v>5</v>
      </c>
      <c r="AO15" s="21">
        <v>2.5</v>
      </c>
      <c r="AP15" s="21"/>
      <c r="AQ15" s="21"/>
      <c r="AR15" s="126" t="s">
        <v>172</v>
      </c>
      <c r="AS15" s="21" t="s">
        <v>493</v>
      </c>
      <c r="AT15" s="21" t="str">
        <f>IFERROR(IF(FIND("?",ckAwdTable[abst_narr_txt]),SummarizeQuestMarks(ckAwdTable[abst_narr_txt]),""),"")</f>
        <v/>
      </c>
      <c r="AU15" s="119"/>
      <c r="AV15" t="s">
        <v>1498</v>
      </c>
      <c r="AW15" t="b">
        <f>AND(ckAwdTable[[#This Row],[ILN]]&gt;"M", SUBSTITUTE(ckAwdTable[[#This Row],[prop_titl_txt]]," ","")&lt;&gt;SUBSTITUTE(AV14," ",""))</f>
        <v>0</v>
      </c>
      <c r="AX15" s="8" t="s">
        <v>1499</v>
      </c>
    </row>
    <row r="16" spans="1:68" x14ac:dyDescent="0.4">
      <c r="B16" s="30">
        <v>42934.806944444441</v>
      </c>
      <c r="C16" t="s">
        <v>1430</v>
      </c>
      <c r="D16" t="s">
        <v>477</v>
      </c>
      <c r="E16" t="s">
        <v>582</v>
      </c>
      <c r="F16" t="s">
        <v>654</v>
      </c>
      <c r="G16" s="8" t="s">
        <v>171</v>
      </c>
      <c r="H16" s="8" t="s">
        <v>169</v>
      </c>
      <c r="I16" s="8" t="s">
        <v>505</v>
      </c>
      <c r="J16" t="s">
        <v>94</v>
      </c>
      <c r="K16" t="s">
        <v>1431</v>
      </c>
      <c r="L16" s="22">
        <v>43082.669074074074</v>
      </c>
      <c r="M16" s="109">
        <f xml:space="preserve"> M15+(ckAwdTable[ILN]&lt;"M")</f>
        <v>15</v>
      </c>
      <c r="N16" t="s">
        <v>95</v>
      </c>
      <c r="O16" t="s">
        <v>791</v>
      </c>
      <c r="P16" s="15" t="str">
        <f>HYPERLINK("https://www.ejacket.nsf.gov/ej/showProposal.do?ID="&amp;ckAwdTable[[#This Row],[prop_id]],"eJ")</f>
        <v>eJ</v>
      </c>
      <c r="Q16" s="8" t="s">
        <v>478</v>
      </c>
      <c r="R16" t="s">
        <v>791</v>
      </c>
      <c r="S16" t="s">
        <v>792</v>
      </c>
      <c r="T16" t="s">
        <v>1500</v>
      </c>
      <c r="U16" s="8" t="s">
        <v>1501</v>
      </c>
      <c r="V16" t="s">
        <v>230</v>
      </c>
      <c r="W16" s="113" t="str">
        <f>HYPERLINK("mailto:"&amp; ckAwdTable[[#This Row],[email]]&amp;"&amp;subject=Your NSF Proposal:  "&amp;ckAwdTable[[#This Row],[prop_id]], ckAwdTable[[#This Row],[email]])</f>
        <v>razaviya@usc.edu</v>
      </c>
      <c r="X16" s="30">
        <v>43236</v>
      </c>
      <c r="Y16">
        <v>60</v>
      </c>
      <c r="AA16" s="21" t="s">
        <v>13</v>
      </c>
      <c r="AB16" s="21" t="s">
        <v>382</v>
      </c>
      <c r="AC16"/>
      <c r="AD16" s="21" t="s">
        <v>13</v>
      </c>
      <c r="AE16" s="21" t="s">
        <v>506</v>
      </c>
      <c r="AF16" s="13">
        <v>539673</v>
      </c>
      <c r="AG16" s="124">
        <v>0</v>
      </c>
      <c r="AH16" s="1">
        <v>539673</v>
      </c>
      <c r="AI16" s="1"/>
      <c r="AJ16" s="1"/>
      <c r="AL16" s="1">
        <v>13000</v>
      </c>
      <c r="AM16" s="21">
        <v>5</v>
      </c>
      <c r="AN16" s="21">
        <v>5</v>
      </c>
      <c r="AO16" s="21">
        <v>5</v>
      </c>
      <c r="AP16" s="21"/>
      <c r="AQ16" s="21"/>
      <c r="AR16" s="126" t="s">
        <v>172</v>
      </c>
      <c r="AS16" s="21" t="s">
        <v>493</v>
      </c>
      <c r="AT16" s="21" t="str">
        <f>IFERROR(IF(FIND("?",ckAwdTable[abst_narr_txt]),SummarizeQuestMarks(ckAwdTable[abst_narr_txt]),""),"")</f>
        <v/>
      </c>
      <c r="AU16" s="119"/>
      <c r="AV16" t="s">
        <v>1503</v>
      </c>
      <c r="AW16" t="b">
        <f>AND(ckAwdTable[[#This Row],[ILN]]&gt;"M", SUBSTITUTE(ckAwdTable[[#This Row],[prop_titl_txt]]," ","")&lt;&gt;SUBSTITUTE(AV15," ",""))</f>
        <v>0</v>
      </c>
      <c r="AX16" s="8" t="s">
        <v>1504</v>
      </c>
    </row>
    <row r="17" spans="2:50" x14ac:dyDescent="0.4">
      <c r="B17" s="30">
        <v>42934.808333333334</v>
      </c>
      <c r="C17" t="s">
        <v>1430</v>
      </c>
      <c r="D17" t="s">
        <v>477</v>
      </c>
      <c r="E17" t="s">
        <v>582</v>
      </c>
      <c r="F17" t="s">
        <v>604</v>
      </c>
      <c r="G17" s="8" t="s">
        <v>171</v>
      </c>
      <c r="H17" s="8" t="s">
        <v>169</v>
      </c>
      <c r="I17" s="8" t="s">
        <v>505</v>
      </c>
      <c r="J17" t="s">
        <v>94</v>
      </c>
      <c r="K17" t="s">
        <v>1431</v>
      </c>
      <c r="L17" s="22">
        <v>43076.609027777777</v>
      </c>
      <c r="M17" s="109">
        <f xml:space="preserve"> M16+(ckAwdTable[ILN]&lt;"M")</f>
        <v>16</v>
      </c>
      <c r="N17" t="s">
        <v>95</v>
      </c>
      <c r="O17" t="s">
        <v>825</v>
      </c>
      <c r="P17" s="15" t="str">
        <f>HYPERLINK("https://www.ejacket.nsf.gov/ej/showProposal.do?ID="&amp;ckAwdTable[[#This Row],[prop_id]],"eJ")</f>
        <v>eJ</v>
      </c>
      <c r="Q17" s="8" t="s">
        <v>478</v>
      </c>
      <c r="R17" t="s">
        <v>825</v>
      </c>
      <c r="S17" t="s">
        <v>826</v>
      </c>
      <c r="T17" t="s">
        <v>1506</v>
      </c>
      <c r="U17" s="8" t="s">
        <v>1507</v>
      </c>
      <c r="V17" t="s">
        <v>230</v>
      </c>
      <c r="W17" s="113" t="str">
        <f>HYPERLINK("mailto:"&amp; ckAwdTable[[#This Row],[email]]&amp;"&amp;subject=Your NSF Proposal:  "&amp;ckAwdTable[[#This Row],[prop_id]], ckAwdTable[[#This Row],[email]])</f>
        <v>craig@ucr.edu</v>
      </c>
      <c r="X17" s="30">
        <v>43101</v>
      </c>
      <c r="Y17">
        <v>60</v>
      </c>
      <c r="AA17" s="21" t="s">
        <v>13</v>
      </c>
      <c r="AB17" s="21" t="s">
        <v>382</v>
      </c>
      <c r="AC17"/>
      <c r="AD17" s="21" t="s">
        <v>13</v>
      </c>
      <c r="AF17" s="13">
        <v>440331</v>
      </c>
      <c r="AG17" s="124">
        <v>0</v>
      </c>
      <c r="AH17" s="1">
        <v>440331</v>
      </c>
      <c r="AI17" s="1"/>
      <c r="AJ17" s="1"/>
      <c r="AM17" s="21">
        <v>5</v>
      </c>
      <c r="AN17" s="21">
        <v>5</v>
      </c>
      <c r="AO17" s="21">
        <v>5</v>
      </c>
      <c r="AP17" s="21"/>
      <c r="AQ17" s="21"/>
      <c r="AR17" s="126" t="s">
        <v>172</v>
      </c>
      <c r="AS17" s="21" t="s">
        <v>493</v>
      </c>
      <c r="AT17" s="21" t="str">
        <f>IFERROR(IF(FIND("?",ckAwdTable[abst_narr_txt]),SummarizeQuestMarks(ckAwdTable[abst_narr_txt]),""),"")</f>
        <v/>
      </c>
      <c r="AU17" s="119"/>
      <c r="AV17" t="s">
        <v>1509</v>
      </c>
      <c r="AW17" t="b">
        <f>AND(ckAwdTable[[#This Row],[ILN]]&gt;"M", SUBSTITUTE(ckAwdTable[[#This Row],[prop_titl_txt]]," ","")&lt;&gt;SUBSTITUTE(AV16," ",""))</f>
        <v>0</v>
      </c>
      <c r="AX17" s="8" t="s">
        <v>1510</v>
      </c>
    </row>
    <row r="18" spans="2:50" x14ac:dyDescent="0.4">
      <c r="B18" s="30">
        <v>42935.359027777777</v>
      </c>
      <c r="C18" t="s">
        <v>1430</v>
      </c>
      <c r="D18" t="s">
        <v>477</v>
      </c>
      <c r="E18" t="s">
        <v>582</v>
      </c>
      <c r="F18" t="s">
        <v>654</v>
      </c>
      <c r="G18" s="8" t="s">
        <v>171</v>
      </c>
      <c r="H18" s="8" t="s">
        <v>169</v>
      </c>
      <c r="I18" s="8" t="s">
        <v>505</v>
      </c>
      <c r="J18" t="s">
        <v>94</v>
      </c>
      <c r="K18" t="s">
        <v>1431</v>
      </c>
      <c r="L18" s="22">
        <v>43082.668773148151</v>
      </c>
      <c r="M18" s="109">
        <f xml:space="preserve"> M17+(ckAwdTable[ILN]&lt;"M")</f>
        <v>17</v>
      </c>
      <c r="N18" t="s">
        <v>95</v>
      </c>
      <c r="O18" t="s">
        <v>834</v>
      </c>
      <c r="P18" s="15" t="str">
        <f>HYPERLINK("https://www.ejacket.nsf.gov/ej/showProposal.do?ID="&amp;ckAwdTable[[#This Row],[prop_id]],"eJ")</f>
        <v>eJ</v>
      </c>
      <c r="Q18" s="8" t="s">
        <v>478</v>
      </c>
      <c r="R18" t="s">
        <v>834</v>
      </c>
      <c r="S18" t="s">
        <v>835</v>
      </c>
      <c r="T18" t="s">
        <v>1511</v>
      </c>
      <c r="U18" s="8" t="s">
        <v>1512</v>
      </c>
      <c r="V18" t="s">
        <v>1470</v>
      </c>
      <c r="W18" s="113" t="str">
        <f>HYPERLINK("mailto:"&amp; ckAwdTable[[#This Row],[email]]&amp;"&amp;subject=Your NSF Proposal:  "&amp;ckAwdTable[[#This Row],[prop_id]], ckAwdTable[[#This Row],[email]])</f>
        <v>shil@buffalo.edu</v>
      </c>
      <c r="X18" s="30">
        <v>43344</v>
      </c>
      <c r="Y18">
        <v>60</v>
      </c>
      <c r="AA18" s="21" t="s">
        <v>13</v>
      </c>
      <c r="AB18" s="21" t="s">
        <v>382</v>
      </c>
      <c r="AC18"/>
      <c r="AD18" s="21" t="s">
        <v>13</v>
      </c>
      <c r="AE18" s="21" t="s">
        <v>2005</v>
      </c>
      <c r="AF18" s="13">
        <v>530842</v>
      </c>
      <c r="AG18" s="124">
        <v>0</v>
      </c>
      <c r="AH18" s="1">
        <v>530842</v>
      </c>
      <c r="AI18" s="1"/>
      <c r="AJ18" s="1">
        <v>10000</v>
      </c>
      <c r="AM18" s="21">
        <v>5</v>
      </c>
      <c r="AN18" s="21">
        <v>5</v>
      </c>
      <c r="AO18" s="21">
        <v>5</v>
      </c>
      <c r="AP18" s="21"/>
      <c r="AQ18" s="21"/>
      <c r="AR18" s="126" t="s">
        <v>172</v>
      </c>
      <c r="AS18" s="21" t="s">
        <v>493</v>
      </c>
      <c r="AT18" s="21" t="str">
        <f>IFERROR(IF(FIND("?",ckAwdTable[abst_narr_txt]),SummarizeQuestMarks(ckAwdTable[abst_narr_txt]),""),"")</f>
        <v/>
      </c>
      <c r="AU18" s="119"/>
      <c r="AV18" t="s">
        <v>1514</v>
      </c>
      <c r="AW18" t="b">
        <f>AND(ckAwdTable[[#This Row],[ILN]]&gt;"M", SUBSTITUTE(ckAwdTable[[#This Row],[prop_titl_txt]]," ","")&lt;&gt;SUBSTITUTE(AV17," ",""))</f>
        <v>0</v>
      </c>
      <c r="AX18" s="8" t="s">
        <v>1515</v>
      </c>
    </row>
    <row r="19" spans="2:50" x14ac:dyDescent="0.4">
      <c r="B19" s="30">
        <v>42935.374305555553</v>
      </c>
      <c r="C19" t="s">
        <v>1430</v>
      </c>
      <c r="D19" t="s">
        <v>477</v>
      </c>
      <c r="E19" t="s">
        <v>582</v>
      </c>
      <c r="F19" t="s">
        <v>654</v>
      </c>
      <c r="G19" s="8" t="s">
        <v>171</v>
      </c>
      <c r="H19" s="8" t="s">
        <v>169</v>
      </c>
      <c r="I19" s="8" t="s">
        <v>505</v>
      </c>
      <c r="J19" t="s">
        <v>94</v>
      </c>
      <c r="K19" t="s">
        <v>1431</v>
      </c>
      <c r="L19" s="22"/>
      <c r="M19" s="109">
        <f xml:space="preserve"> M18+(ckAwdTable[ILN]&lt;"M")</f>
        <v>18</v>
      </c>
      <c r="N19" t="s">
        <v>95</v>
      </c>
      <c r="O19" t="s">
        <v>843</v>
      </c>
      <c r="P19" s="15" t="str">
        <f>HYPERLINK("https://www.ejacket.nsf.gov/ej/showProposal.do?ID="&amp;ckAwdTable[[#This Row],[prop_id]],"eJ")</f>
        <v>eJ</v>
      </c>
      <c r="Q19" s="8" t="s">
        <v>478</v>
      </c>
      <c r="R19" t="s">
        <v>843</v>
      </c>
      <c r="S19" t="s">
        <v>844</v>
      </c>
      <c r="T19" t="s">
        <v>1516</v>
      </c>
      <c r="U19" s="8" t="s">
        <v>307</v>
      </c>
      <c r="V19" t="s">
        <v>308</v>
      </c>
      <c r="W19" s="113" t="str">
        <f>HYPERLINK("mailto:"&amp; ckAwdTable[[#This Row],[email]]&amp;"&amp;subject=Your NSF Proposal:  "&amp;ckAwdTable[[#This Row],[prop_id]], ckAwdTable[[#This Row],[email]])</f>
        <v>viswa@umich.edu</v>
      </c>
      <c r="X19" s="30">
        <v>43221</v>
      </c>
      <c r="Y19">
        <v>60</v>
      </c>
      <c r="AA19" s="21" t="s">
        <v>13</v>
      </c>
      <c r="AB19" s="21" t="s">
        <v>382</v>
      </c>
      <c r="AC19"/>
      <c r="AD19" s="21" t="s">
        <v>13</v>
      </c>
      <c r="AF19" s="13">
        <v>524840</v>
      </c>
      <c r="AG19" s="124">
        <v>0</v>
      </c>
      <c r="AH19" s="1">
        <v>524840</v>
      </c>
      <c r="AI19" s="1"/>
      <c r="AJ19" s="1"/>
      <c r="AL19" s="1">
        <v>3000</v>
      </c>
      <c r="AM19" s="21">
        <v>5</v>
      </c>
      <c r="AN19" s="21">
        <v>5</v>
      </c>
      <c r="AO19" s="21">
        <v>5</v>
      </c>
      <c r="AP19" s="21"/>
      <c r="AQ19" s="21"/>
      <c r="AR19" s="126" t="s">
        <v>172</v>
      </c>
      <c r="AS19" s="21" t="s">
        <v>493</v>
      </c>
      <c r="AT19" s="21" t="str">
        <f>IFERROR(IF(FIND("?",ckAwdTable[abst_narr_txt]),SummarizeQuestMarks(ckAwdTable[abst_narr_txt]),""),"")</f>
        <v/>
      </c>
      <c r="AU19" s="119"/>
      <c r="AV19" t="s">
        <v>1517</v>
      </c>
      <c r="AW19" t="b">
        <f>AND(ckAwdTable[[#This Row],[ILN]]&gt;"M", SUBSTITUTE(ckAwdTable[[#This Row],[prop_titl_txt]]," ","")&lt;&gt;SUBSTITUTE(AV18," ",""))</f>
        <v>0</v>
      </c>
      <c r="AX19" s="8" t="s">
        <v>1518</v>
      </c>
    </row>
    <row r="20" spans="2:50" x14ac:dyDescent="0.4">
      <c r="B20" s="30">
        <v>42935.387499999997</v>
      </c>
      <c r="C20" t="s">
        <v>1430</v>
      </c>
      <c r="D20" t="s">
        <v>477</v>
      </c>
      <c r="E20" t="s">
        <v>582</v>
      </c>
      <c r="F20" t="s">
        <v>654</v>
      </c>
      <c r="G20" s="8" t="s">
        <v>171</v>
      </c>
      <c r="H20" s="8" t="s">
        <v>169</v>
      </c>
      <c r="I20" s="8" t="s">
        <v>505</v>
      </c>
      <c r="J20" t="s">
        <v>94</v>
      </c>
      <c r="K20" t="s">
        <v>1431</v>
      </c>
      <c r="L20" s="22"/>
      <c r="M20" s="109">
        <f xml:space="preserve"> M19+(ckAwdTable[ILN]&lt;"M")</f>
        <v>19</v>
      </c>
      <c r="N20" t="s">
        <v>95</v>
      </c>
      <c r="O20" t="s">
        <v>851</v>
      </c>
      <c r="P20" s="15" t="str">
        <f>HYPERLINK("https://www.ejacket.nsf.gov/ej/showProposal.do?ID="&amp;ckAwdTable[[#This Row],[prop_id]],"eJ")</f>
        <v>eJ</v>
      </c>
      <c r="Q20" s="8" t="s">
        <v>478</v>
      </c>
      <c r="R20" t="s">
        <v>851</v>
      </c>
      <c r="S20" t="s">
        <v>852</v>
      </c>
      <c r="T20" t="s">
        <v>1519</v>
      </c>
      <c r="U20" s="8" t="s">
        <v>1520</v>
      </c>
      <c r="V20" t="s">
        <v>309</v>
      </c>
      <c r="W20" s="113" t="str">
        <f>HYPERLINK("mailto:"&amp; ckAwdTable[[#This Row],[email]]&amp;"&amp;subject=Your NSF Proposal:  "&amp;ckAwdTable[[#This Row],[prop_id]], ckAwdTable[[#This Row],[email]])</f>
        <v>debmalya.panigrahi@gmail.com</v>
      </c>
      <c r="X20" s="30">
        <v>43160</v>
      </c>
      <c r="Y20">
        <v>60</v>
      </c>
      <c r="AA20" s="21" t="s">
        <v>13</v>
      </c>
      <c r="AB20" s="21" t="s">
        <v>382</v>
      </c>
      <c r="AC20"/>
      <c r="AD20" s="21" t="s">
        <v>13</v>
      </c>
      <c r="AE20" s="21" t="s">
        <v>506</v>
      </c>
      <c r="AF20" s="13">
        <v>602288</v>
      </c>
      <c r="AG20" s="124">
        <v>0</v>
      </c>
      <c r="AH20" s="1">
        <v>602288</v>
      </c>
      <c r="AI20" s="1"/>
      <c r="AJ20" s="1">
        <v>21026</v>
      </c>
      <c r="AL20" s="1">
        <v>16000</v>
      </c>
      <c r="AM20" s="21">
        <v>5</v>
      </c>
      <c r="AN20" s="21">
        <v>5</v>
      </c>
      <c r="AO20" s="21">
        <v>7</v>
      </c>
      <c r="AP20" s="21"/>
      <c r="AQ20" s="21"/>
      <c r="AR20" s="126" t="s">
        <v>172</v>
      </c>
      <c r="AS20" s="21" t="s">
        <v>493</v>
      </c>
      <c r="AT20" s="21" t="str">
        <f>IFERROR(IF(FIND("?",ckAwdTable[abst_narr_txt]),SummarizeQuestMarks(ckAwdTable[abst_narr_txt]),""),"")</f>
        <v/>
      </c>
      <c r="AU20" s="119"/>
      <c r="AV20" t="s">
        <v>1522</v>
      </c>
      <c r="AW20" t="b">
        <f>AND(ckAwdTable[[#This Row],[ILN]]&gt;"M", SUBSTITUTE(ckAwdTable[[#This Row],[prop_titl_txt]]," ","")&lt;&gt;SUBSTITUTE(AV19," ",""))</f>
        <v>0</v>
      </c>
      <c r="AX20" s="8" t="s">
        <v>1523</v>
      </c>
    </row>
    <row r="21" spans="2:50" x14ac:dyDescent="0.4">
      <c r="B21" s="30">
        <v>42935.475694444445</v>
      </c>
      <c r="C21" t="s">
        <v>1430</v>
      </c>
      <c r="D21" t="s">
        <v>477</v>
      </c>
      <c r="E21" t="s">
        <v>582</v>
      </c>
      <c r="F21" t="s">
        <v>654</v>
      </c>
      <c r="G21" s="8" t="s">
        <v>171</v>
      </c>
      <c r="H21" s="8" t="s">
        <v>169</v>
      </c>
      <c r="I21" s="8" t="s">
        <v>505</v>
      </c>
      <c r="J21" t="s">
        <v>94</v>
      </c>
      <c r="K21" t="s">
        <v>1431</v>
      </c>
      <c r="L21" s="22">
        <v>43082.668842592589</v>
      </c>
      <c r="M21" s="109">
        <f xml:space="preserve"> M20+(ckAwdTable[ILN]&lt;"M")</f>
        <v>20</v>
      </c>
      <c r="N21" t="s">
        <v>95</v>
      </c>
      <c r="O21" t="s">
        <v>859</v>
      </c>
      <c r="P21" s="15" t="str">
        <f>HYPERLINK("https://www.ejacket.nsf.gov/ej/showProposal.do?ID="&amp;ckAwdTable[[#This Row],[prop_id]],"eJ")</f>
        <v>eJ</v>
      </c>
      <c r="Q21" s="8" t="s">
        <v>478</v>
      </c>
      <c r="R21" t="s">
        <v>859</v>
      </c>
      <c r="S21" t="s">
        <v>860</v>
      </c>
      <c r="T21" t="s">
        <v>1524</v>
      </c>
      <c r="U21" s="8" t="s">
        <v>1525</v>
      </c>
      <c r="V21" t="s">
        <v>490</v>
      </c>
      <c r="W21" s="113" t="str">
        <f>HYPERLINK("mailto:"&amp; ckAwdTable[[#This Row],[email]]&amp;"&amp;subject=Your NSF Proposal:  "&amp;ckAwdTable[[#This Row],[prop_id]], ckAwdTable[[#This Row],[email]])</f>
        <v>mdinitz@cs.jhu.edu</v>
      </c>
      <c r="X21" s="30">
        <v>43282</v>
      </c>
      <c r="Y21">
        <v>60</v>
      </c>
      <c r="AA21" s="21" t="s">
        <v>13</v>
      </c>
      <c r="AB21" s="21" t="s">
        <v>382</v>
      </c>
      <c r="AC21"/>
      <c r="AD21" s="21" t="s">
        <v>13</v>
      </c>
      <c r="AE21" s="21" t="s">
        <v>506</v>
      </c>
      <c r="AF21" s="13">
        <v>507459</v>
      </c>
      <c r="AG21" s="124">
        <v>0</v>
      </c>
      <c r="AH21" s="1">
        <v>507459</v>
      </c>
      <c r="AI21" s="1"/>
      <c r="AJ21" s="1">
        <v>4200</v>
      </c>
      <c r="AM21" s="21">
        <v>5</v>
      </c>
      <c r="AN21" s="21">
        <v>5</v>
      </c>
      <c r="AO21" s="21"/>
      <c r="AP21" s="21"/>
      <c r="AQ21" s="21">
        <v>5</v>
      </c>
      <c r="AR21" s="126" t="s">
        <v>172</v>
      </c>
      <c r="AS21" s="21" t="s">
        <v>493</v>
      </c>
      <c r="AT21" s="21" t="str">
        <f>IFERROR(IF(FIND("?",ckAwdTable[abst_narr_txt]),SummarizeQuestMarks(ckAwdTable[abst_narr_txt]),""),"")</f>
        <v/>
      </c>
      <c r="AU21" s="119"/>
      <c r="AV21" t="s">
        <v>1526</v>
      </c>
      <c r="AW21" t="b">
        <f>AND(ckAwdTable[[#This Row],[ILN]]&gt;"M", SUBSTITUTE(ckAwdTable[[#This Row],[prop_titl_txt]]," ","")&lt;&gt;SUBSTITUTE(AV20," ",""))</f>
        <v>0</v>
      </c>
      <c r="AX21" s="8" t="s">
        <v>1527</v>
      </c>
    </row>
    <row r="22" spans="2:50" x14ac:dyDescent="0.4">
      <c r="B22" s="30">
        <v>42935.488888888889</v>
      </c>
      <c r="C22" t="s">
        <v>1430</v>
      </c>
      <c r="D22" t="s">
        <v>477</v>
      </c>
      <c r="E22" t="s">
        <v>582</v>
      </c>
      <c r="F22" t="s">
        <v>654</v>
      </c>
      <c r="G22" s="8" t="s">
        <v>171</v>
      </c>
      <c r="H22" s="8" t="s">
        <v>169</v>
      </c>
      <c r="I22" s="8" t="s">
        <v>505</v>
      </c>
      <c r="J22" t="s">
        <v>94</v>
      </c>
      <c r="K22" t="s">
        <v>1431</v>
      </c>
      <c r="L22" s="22"/>
      <c r="M22" s="109">
        <f xml:space="preserve"> M21+(ckAwdTable[ILN]&lt;"M")</f>
        <v>21</v>
      </c>
      <c r="N22" t="s">
        <v>95</v>
      </c>
      <c r="O22" t="s">
        <v>868</v>
      </c>
      <c r="P22" s="15" t="str">
        <f>HYPERLINK("https://www.ejacket.nsf.gov/ej/showProposal.do?ID="&amp;ckAwdTable[[#This Row],[prop_id]],"eJ")</f>
        <v>eJ</v>
      </c>
      <c r="Q22" s="8" t="s">
        <v>478</v>
      </c>
      <c r="R22" t="s">
        <v>868</v>
      </c>
      <c r="S22" t="s">
        <v>869</v>
      </c>
      <c r="T22" t="s">
        <v>1528</v>
      </c>
      <c r="U22" s="8" t="s">
        <v>1529</v>
      </c>
      <c r="V22" t="s">
        <v>231</v>
      </c>
      <c r="W22" s="113" t="str">
        <f>HYPERLINK("mailto:"&amp; ckAwdTable[[#This Row],[email]]&amp;"&amp;subject=Your NSF Proposal:  "&amp;ckAwdTable[[#This Row],[prop_id]], ckAwdTable[[#This Row],[email]])</f>
        <v>aene@bu.edu</v>
      </c>
      <c r="X22" s="30">
        <v>43101</v>
      </c>
      <c r="Y22">
        <v>60</v>
      </c>
      <c r="AA22" s="21" t="s">
        <v>13</v>
      </c>
      <c r="AB22" s="21" t="s">
        <v>382</v>
      </c>
      <c r="AC22"/>
      <c r="AD22" s="21" t="s">
        <v>13</v>
      </c>
      <c r="AE22" s="21" t="s">
        <v>506</v>
      </c>
      <c r="AF22" s="13">
        <v>507423</v>
      </c>
      <c r="AG22" s="124">
        <v>0</v>
      </c>
      <c r="AH22" s="1">
        <v>507423</v>
      </c>
      <c r="AI22" s="1"/>
      <c r="AJ22" s="1">
        <v>15000</v>
      </c>
      <c r="AM22" s="21">
        <v>5</v>
      </c>
      <c r="AN22" s="21">
        <v>5</v>
      </c>
      <c r="AO22" s="21">
        <v>5</v>
      </c>
      <c r="AP22" s="21"/>
      <c r="AQ22" s="21"/>
      <c r="AR22" s="126" t="s">
        <v>172</v>
      </c>
      <c r="AS22" s="21" t="s">
        <v>493</v>
      </c>
      <c r="AT22" s="21" t="str">
        <f>IFERROR(IF(FIND("?",ckAwdTable[abst_narr_txt]),SummarizeQuestMarks(ckAwdTable[abst_narr_txt]),""),"")</f>
        <v/>
      </c>
      <c r="AU22" s="119"/>
      <c r="AV22" t="s">
        <v>1531</v>
      </c>
      <c r="AW22" t="b">
        <f>AND(ckAwdTable[[#This Row],[ILN]]&gt;"M", SUBSTITUTE(ckAwdTable[[#This Row],[prop_titl_txt]]," ","")&lt;&gt;SUBSTITUTE(AV21," ",""))</f>
        <v>0</v>
      </c>
      <c r="AX22" s="8" t="s">
        <v>1532</v>
      </c>
    </row>
    <row r="23" spans="2:50" x14ac:dyDescent="0.4">
      <c r="B23" s="30">
        <v>42935.491666666669</v>
      </c>
      <c r="C23" t="s">
        <v>1430</v>
      </c>
      <c r="D23" t="s">
        <v>477</v>
      </c>
      <c r="E23" t="s">
        <v>582</v>
      </c>
      <c r="F23" t="s">
        <v>654</v>
      </c>
      <c r="G23" s="8" t="s">
        <v>171</v>
      </c>
      <c r="H23" s="8" t="s">
        <v>169</v>
      </c>
      <c r="I23" s="8" t="s">
        <v>505</v>
      </c>
      <c r="J23" t="s">
        <v>94</v>
      </c>
      <c r="K23" t="s">
        <v>1431</v>
      </c>
      <c r="L23" s="22">
        <v>43082.663078703707</v>
      </c>
      <c r="M23" s="109">
        <f xml:space="preserve"> M22+(ckAwdTable[ILN]&lt;"M")</f>
        <v>22</v>
      </c>
      <c r="N23" t="s">
        <v>95</v>
      </c>
      <c r="O23" t="s">
        <v>875</v>
      </c>
      <c r="P23" s="15" t="str">
        <f>HYPERLINK("https://www.ejacket.nsf.gov/ej/showProposal.do?ID="&amp;ckAwdTable[[#This Row],[prop_id]],"eJ")</f>
        <v>eJ</v>
      </c>
      <c r="Q23" s="8" t="s">
        <v>478</v>
      </c>
      <c r="R23" t="s">
        <v>875</v>
      </c>
      <c r="S23" t="s">
        <v>876</v>
      </c>
      <c r="T23" t="s">
        <v>1534</v>
      </c>
      <c r="U23" s="8" t="s">
        <v>1535</v>
      </c>
      <c r="V23" t="s">
        <v>97</v>
      </c>
      <c r="W23" s="113" t="str">
        <f>HYPERLINK("mailto:"&amp; ckAwdTable[[#This Row],[email]]&amp;"&amp;subject=Your NSF Proposal:  "&amp;ckAwdTable[[#This Row],[prop_id]], ckAwdTable[[#This Row],[email]])</f>
        <v>pvaliant@gmail.com</v>
      </c>
      <c r="X23" s="30">
        <v>43252</v>
      </c>
      <c r="Y23">
        <v>60</v>
      </c>
      <c r="AA23" s="21" t="s">
        <v>13</v>
      </c>
      <c r="AB23" s="21" t="s">
        <v>382</v>
      </c>
      <c r="AC23"/>
      <c r="AD23" s="21" t="s">
        <v>13</v>
      </c>
      <c r="AE23" s="21" t="s">
        <v>506</v>
      </c>
      <c r="AF23" s="13">
        <v>666111</v>
      </c>
      <c r="AG23" s="124">
        <v>0</v>
      </c>
      <c r="AH23" s="1">
        <v>666111</v>
      </c>
      <c r="AI23" s="1"/>
      <c r="AJ23" s="1">
        <v>10618</v>
      </c>
      <c r="AM23" s="21">
        <v>5</v>
      </c>
      <c r="AN23" s="21">
        <v>5</v>
      </c>
      <c r="AO23" s="21">
        <v>5</v>
      </c>
      <c r="AP23" s="21"/>
      <c r="AQ23" s="21"/>
      <c r="AR23" s="126" t="s">
        <v>172</v>
      </c>
      <c r="AS23" s="21" t="s">
        <v>493</v>
      </c>
      <c r="AT23" s="21" t="str">
        <f>IFERROR(IF(FIND("?",ckAwdTable[abst_narr_txt]),SummarizeQuestMarks(ckAwdTable[abst_narr_txt]),""),"")</f>
        <v/>
      </c>
      <c r="AU23" s="119"/>
      <c r="AV23" t="s">
        <v>1537</v>
      </c>
      <c r="AW23" t="b">
        <f>AND(ckAwdTable[[#This Row],[ILN]]&gt;"M", SUBSTITUTE(ckAwdTable[[#This Row],[prop_titl_txt]]," ","")&lt;&gt;SUBSTITUTE(AV22," ",""))</f>
        <v>0</v>
      </c>
      <c r="AX23" s="8" t="s">
        <v>1538</v>
      </c>
    </row>
    <row r="24" spans="2:50" x14ac:dyDescent="0.4">
      <c r="B24" s="30">
        <v>42935.535416666666</v>
      </c>
      <c r="C24" t="s">
        <v>1430</v>
      </c>
      <c r="D24" t="s">
        <v>477</v>
      </c>
      <c r="E24" t="s">
        <v>582</v>
      </c>
      <c r="F24" t="s">
        <v>611</v>
      </c>
      <c r="G24" s="8" t="s">
        <v>171</v>
      </c>
      <c r="H24" s="8" t="s">
        <v>169</v>
      </c>
      <c r="I24" s="8" t="s">
        <v>505</v>
      </c>
      <c r="J24" t="s">
        <v>94</v>
      </c>
      <c r="K24" t="s">
        <v>1431</v>
      </c>
      <c r="L24" s="22"/>
      <c r="M24" s="109">
        <f xml:space="preserve"> M23+(ckAwdTable[ILN]&lt;"M")</f>
        <v>23</v>
      </c>
      <c r="N24" t="s">
        <v>95</v>
      </c>
      <c r="O24" t="s">
        <v>885</v>
      </c>
      <c r="P24" s="15" t="str">
        <f>HYPERLINK("https://www.ejacket.nsf.gov/ej/showProposal.do?ID="&amp;ckAwdTable[[#This Row],[prop_id]],"eJ")</f>
        <v>eJ</v>
      </c>
      <c r="Q24" s="8" t="s">
        <v>478</v>
      </c>
      <c r="R24" t="s">
        <v>885</v>
      </c>
      <c r="S24" t="s">
        <v>886</v>
      </c>
      <c r="T24" t="s">
        <v>1540</v>
      </c>
      <c r="U24" s="8" t="s">
        <v>1477</v>
      </c>
      <c r="V24" t="s">
        <v>306</v>
      </c>
      <c r="W24" s="113" t="str">
        <f>HYPERLINK("mailto:"&amp; ckAwdTable[[#This Row],[email]]&amp;"&amp;subject=Your NSF Proposal:  "&amp;ckAwdTable[[#This Row],[prop_id]], ckAwdTable[[#This Row],[email]])</f>
        <v>rutameht@illinois.edu</v>
      </c>
      <c r="X24" s="30">
        <v>43132</v>
      </c>
      <c r="Y24">
        <v>60</v>
      </c>
      <c r="AA24" s="21" t="s">
        <v>13</v>
      </c>
      <c r="AB24" s="21" t="s">
        <v>382</v>
      </c>
      <c r="AC24"/>
      <c r="AD24" s="21" t="s">
        <v>13</v>
      </c>
      <c r="AE24" s="21" t="s">
        <v>506</v>
      </c>
      <c r="AF24" s="13">
        <v>499906</v>
      </c>
      <c r="AG24" s="124">
        <v>0</v>
      </c>
      <c r="AH24" s="1">
        <v>499906</v>
      </c>
      <c r="AI24" s="1"/>
      <c r="AJ24" s="1">
        <v>10000</v>
      </c>
      <c r="AM24" s="21">
        <v>5</v>
      </c>
      <c r="AN24" s="21">
        <v>4</v>
      </c>
      <c r="AO24" s="21">
        <v>4</v>
      </c>
      <c r="AP24" s="21"/>
      <c r="AQ24" s="21"/>
      <c r="AR24" s="126" t="s">
        <v>172</v>
      </c>
      <c r="AS24" s="21" t="s">
        <v>493</v>
      </c>
      <c r="AT24" s="21" t="str">
        <f>IFERROR(IF(FIND("?",ckAwdTable[abst_narr_txt]),SummarizeQuestMarks(ckAwdTable[abst_narr_txt]),""),"")</f>
        <v/>
      </c>
      <c r="AU24" s="119"/>
      <c r="AV24" t="s">
        <v>1542</v>
      </c>
      <c r="AW24" t="b">
        <f>AND(ckAwdTable[[#This Row],[ILN]]&gt;"M", SUBSTITUTE(ckAwdTable[[#This Row],[prop_titl_txt]]," ","")&lt;&gt;SUBSTITUTE(AV23," ",""))</f>
        <v>0</v>
      </c>
      <c r="AX24" s="8" t="s">
        <v>1543</v>
      </c>
    </row>
    <row r="25" spans="2:50" x14ac:dyDescent="0.4">
      <c r="B25" s="30">
        <v>42935.536805555559</v>
      </c>
      <c r="C25" t="s">
        <v>1430</v>
      </c>
      <c r="D25" t="s">
        <v>477</v>
      </c>
      <c r="E25" t="s">
        <v>582</v>
      </c>
      <c r="F25" t="s">
        <v>611</v>
      </c>
      <c r="G25" s="8" t="s">
        <v>171</v>
      </c>
      <c r="H25" s="8" t="s">
        <v>169</v>
      </c>
      <c r="I25" s="8" t="s">
        <v>505</v>
      </c>
      <c r="J25" t="s">
        <v>94</v>
      </c>
      <c r="K25" t="s">
        <v>1431</v>
      </c>
      <c r="L25" s="22"/>
      <c r="M25" s="109">
        <f xml:space="preserve"> M24+(ckAwdTable[ILN]&lt;"M")</f>
        <v>24</v>
      </c>
      <c r="N25" t="s">
        <v>95</v>
      </c>
      <c r="O25" t="s">
        <v>896</v>
      </c>
      <c r="P25" s="15" t="str">
        <f>HYPERLINK("https://www.ejacket.nsf.gov/ej/showProposal.do?ID="&amp;ckAwdTable[[#This Row],[prop_id]],"eJ")</f>
        <v>eJ</v>
      </c>
      <c r="Q25" s="8" t="s">
        <v>478</v>
      </c>
      <c r="R25" t="s">
        <v>896</v>
      </c>
      <c r="S25" t="s">
        <v>897</v>
      </c>
      <c r="T25" t="s">
        <v>1544</v>
      </c>
      <c r="U25" s="8" t="s">
        <v>552</v>
      </c>
      <c r="V25" t="s">
        <v>498</v>
      </c>
      <c r="W25" s="113" t="str">
        <f>HYPERLINK("mailto:"&amp; ckAwdTable[[#This Row],[email]]&amp;"&amp;subject=Your NSF Proposal:  "&amp;ckAwdTable[[#This Row],[prop_id]], ckAwdTable[[#This Row],[email]])</f>
        <v>gillat.kol@gmail.com</v>
      </c>
      <c r="X25" s="30">
        <v>43132</v>
      </c>
      <c r="Y25">
        <v>60</v>
      </c>
      <c r="AA25" s="21" t="s">
        <v>13</v>
      </c>
      <c r="AB25" s="21" t="s">
        <v>382</v>
      </c>
      <c r="AC25"/>
      <c r="AD25" s="21" t="s">
        <v>13</v>
      </c>
      <c r="AF25" s="13">
        <v>550000</v>
      </c>
      <c r="AG25" s="124">
        <v>0</v>
      </c>
      <c r="AH25" s="1">
        <v>550000</v>
      </c>
      <c r="AI25" s="1"/>
      <c r="AJ25" s="1"/>
      <c r="AM25" s="21">
        <v>5</v>
      </c>
      <c r="AN25" s="21">
        <v>5</v>
      </c>
      <c r="AO25" s="21">
        <v>5</v>
      </c>
      <c r="AP25" s="21"/>
      <c r="AQ25" s="21"/>
      <c r="AR25" s="126" t="s">
        <v>172</v>
      </c>
      <c r="AS25" s="21" t="s">
        <v>493</v>
      </c>
      <c r="AT25" s="21" t="str">
        <f>IFERROR(IF(FIND("?",ckAwdTable[abst_narr_txt]),SummarizeQuestMarks(ckAwdTable[abst_narr_txt]),""),"")</f>
        <v/>
      </c>
      <c r="AU25" s="119"/>
      <c r="AV25" t="s">
        <v>1546</v>
      </c>
      <c r="AW25" t="b">
        <f>AND(ckAwdTable[[#This Row],[ILN]]&gt;"M", SUBSTITUTE(ckAwdTable[[#This Row],[prop_titl_txt]]," ","")&lt;&gt;SUBSTITUTE(AV24," ",""))</f>
        <v>0</v>
      </c>
      <c r="AX25" s="8" t="s">
        <v>1547</v>
      </c>
    </row>
    <row r="26" spans="2:50" x14ac:dyDescent="0.4">
      <c r="B26" s="30">
        <v>42935.54583333333</v>
      </c>
      <c r="C26" t="s">
        <v>1430</v>
      </c>
      <c r="D26" t="s">
        <v>477</v>
      </c>
      <c r="E26" t="s">
        <v>582</v>
      </c>
      <c r="F26" t="s">
        <v>654</v>
      </c>
      <c r="G26" s="8" t="s">
        <v>171</v>
      </c>
      <c r="H26" s="8" t="s">
        <v>169</v>
      </c>
      <c r="I26" s="8" t="s">
        <v>505</v>
      </c>
      <c r="J26" t="s">
        <v>94</v>
      </c>
      <c r="K26" t="s">
        <v>1431</v>
      </c>
      <c r="L26" s="22">
        <v>43082.668912037036</v>
      </c>
      <c r="M26" s="109">
        <f xml:space="preserve"> M25+(ckAwdTable[ILN]&lt;"M")</f>
        <v>25</v>
      </c>
      <c r="N26" t="s">
        <v>95</v>
      </c>
      <c r="O26" t="s">
        <v>927</v>
      </c>
      <c r="P26" s="15" t="str">
        <f>HYPERLINK("https://www.ejacket.nsf.gov/ej/showProposal.do?ID="&amp;ckAwdTable[[#This Row],[prop_id]],"eJ")</f>
        <v>eJ</v>
      </c>
      <c r="Q26" s="8" t="s">
        <v>478</v>
      </c>
      <c r="R26" t="s">
        <v>927</v>
      </c>
      <c r="S26" t="s">
        <v>928</v>
      </c>
      <c r="T26" t="s">
        <v>1549</v>
      </c>
      <c r="U26" s="8" t="s">
        <v>1550</v>
      </c>
      <c r="V26" t="s">
        <v>1548</v>
      </c>
      <c r="W26" s="113" t="str">
        <f>HYPERLINK("mailto:"&amp; ckAwdTable[[#This Row],[email]]&amp;"&amp;subject=Your NSF Proposal:  "&amp;ckAwdTable[[#This Row],[prop_id]], ckAwdTable[[#This Row],[email]])</f>
        <v>sharathr@vt.edu</v>
      </c>
      <c r="X26" s="30">
        <v>43110</v>
      </c>
      <c r="Y26">
        <v>60</v>
      </c>
      <c r="AA26" s="21" t="s">
        <v>13</v>
      </c>
      <c r="AB26" s="21" t="s">
        <v>382</v>
      </c>
      <c r="AC26"/>
      <c r="AD26" s="21" t="s">
        <v>13</v>
      </c>
      <c r="AE26" s="21" t="s">
        <v>506</v>
      </c>
      <c r="AF26" s="13">
        <v>533991</v>
      </c>
      <c r="AG26" s="124">
        <v>0</v>
      </c>
      <c r="AH26" s="1">
        <v>533991</v>
      </c>
      <c r="AI26" s="1"/>
      <c r="AJ26" s="1">
        <v>7500</v>
      </c>
      <c r="AM26" s="21">
        <v>5</v>
      </c>
      <c r="AN26" s="21">
        <v>5</v>
      </c>
      <c r="AO26" s="21">
        <v>6.5</v>
      </c>
      <c r="AP26" s="21"/>
      <c r="AQ26" s="21"/>
      <c r="AR26" s="126" t="s">
        <v>172</v>
      </c>
      <c r="AS26" s="21" t="s">
        <v>493</v>
      </c>
      <c r="AT26" s="21" t="str">
        <f>IFERROR(IF(FIND("?",ckAwdTable[abst_narr_txt]),SummarizeQuestMarks(ckAwdTable[abst_narr_txt]),""),"")</f>
        <v/>
      </c>
      <c r="AU26" s="119"/>
      <c r="AV26" t="s">
        <v>1552</v>
      </c>
      <c r="AW26" t="b">
        <f>AND(ckAwdTable[[#This Row],[ILN]]&gt;"M", SUBSTITUTE(ckAwdTable[[#This Row],[prop_titl_txt]]," ","")&lt;&gt;SUBSTITUTE(AV25," ",""))</f>
        <v>0</v>
      </c>
      <c r="AX26" s="8" t="s">
        <v>1553</v>
      </c>
    </row>
    <row r="27" spans="2:50" x14ac:dyDescent="0.4">
      <c r="B27" s="30">
        <v>42935.576388888891</v>
      </c>
      <c r="C27" t="s">
        <v>1430</v>
      </c>
      <c r="D27" t="s">
        <v>477</v>
      </c>
      <c r="E27" t="s">
        <v>582</v>
      </c>
      <c r="F27" t="s">
        <v>611</v>
      </c>
      <c r="G27" s="8" t="s">
        <v>171</v>
      </c>
      <c r="H27" s="8" t="s">
        <v>169</v>
      </c>
      <c r="I27" s="8" t="s">
        <v>505</v>
      </c>
      <c r="J27" t="s">
        <v>94</v>
      </c>
      <c r="K27" t="s">
        <v>1431</v>
      </c>
      <c r="L27" s="22"/>
      <c r="M27" s="109">
        <f xml:space="preserve"> M26+(ckAwdTable[ILN]&lt;"M")</f>
        <v>26</v>
      </c>
      <c r="N27" t="s">
        <v>95</v>
      </c>
      <c r="O27" t="s">
        <v>936</v>
      </c>
      <c r="P27" s="15" t="str">
        <f>HYPERLINK("https://www.ejacket.nsf.gov/ej/showProposal.do?ID="&amp;ckAwdTable[[#This Row],[prop_id]],"eJ")</f>
        <v>eJ</v>
      </c>
      <c r="Q27" s="8" t="s">
        <v>478</v>
      </c>
      <c r="R27" t="s">
        <v>936</v>
      </c>
      <c r="S27" t="s">
        <v>937</v>
      </c>
      <c r="T27" t="s">
        <v>1554</v>
      </c>
      <c r="U27" s="8" t="s">
        <v>501</v>
      </c>
      <c r="V27" t="s">
        <v>230</v>
      </c>
      <c r="W27" s="113" t="str">
        <f>HYPERLINK("mailto:"&amp; ckAwdTable[[#This Row],[email]]&amp;"&amp;subject=Your NSF Proposal:  "&amp;ckAwdTable[[#This Row],[prop_id]], ckAwdTable[[#This Row],[email]])</f>
        <v xml:space="preserve"> hardt@eecs.berkeley.edu</v>
      </c>
      <c r="X27" s="30">
        <v>43132</v>
      </c>
      <c r="Y27">
        <v>60</v>
      </c>
      <c r="AA27" s="21" t="s">
        <v>13</v>
      </c>
      <c r="AB27" s="21" t="s">
        <v>382</v>
      </c>
      <c r="AC27"/>
      <c r="AD27" s="21" t="s">
        <v>13</v>
      </c>
      <c r="AF27" s="13">
        <v>499434</v>
      </c>
      <c r="AG27" s="124">
        <v>0</v>
      </c>
      <c r="AH27" s="1">
        <v>499434</v>
      </c>
      <c r="AI27" s="1"/>
      <c r="AJ27" s="1"/>
      <c r="AM27" s="21">
        <v>5</v>
      </c>
      <c r="AN27" s="21">
        <v>5</v>
      </c>
      <c r="AO27" s="21">
        <v>0.8</v>
      </c>
      <c r="AP27" s="21"/>
      <c r="AQ27" s="21"/>
      <c r="AR27" s="126" t="s">
        <v>172</v>
      </c>
      <c r="AS27" s="21" t="s">
        <v>493</v>
      </c>
      <c r="AT27" s="21" t="str">
        <f>IFERROR(IF(FIND("?",ckAwdTable[abst_narr_txt]),SummarizeQuestMarks(ckAwdTable[abst_narr_txt]),""),"")</f>
        <v/>
      </c>
      <c r="AU27" s="119"/>
      <c r="AV27" t="s">
        <v>1556</v>
      </c>
      <c r="AW27" t="b">
        <f>AND(ckAwdTable[[#This Row],[ILN]]&gt;"M", SUBSTITUTE(ckAwdTable[[#This Row],[prop_titl_txt]]," ","")&lt;&gt;SUBSTITUTE(AV26," ",""))</f>
        <v>0</v>
      </c>
      <c r="AX27" s="8" t="s">
        <v>1557</v>
      </c>
    </row>
    <row r="28" spans="2:50" x14ac:dyDescent="0.4">
      <c r="B28" s="30">
        <v>42935.599305555559</v>
      </c>
      <c r="C28" t="s">
        <v>1430</v>
      </c>
      <c r="D28" t="s">
        <v>477</v>
      </c>
      <c r="E28" t="s">
        <v>582</v>
      </c>
      <c r="F28" t="s">
        <v>611</v>
      </c>
      <c r="G28" s="8" t="s">
        <v>171</v>
      </c>
      <c r="H28" s="8" t="s">
        <v>169</v>
      </c>
      <c r="I28" s="8" t="s">
        <v>505</v>
      </c>
      <c r="J28" t="s">
        <v>94</v>
      </c>
      <c r="K28" t="s">
        <v>1431</v>
      </c>
      <c r="L28" s="22"/>
      <c r="M28" s="109">
        <f xml:space="preserve"> M27+(ckAwdTable[ILN]&lt;"M")</f>
        <v>27</v>
      </c>
      <c r="N28" t="s">
        <v>95</v>
      </c>
      <c r="O28" t="s">
        <v>944</v>
      </c>
      <c r="P28" s="15" t="str">
        <f>HYPERLINK("https://www.ejacket.nsf.gov/ej/showProposal.do?ID="&amp;ckAwdTable[[#This Row],[prop_id]],"eJ")</f>
        <v>eJ</v>
      </c>
      <c r="Q28" s="8" t="s">
        <v>478</v>
      </c>
      <c r="R28" t="s">
        <v>944</v>
      </c>
      <c r="S28" t="s">
        <v>945</v>
      </c>
      <c r="T28" t="s">
        <v>1558</v>
      </c>
      <c r="U28" s="8" t="s">
        <v>502</v>
      </c>
      <c r="V28" t="s">
        <v>231</v>
      </c>
      <c r="W28" s="113" t="str">
        <f>HYPERLINK("mailto:"&amp; ckAwdTable[[#This Row],[email]]&amp;"&amp;subject=Your NSF Proposal:  "&amp;ckAwdTable[[#This Row],[prop_id]], ckAwdTable[[#This Row],[email]])</f>
        <v>jullman@ccs.neu.edu</v>
      </c>
      <c r="X28" s="30">
        <v>43282</v>
      </c>
      <c r="Y28">
        <v>60</v>
      </c>
      <c r="AA28" s="21" t="s">
        <v>13</v>
      </c>
      <c r="AB28" s="21" t="s">
        <v>382</v>
      </c>
      <c r="AC28"/>
      <c r="AD28" s="21" t="s">
        <v>13</v>
      </c>
      <c r="AE28" s="21" t="s">
        <v>506</v>
      </c>
      <c r="AF28" s="13">
        <v>545883</v>
      </c>
      <c r="AG28" s="124">
        <v>0</v>
      </c>
      <c r="AH28" s="1">
        <v>545883</v>
      </c>
      <c r="AI28" s="1"/>
      <c r="AJ28" s="1">
        <v>15928</v>
      </c>
      <c r="AM28" s="21">
        <v>5</v>
      </c>
      <c r="AN28" s="21">
        <v>5</v>
      </c>
      <c r="AO28" s="21">
        <v>5</v>
      </c>
      <c r="AP28" s="21"/>
      <c r="AQ28" s="21"/>
      <c r="AR28" s="126" t="s">
        <v>172</v>
      </c>
      <c r="AS28" s="21" t="s">
        <v>493</v>
      </c>
      <c r="AT28" s="21" t="str">
        <f>IFERROR(IF(FIND("?",ckAwdTable[abst_narr_txt]),SummarizeQuestMarks(ckAwdTable[abst_narr_txt]),""),"")</f>
        <v/>
      </c>
      <c r="AU28" s="119"/>
      <c r="AV28" t="s">
        <v>1559</v>
      </c>
      <c r="AW28" t="b">
        <f>AND(ckAwdTable[[#This Row],[ILN]]&gt;"M", SUBSTITUTE(ckAwdTable[[#This Row],[prop_titl_txt]]," ","")&lt;&gt;SUBSTITUTE(AV27," ",""))</f>
        <v>0</v>
      </c>
      <c r="AX28" s="8" t="s">
        <v>1560</v>
      </c>
    </row>
    <row r="29" spans="2:50" x14ac:dyDescent="0.4">
      <c r="B29" s="30">
        <v>42935.603472222225</v>
      </c>
      <c r="C29" t="s">
        <v>1430</v>
      </c>
      <c r="D29" t="s">
        <v>477</v>
      </c>
      <c r="E29" t="s">
        <v>582</v>
      </c>
      <c r="F29" t="s">
        <v>611</v>
      </c>
      <c r="G29" s="8" t="s">
        <v>171</v>
      </c>
      <c r="H29" s="8" t="s">
        <v>169</v>
      </c>
      <c r="I29" s="8" t="s">
        <v>505</v>
      </c>
      <c r="J29" t="s">
        <v>94</v>
      </c>
      <c r="K29" t="s">
        <v>1431</v>
      </c>
      <c r="L29" s="22">
        <v>43082.663194444445</v>
      </c>
      <c r="M29" s="109">
        <f xml:space="preserve"> M28+(ckAwdTable[ILN]&lt;"M")</f>
        <v>28</v>
      </c>
      <c r="N29" t="s">
        <v>95</v>
      </c>
      <c r="O29" t="s">
        <v>952</v>
      </c>
      <c r="P29" s="15" t="str">
        <f>HYPERLINK("https://www.ejacket.nsf.gov/ej/showProposal.do?ID="&amp;ckAwdTable[[#This Row],[prop_id]],"eJ")</f>
        <v>eJ</v>
      </c>
      <c r="Q29" s="8" t="s">
        <v>478</v>
      </c>
      <c r="R29" t="s">
        <v>952</v>
      </c>
      <c r="S29" t="s">
        <v>953</v>
      </c>
      <c r="T29" t="s">
        <v>1561</v>
      </c>
      <c r="U29" s="8" t="s">
        <v>1562</v>
      </c>
      <c r="V29" t="s">
        <v>498</v>
      </c>
      <c r="W29" s="113" t="str">
        <f>HYPERLINK("mailto:"&amp; ckAwdTable[[#This Row],[email]]&amp;"&amp;subject=Your NSF Proposal:  "&amp;ckAwdTable[[#This Row],[prop_id]], ckAwdTable[[#This Row],[email]])</f>
        <v>pranjal.iitm@gmail.com</v>
      </c>
      <c r="X29" s="30">
        <v>43101</v>
      </c>
      <c r="Y29">
        <v>60</v>
      </c>
      <c r="AA29" s="21" t="s">
        <v>13</v>
      </c>
      <c r="AB29" s="21" t="s">
        <v>382</v>
      </c>
      <c r="AC29"/>
      <c r="AD29" s="21" t="s">
        <v>13</v>
      </c>
      <c r="AE29" s="21" t="s">
        <v>2006</v>
      </c>
      <c r="AF29" s="13">
        <v>695874</v>
      </c>
      <c r="AG29" s="124">
        <v>0</v>
      </c>
      <c r="AH29" s="1">
        <v>695874</v>
      </c>
      <c r="AI29" s="1"/>
      <c r="AJ29" s="1">
        <v>12875</v>
      </c>
      <c r="AM29" s="21">
        <v>5</v>
      </c>
      <c r="AN29" s="21">
        <v>5</v>
      </c>
      <c r="AO29" s="21">
        <v>5</v>
      </c>
      <c r="AP29" s="21"/>
      <c r="AQ29" s="21"/>
      <c r="AR29" s="126" t="s">
        <v>172</v>
      </c>
      <c r="AS29" s="21" t="s">
        <v>493</v>
      </c>
      <c r="AT29" s="21" t="str">
        <f>IFERROR(IF(FIND("?",ckAwdTable[abst_narr_txt]),SummarizeQuestMarks(ckAwdTable[abst_narr_txt]),""),"")</f>
        <v/>
      </c>
      <c r="AU29" s="119"/>
      <c r="AV29" t="s">
        <v>1564</v>
      </c>
      <c r="AW29" t="b">
        <f>AND(ckAwdTable[[#This Row],[ILN]]&gt;"M", SUBSTITUTE(ckAwdTable[[#This Row],[prop_titl_txt]]," ","")&lt;&gt;SUBSTITUTE(AV28," ",""))</f>
        <v>0</v>
      </c>
      <c r="AX29" s="8" t="s">
        <v>1565</v>
      </c>
    </row>
    <row r="30" spans="2:50" x14ac:dyDescent="0.4">
      <c r="B30" s="30">
        <v>42935.620138888888</v>
      </c>
      <c r="C30" t="s">
        <v>1430</v>
      </c>
      <c r="D30" t="s">
        <v>477</v>
      </c>
      <c r="E30" t="s">
        <v>582</v>
      </c>
      <c r="F30" t="s">
        <v>654</v>
      </c>
      <c r="G30" s="8" t="s">
        <v>171</v>
      </c>
      <c r="H30" s="8" t="s">
        <v>169</v>
      </c>
      <c r="I30" s="8" t="s">
        <v>505</v>
      </c>
      <c r="J30" t="s">
        <v>94</v>
      </c>
      <c r="K30" t="s">
        <v>1431</v>
      </c>
      <c r="L30" s="22"/>
      <c r="M30" s="109">
        <f xml:space="preserve"> M29+(ckAwdTable[ILN]&lt;"M")</f>
        <v>29</v>
      </c>
      <c r="N30" t="s">
        <v>95</v>
      </c>
      <c r="O30" t="s">
        <v>961</v>
      </c>
      <c r="P30" s="15" t="str">
        <f>HYPERLINK("https://www.ejacket.nsf.gov/ej/showProposal.do?ID="&amp;ckAwdTable[[#This Row],[prop_id]],"eJ")</f>
        <v>eJ</v>
      </c>
      <c r="Q30" s="8" t="s">
        <v>478</v>
      </c>
      <c r="R30" t="s">
        <v>961</v>
      </c>
      <c r="S30" t="s">
        <v>489</v>
      </c>
      <c r="T30" t="s">
        <v>1566</v>
      </c>
      <c r="U30" s="8" t="s">
        <v>502</v>
      </c>
      <c r="V30" t="s">
        <v>231</v>
      </c>
      <c r="W30" s="113" t="str">
        <f>HYPERLINK("mailto:"&amp; ckAwdTable[[#This Row],[email]]&amp;"&amp;subject=Your NSF Proposal:  "&amp;ckAwdTable[[#This Row],[prop_id]], ckAwdTable[[#This Row],[email]])</f>
        <v>hu.nguyen@neu.edu</v>
      </c>
      <c r="X30" s="30">
        <v>43252</v>
      </c>
      <c r="Y30">
        <v>60</v>
      </c>
      <c r="AA30" s="21" t="s">
        <v>13</v>
      </c>
      <c r="AB30" s="21" t="s">
        <v>382</v>
      </c>
      <c r="AC30"/>
      <c r="AD30" s="21" t="s">
        <v>13</v>
      </c>
      <c r="AE30" s="21" t="s">
        <v>506</v>
      </c>
      <c r="AF30" s="13">
        <v>551453</v>
      </c>
      <c r="AG30" s="124">
        <v>0</v>
      </c>
      <c r="AH30" s="1">
        <v>551453</v>
      </c>
      <c r="AI30" s="1"/>
      <c r="AJ30" s="1">
        <v>13273</v>
      </c>
      <c r="AM30" s="21">
        <v>5</v>
      </c>
      <c r="AN30" s="21">
        <v>5</v>
      </c>
      <c r="AO30" s="21">
        <v>5</v>
      </c>
      <c r="AP30" s="21"/>
      <c r="AQ30" s="21"/>
      <c r="AR30" s="126" t="s">
        <v>172</v>
      </c>
      <c r="AS30" s="21" t="s">
        <v>493</v>
      </c>
      <c r="AT30" s="21" t="str">
        <f>IFERROR(IF(FIND("?",ckAwdTable[abst_narr_txt]),SummarizeQuestMarks(ckAwdTable[abst_narr_txt]),""),"")</f>
        <v/>
      </c>
      <c r="AU30" s="119"/>
      <c r="AV30" t="s">
        <v>1568</v>
      </c>
      <c r="AW30" t="b">
        <f>AND(ckAwdTable[[#This Row],[ILN]]&gt;"M", SUBSTITUTE(ckAwdTable[[#This Row],[prop_titl_txt]]," ","")&lt;&gt;SUBSTITUTE(AV29," ",""))</f>
        <v>0</v>
      </c>
      <c r="AX30" s="8" t="s">
        <v>1569</v>
      </c>
    </row>
    <row r="31" spans="2:50" x14ac:dyDescent="0.4">
      <c r="B31" s="30">
        <v>42935.633333333331</v>
      </c>
      <c r="C31" t="s">
        <v>1430</v>
      </c>
      <c r="D31" t="s">
        <v>477</v>
      </c>
      <c r="E31" t="s">
        <v>582</v>
      </c>
      <c r="F31" t="s">
        <v>604</v>
      </c>
      <c r="G31" s="8" t="s">
        <v>171</v>
      </c>
      <c r="H31" s="8" t="s">
        <v>169</v>
      </c>
      <c r="I31" s="8" t="s">
        <v>505</v>
      </c>
      <c r="J31" t="s">
        <v>94</v>
      </c>
      <c r="K31" t="s">
        <v>1431</v>
      </c>
      <c r="L31" s="22"/>
      <c r="M31" s="109">
        <f xml:space="preserve"> M30+(ckAwdTable[ILN]&lt;"M")</f>
        <v>30</v>
      </c>
      <c r="N31" t="s">
        <v>95</v>
      </c>
      <c r="O31" t="s">
        <v>971</v>
      </c>
      <c r="P31" s="15" t="str">
        <f>HYPERLINK("https://www.ejacket.nsf.gov/ej/showProposal.do?ID="&amp;ckAwdTable[[#This Row],[prop_id]],"eJ")</f>
        <v>eJ</v>
      </c>
      <c r="Q31" s="8" t="s">
        <v>478</v>
      </c>
      <c r="R31" t="s">
        <v>971</v>
      </c>
      <c r="S31" t="s">
        <v>972</v>
      </c>
      <c r="T31" t="s">
        <v>1445</v>
      </c>
      <c r="U31" s="8" t="s">
        <v>1570</v>
      </c>
      <c r="V31" t="s">
        <v>310</v>
      </c>
      <c r="W31" s="113" t="str">
        <f>HYPERLINK("mailto:"&amp; ckAwdTable[[#This Row],[email]]&amp;"&amp;subject=Your NSF Proposal:  "&amp;ckAwdTable[[#This Row],[prop_id]], ckAwdTable[[#This Row],[email]])</f>
        <v>Benjamin.Raichel@utdallas.edu</v>
      </c>
      <c r="X31" s="30">
        <v>43344</v>
      </c>
      <c r="Y31">
        <v>60</v>
      </c>
      <c r="AA31" s="21" t="s">
        <v>13</v>
      </c>
      <c r="AB31" s="21" t="s">
        <v>382</v>
      </c>
      <c r="AC31"/>
      <c r="AD31" s="21" t="s">
        <v>13</v>
      </c>
      <c r="AE31" s="21" t="s">
        <v>506</v>
      </c>
      <c r="AF31" s="13">
        <v>582785</v>
      </c>
      <c r="AG31" s="124">
        <v>0</v>
      </c>
      <c r="AH31" s="1">
        <v>582785</v>
      </c>
      <c r="AI31" s="1"/>
      <c r="AJ31" s="1">
        <v>7500</v>
      </c>
      <c r="AM31" s="21">
        <v>10</v>
      </c>
      <c r="AN31" s="21">
        <v>5</v>
      </c>
      <c r="AO31" s="21">
        <v>5</v>
      </c>
      <c r="AP31" s="21"/>
      <c r="AQ31" s="21"/>
      <c r="AR31" s="126" t="s">
        <v>172</v>
      </c>
      <c r="AS31" s="21" t="s">
        <v>493</v>
      </c>
      <c r="AT31" s="21" t="str">
        <f>IFERROR(IF(FIND("?",ckAwdTable[abst_narr_txt]),SummarizeQuestMarks(ckAwdTable[abst_narr_txt]),""),"")</f>
        <v/>
      </c>
      <c r="AU31" s="119"/>
      <c r="AV31" t="s">
        <v>1571</v>
      </c>
      <c r="AW31" t="b">
        <f>AND(ckAwdTable[[#This Row],[ILN]]&gt;"M", SUBSTITUTE(ckAwdTable[[#This Row],[prop_titl_txt]]," ","")&lt;&gt;SUBSTITUTE(AV30," ",""))</f>
        <v>0</v>
      </c>
      <c r="AX31" s="8" t="s">
        <v>1572</v>
      </c>
    </row>
    <row r="32" spans="2:50" x14ac:dyDescent="0.4">
      <c r="B32" s="30">
        <v>42935.638888888891</v>
      </c>
      <c r="C32" t="s">
        <v>1430</v>
      </c>
      <c r="D32" t="s">
        <v>477</v>
      </c>
      <c r="E32" t="s">
        <v>582</v>
      </c>
      <c r="F32" t="s">
        <v>654</v>
      </c>
      <c r="G32" s="8" t="s">
        <v>171</v>
      </c>
      <c r="H32" s="8" t="s">
        <v>169</v>
      </c>
      <c r="I32" s="8" t="s">
        <v>505</v>
      </c>
      <c r="J32" t="s">
        <v>94</v>
      </c>
      <c r="K32" t="s">
        <v>1431</v>
      </c>
      <c r="L32" s="22"/>
      <c r="M32" s="109">
        <f xml:space="preserve"> M31+(ckAwdTable[ILN]&lt;"M")</f>
        <v>31</v>
      </c>
      <c r="N32" t="s">
        <v>95</v>
      </c>
      <c r="O32" t="s">
        <v>979</v>
      </c>
      <c r="P32" s="15" t="str">
        <f>HYPERLINK("https://www.ejacket.nsf.gov/ej/showProposal.do?ID="&amp;ckAwdTable[[#This Row],[prop_id]],"eJ")</f>
        <v>eJ</v>
      </c>
      <c r="Q32" s="8" t="s">
        <v>478</v>
      </c>
      <c r="R32" t="s">
        <v>979</v>
      </c>
      <c r="S32" t="s">
        <v>980</v>
      </c>
      <c r="T32" t="s">
        <v>1573</v>
      </c>
      <c r="U32" s="8" t="s">
        <v>497</v>
      </c>
      <c r="V32" t="s">
        <v>496</v>
      </c>
      <c r="W32" s="113" t="str">
        <f>HYPERLINK("mailto:"&amp; ckAwdTable[[#This Row],[email]]&amp;"&amp;subject=Your NSF Proposal:  "&amp;ckAwdTable[[#This Row],[prop_id]], ckAwdTable[[#This Row],[email]])</f>
        <v>haeupler@cs.cmu.edu</v>
      </c>
      <c r="X32" s="30">
        <v>43101</v>
      </c>
      <c r="Y32">
        <v>60</v>
      </c>
      <c r="AA32" s="21" t="s">
        <v>13</v>
      </c>
      <c r="AB32" s="21" t="s">
        <v>382</v>
      </c>
      <c r="AC32"/>
      <c r="AD32" s="21" t="s">
        <v>13</v>
      </c>
      <c r="AF32" s="13">
        <v>613868</v>
      </c>
      <c r="AG32" s="124">
        <v>0</v>
      </c>
      <c r="AH32" s="1">
        <v>613868</v>
      </c>
      <c r="AI32" s="1"/>
      <c r="AJ32" s="1"/>
      <c r="AM32" s="21">
        <v>5</v>
      </c>
      <c r="AN32" s="21">
        <v>5</v>
      </c>
      <c r="AO32" s="21">
        <v>1.25</v>
      </c>
      <c r="AP32" s="21"/>
      <c r="AQ32" s="21"/>
      <c r="AR32" s="126" t="s">
        <v>172</v>
      </c>
      <c r="AS32" s="21" t="s">
        <v>493</v>
      </c>
      <c r="AT32" s="21" t="str">
        <f>IFERROR(IF(FIND("?",ckAwdTable[abst_narr_txt]),SummarizeQuestMarks(ckAwdTable[abst_narr_txt]),""),"")</f>
        <v/>
      </c>
      <c r="AU32" s="119"/>
      <c r="AV32" t="s">
        <v>1575</v>
      </c>
      <c r="AW32" t="b">
        <f>AND(ckAwdTable[[#This Row],[ILN]]&gt;"M", SUBSTITUTE(ckAwdTable[[#This Row],[prop_titl_txt]]," ","")&lt;&gt;SUBSTITUTE(AV31," ",""))</f>
        <v>0</v>
      </c>
      <c r="AX32" s="8" t="s">
        <v>1576</v>
      </c>
    </row>
    <row r="33" spans="2:50" x14ac:dyDescent="0.4">
      <c r="B33" s="30">
        <v>42935.654166666667</v>
      </c>
      <c r="C33" t="s">
        <v>1430</v>
      </c>
      <c r="D33" t="s">
        <v>477</v>
      </c>
      <c r="E33" t="s">
        <v>582</v>
      </c>
      <c r="F33" t="s">
        <v>611</v>
      </c>
      <c r="G33" s="8" t="s">
        <v>171</v>
      </c>
      <c r="H33" s="8" t="s">
        <v>169</v>
      </c>
      <c r="I33" s="8" t="s">
        <v>505</v>
      </c>
      <c r="J33" t="s">
        <v>94</v>
      </c>
      <c r="K33" t="s">
        <v>1431</v>
      </c>
      <c r="L33" s="22">
        <v>43082.669247685182</v>
      </c>
      <c r="M33" s="109">
        <f xml:space="preserve"> M32+(ckAwdTable[ILN]&lt;"M")</f>
        <v>32</v>
      </c>
      <c r="N33" t="s">
        <v>95</v>
      </c>
      <c r="O33" t="s">
        <v>992</v>
      </c>
      <c r="P33" s="15" t="str">
        <f>HYPERLINK("https://www.ejacket.nsf.gov/ej/showProposal.do?ID="&amp;ckAwdTable[[#This Row],[prop_id]],"eJ")</f>
        <v>eJ</v>
      </c>
      <c r="Q33" s="8" t="s">
        <v>478</v>
      </c>
      <c r="R33" t="s">
        <v>992</v>
      </c>
      <c r="S33" t="s">
        <v>993</v>
      </c>
      <c r="T33" t="s">
        <v>1577</v>
      </c>
      <c r="U33" s="8" t="s">
        <v>1578</v>
      </c>
      <c r="V33" t="s">
        <v>557</v>
      </c>
      <c r="W33" s="113" t="str">
        <f>HYPERLINK("mailto:"&amp; ckAwdTable[[#This Row],[email]]&amp;"&amp;subject=Your NSF Proposal:  "&amp;ckAwdTable[[#This Row],[prop_id]], ckAwdTable[[#This Row],[email]])</f>
        <v>nxie@cs.fiu.edu</v>
      </c>
      <c r="X33" s="30">
        <v>43221</v>
      </c>
      <c r="Y33">
        <v>60</v>
      </c>
      <c r="AA33" s="21" t="s">
        <v>13</v>
      </c>
      <c r="AB33" s="21" t="s">
        <v>382</v>
      </c>
      <c r="AC33"/>
      <c r="AD33" s="21" t="s">
        <v>13</v>
      </c>
      <c r="AE33" s="21" t="s">
        <v>2007</v>
      </c>
      <c r="AF33" s="13">
        <v>520820</v>
      </c>
      <c r="AG33" s="124">
        <v>0</v>
      </c>
      <c r="AH33" s="1">
        <v>520820</v>
      </c>
      <c r="AI33" s="1"/>
      <c r="AJ33" s="1">
        <v>15000</v>
      </c>
      <c r="AM33" s="21">
        <v>5</v>
      </c>
      <c r="AN33" s="21">
        <v>5</v>
      </c>
      <c r="AO33" s="21">
        <v>7.5</v>
      </c>
      <c r="AP33" s="21"/>
      <c r="AQ33" s="21"/>
      <c r="AR33" s="126" t="s">
        <v>172</v>
      </c>
      <c r="AS33" s="21" t="s">
        <v>493</v>
      </c>
      <c r="AT33" s="21" t="str">
        <f>IFERROR(IF(FIND("?",ckAwdTable[abst_narr_txt]),SummarizeQuestMarks(ckAwdTable[abst_narr_txt]),""),"")</f>
        <v/>
      </c>
      <c r="AU33" s="119"/>
      <c r="AV33" t="s">
        <v>1580</v>
      </c>
      <c r="AW33" t="b">
        <f>AND(ckAwdTable[[#This Row],[ILN]]&gt;"M", SUBSTITUTE(ckAwdTable[[#This Row],[prop_titl_txt]]," ","")&lt;&gt;SUBSTITUTE(AV32," ",""))</f>
        <v>0</v>
      </c>
      <c r="AX33" s="8" t="s">
        <v>1581</v>
      </c>
    </row>
    <row r="34" spans="2:50" x14ac:dyDescent="0.4">
      <c r="B34" s="30">
        <v>42935.679166666669</v>
      </c>
      <c r="C34" t="s">
        <v>1430</v>
      </c>
      <c r="D34" t="s">
        <v>477</v>
      </c>
      <c r="E34" t="s">
        <v>582</v>
      </c>
      <c r="F34" t="s">
        <v>611</v>
      </c>
      <c r="G34" s="8" t="s">
        <v>171</v>
      </c>
      <c r="H34" s="8" t="s">
        <v>169</v>
      </c>
      <c r="I34" s="8" t="s">
        <v>505</v>
      </c>
      <c r="J34" t="s">
        <v>94</v>
      </c>
      <c r="K34" t="s">
        <v>1431</v>
      </c>
      <c r="L34" s="22"/>
      <c r="M34" s="109">
        <f xml:space="preserve"> M33+(ckAwdTable[ILN]&lt;"M")</f>
        <v>33</v>
      </c>
      <c r="N34" t="s">
        <v>95</v>
      </c>
      <c r="O34" t="s">
        <v>1004</v>
      </c>
      <c r="P34" s="15" t="str">
        <f>HYPERLINK("https://www.ejacket.nsf.gov/ej/showProposal.do?ID="&amp;ckAwdTable[[#This Row],[prop_id]],"eJ")</f>
        <v>eJ</v>
      </c>
      <c r="Q34" s="8" t="s">
        <v>478</v>
      </c>
      <c r="R34" t="s">
        <v>1004</v>
      </c>
      <c r="S34" t="s">
        <v>1005</v>
      </c>
      <c r="T34" t="s">
        <v>1582</v>
      </c>
      <c r="U34" s="8" t="s">
        <v>550</v>
      </c>
      <c r="V34" t="s">
        <v>310</v>
      </c>
      <c r="W34" s="113" t="str">
        <f>HYPERLINK("mailto:"&amp; ckAwdTable[[#This Row],[email]]&amp;"&amp;subject=Your NSF Proposal:  "&amp;ckAwdTable[[#This Row],[prop_id]], ckAwdTable[[#This Row],[email]])</f>
        <v>ecprice@cs.utexas.edu</v>
      </c>
      <c r="X34" s="30">
        <v>43344</v>
      </c>
      <c r="Y34">
        <v>60</v>
      </c>
      <c r="AA34" s="21" t="s">
        <v>13</v>
      </c>
      <c r="AB34" s="21" t="s">
        <v>382</v>
      </c>
      <c r="AC34"/>
      <c r="AD34" s="21" t="s">
        <v>13</v>
      </c>
      <c r="AF34" s="13">
        <v>499575</v>
      </c>
      <c r="AG34" s="124">
        <v>0</v>
      </c>
      <c r="AH34" s="1">
        <v>499575</v>
      </c>
      <c r="AI34" s="1"/>
      <c r="AJ34" s="1"/>
      <c r="AM34" s="21">
        <v>5</v>
      </c>
      <c r="AN34" s="21">
        <v>5</v>
      </c>
      <c r="AO34" s="21">
        <v>5</v>
      </c>
      <c r="AP34" s="21"/>
      <c r="AQ34" s="21"/>
      <c r="AR34" s="126" t="s">
        <v>172</v>
      </c>
      <c r="AS34" s="21" t="s">
        <v>493</v>
      </c>
      <c r="AT34" s="21" t="str">
        <f>IFERROR(IF(FIND("?",ckAwdTable[abst_narr_txt]),SummarizeQuestMarks(ckAwdTable[abst_narr_txt]),""),"")</f>
        <v/>
      </c>
      <c r="AU34" s="119"/>
      <c r="AV34" t="s">
        <v>1583</v>
      </c>
      <c r="AW34" t="b">
        <f>AND(ckAwdTable[[#This Row],[ILN]]&gt;"M", SUBSTITUTE(ckAwdTable[[#This Row],[prop_titl_txt]]," ","")&lt;&gt;SUBSTITUTE(AV33," ",""))</f>
        <v>0</v>
      </c>
      <c r="AX34" s="8" t="s">
        <v>1584</v>
      </c>
    </row>
    <row r="35" spans="2:50" x14ac:dyDescent="0.4">
      <c r="B35" s="30">
        <v>42935.680555555555</v>
      </c>
      <c r="C35" t="s">
        <v>1430</v>
      </c>
      <c r="D35" t="s">
        <v>477</v>
      </c>
      <c r="E35" t="s">
        <v>582</v>
      </c>
      <c r="F35" t="s">
        <v>604</v>
      </c>
      <c r="G35" s="8" t="s">
        <v>171</v>
      </c>
      <c r="H35" s="8" t="s">
        <v>169</v>
      </c>
      <c r="I35" s="8" t="s">
        <v>505</v>
      </c>
      <c r="J35" t="s">
        <v>94</v>
      </c>
      <c r="K35" t="s">
        <v>1431</v>
      </c>
      <c r="L35" s="22">
        <v>43082.668969907405</v>
      </c>
      <c r="M35" s="109">
        <f xml:space="preserve"> M34+(ckAwdTable[ILN]&lt;"M")</f>
        <v>34</v>
      </c>
      <c r="N35" t="s">
        <v>95</v>
      </c>
      <c r="O35" t="s">
        <v>1012</v>
      </c>
      <c r="P35" s="15" t="str">
        <f>HYPERLINK("https://www.ejacket.nsf.gov/ej/showProposal.do?ID="&amp;ckAwdTable[[#This Row],[prop_id]],"eJ")</f>
        <v>eJ</v>
      </c>
      <c r="Q35" s="8" t="s">
        <v>478</v>
      </c>
      <c r="R35" t="s">
        <v>1012</v>
      </c>
      <c r="S35" t="s">
        <v>1013</v>
      </c>
      <c r="T35" t="s">
        <v>1585</v>
      </c>
      <c r="U35" s="8" t="s">
        <v>1586</v>
      </c>
      <c r="V35" t="s">
        <v>310</v>
      </c>
      <c r="W35" s="113" t="str">
        <f>HYPERLINK("mailto:"&amp; ckAwdTable[[#This Row],[email]]&amp;"&amp;subject=Your NSF Proposal:  "&amp;ckAwdTable[[#This Row],[prop_id]], ckAwdTable[[#This Row],[email]])</f>
        <v>MATTHEW.GIBSON@UTSA.EDU</v>
      </c>
      <c r="X35" s="30">
        <v>43132</v>
      </c>
      <c r="Y35">
        <v>60</v>
      </c>
      <c r="AA35" s="21" t="s">
        <v>13</v>
      </c>
      <c r="AB35" s="21" t="s">
        <v>382</v>
      </c>
      <c r="AC35"/>
      <c r="AD35" s="21" t="s">
        <v>13</v>
      </c>
      <c r="AE35" s="21" t="s">
        <v>506</v>
      </c>
      <c r="AF35" s="13">
        <v>415497</v>
      </c>
      <c r="AG35" s="124">
        <v>0</v>
      </c>
      <c r="AH35" s="1">
        <v>415497</v>
      </c>
      <c r="AI35" s="1"/>
      <c r="AJ35" s="1">
        <v>12250</v>
      </c>
      <c r="AL35" s="1">
        <v>16000</v>
      </c>
      <c r="AM35" s="21">
        <v>5</v>
      </c>
      <c r="AN35" s="21">
        <v>5</v>
      </c>
      <c r="AO35" s="21">
        <v>5</v>
      </c>
      <c r="AP35" s="21"/>
      <c r="AQ35" s="21"/>
      <c r="AR35" s="126" t="s">
        <v>172</v>
      </c>
      <c r="AS35" s="21" t="s">
        <v>493</v>
      </c>
      <c r="AT35" s="21" t="str">
        <f>IFERROR(IF(FIND("?",ckAwdTable[abst_narr_txt]),SummarizeQuestMarks(ckAwdTable[abst_narr_txt]),""),"")</f>
        <v/>
      </c>
      <c r="AU35" s="119"/>
      <c r="AV35" t="s">
        <v>1588</v>
      </c>
      <c r="AW35" t="b">
        <f>AND(ckAwdTable[[#This Row],[ILN]]&gt;"M", SUBSTITUTE(ckAwdTable[[#This Row],[prop_titl_txt]]," ","")&lt;&gt;SUBSTITUTE(AV34," ",""))</f>
        <v>0</v>
      </c>
      <c r="AX35" s="8" t="s">
        <v>1589</v>
      </c>
    </row>
    <row r="36" spans="2:50" x14ac:dyDescent="0.4">
      <c r="B36" s="30">
        <v>42935.680555555555</v>
      </c>
      <c r="C36" t="s">
        <v>1430</v>
      </c>
      <c r="D36" t="s">
        <v>477</v>
      </c>
      <c r="E36" t="s">
        <v>582</v>
      </c>
      <c r="F36" t="s">
        <v>611</v>
      </c>
      <c r="G36" s="8" t="s">
        <v>171</v>
      </c>
      <c r="H36" s="8" t="s">
        <v>169</v>
      </c>
      <c r="I36" s="8" t="s">
        <v>505</v>
      </c>
      <c r="J36" t="s">
        <v>94</v>
      </c>
      <c r="K36" t="s">
        <v>1431</v>
      </c>
      <c r="L36" s="22">
        <v>43082.663263888891</v>
      </c>
      <c r="M36" s="109">
        <f xml:space="preserve"> M35+(ckAwdTable[ILN]&lt;"M")</f>
        <v>35</v>
      </c>
      <c r="N36" t="s">
        <v>95</v>
      </c>
      <c r="O36" t="s">
        <v>1021</v>
      </c>
      <c r="P36" s="15" t="str">
        <f>HYPERLINK("https://www.ejacket.nsf.gov/ej/showProposal.do?ID="&amp;ckAwdTable[[#This Row],[prop_id]],"eJ")</f>
        <v>eJ</v>
      </c>
      <c r="Q36" s="8" t="s">
        <v>478</v>
      </c>
      <c r="R36" t="s">
        <v>1021</v>
      </c>
      <c r="S36" t="s">
        <v>1022</v>
      </c>
      <c r="T36" t="s">
        <v>1590</v>
      </c>
      <c r="U36" s="8" t="s">
        <v>1591</v>
      </c>
      <c r="V36" t="s">
        <v>498</v>
      </c>
      <c r="W36" s="113" t="str">
        <f>HYPERLINK("mailto:"&amp; ckAwdTable[[#This Row],[email]]&amp;"&amp;subject=Your NSF Proposal:  "&amp;ckAwdTable[[#This Row],[prop_id]], ckAwdTable[[#This Row],[email]])</f>
        <v>periklis.research@gmail.com</v>
      </c>
      <c r="X36" s="30">
        <v>43252</v>
      </c>
      <c r="Y36">
        <v>60</v>
      </c>
      <c r="AA36" s="21" t="s">
        <v>13</v>
      </c>
      <c r="AB36" s="21" t="s">
        <v>382</v>
      </c>
      <c r="AC36"/>
      <c r="AD36" s="21" t="s">
        <v>13</v>
      </c>
      <c r="AE36" s="21" t="s">
        <v>2008</v>
      </c>
      <c r="AF36" s="13">
        <v>667571</v>
      </c>
      <c r="AG36" s="124">
        <v>0</v>
      </c>
      <c r="AH36" s="1">
        <v>667571</v>
      </c>
      <c r="AI36" s="1"/>
      <c r="AJ36" s="1">
        <v>25000</v>
      </c>
      <c r="AM36" s="21">
        <v>5</v>
      </c>
      <c r="AN36" s="21">
        <v>5</v>
      </c>
      <c r="AO36" s="21">
        <v>5</v>
      </c>
      <c r="AP36" s="21"/>
      <c r="AQ36" s="21"/>
      <c r="AR36" s="126" t="s">
        <v>172</v>
      </c>
      <c r="AS36" s="21" t="s">
        <v>493</v>
      </c>
      <c r="AT36" s="21" t="str">
        <f>IFERROR(IF(FIND("?",ckAwdTable[abst_narr_txt]),SummarizeQuestMarks(ckAwdTable[abst_narr_txt]),""),"")</f>
        <v/>
      </c>
      <c r="AU36" s="119"/>
      <c r="AV36" t="s">
        <v>1592</v>
      </c>
      <c r="AW36" t="b">
        <f>AND(ckAwdTable[[#This Row],[ILN]]&gt;"M", SUBSTITUTE(ckAwdTable[[#This Row],[prop_titl_txt]]," ","")&lt;&gt;SUBSTITUTE(AV35," ",""))</f>
        <v>0</v>
      </c>
      <c r="AX36" s="8" t="s">
        <v>1301</v>
      </c>
    </row>
    <row r="37" spans="2:50" x14ac:dyDescent="0.4">
      <c r="B37" s="30">
        <v>42935.68472222222</v>
      </c>
      <c r="C37" t="s">
        <v>1430</v>
      </c>
      <c r="D37" t="s">
        <v>477</v>
      </c>
      <c r="E37" t="s">
        <v>582</v>
      </c>
      <c r="F37" t="s">
        <v>611</v>
      </c>
      <c r="G37" s="8" t="s">
        <v>171</v>
      </c>
      <c r="H37" s="8" t="s">
        <v>169</v>
      </c>
      <c r="I37" s="8" t="s">
        <v>505</v>
      </c>
      <c r="J37" t="s">
        <v>94</v>
      </c>
      <c r="K37" t="s">
        <v>1431</v>
      </c>
      <c r="L37" s="22">
        <v>43082.66333333333</v>
      </c>
      <c r="M37" s="109">
        <f xml:space="preserve"> M36+(ckAwdTable[ILN]&lt;"M")</f>
        <v>36</v>
      </c>
      <c r="N37" t="s">
        <v>95</v>
      </c>
      <c r="O37" t="s">
        <v>1030</v>
      </c>
      <c r="P37" s="15" t="str">
        <f>HYPERLINK("https://www.ejacket.nsf.gov/ej/showProposal.do?ID="&amp;ckAwdTable[[#This Row],[prop_id]],"eJ")</f>
        <v>eJ</v>
      </c>
      <c r="Q37" s="8" t="s">
        <v>478</v>
      </c>
      <c r="R37" t="s">
        <v>1030</v>
      </c>
      <c r="S37" t="s">
        <v>1031</v>
      </c>
      <c r="T37" t="s">
        <v>1593</v>
      </c>
      <c r="U37" s="8" t="s">
        <v>1594</v>
      </c>
      <c r="V37" t="s">
        <v>496</v>
      </c>
      <c r="W37" s="113" t="str">
        <f>HYPERLINK("mailto:"&amp; ckAwdTable[[#This Row],[email]]&amp;"&amp;subject=Your NSF Proposal:  "&amp;ckAwdTable[[#This Row],[prop_id]], ckAwdTable[[#This Row],[email]])</f>
        <v>gkatz@drexel.edu</v>
      </c>
      <c r="X37" s="30">
        <v>43132</v>
      </c>
      <c r="Y37">
        <v>60</v>
      </c>
      <c r="AA37" s="21" t="s">
        <v>13</v>
      </c>
      <c r="AB37" s="21" t="s">
        <v>382</v>
      </c>
      <c r="AC37"/>
      <c r="AD37" s="21" t="s">
        <v>13</v>
      </c>
      <c r="AE37" s="21" t="s">
        <v>506</v>
      </c>
      <c r="AF37" s="13">
        <v>559983</v>
      </c>
      <c r="AG37" s="124">
        <v>0</v>
      </c>
      <c r="AH37" s="1">
        <v>559983</v>
      </c>
      <c r="AI37" s="1"/>
      <c r="AJ37" s="1">
        <v>10000</v>
      </c>
      <c r="AM37" s="21">
        <v>5</v>
      </c>
      <c r="AN37" s="21">
        <v>5</v>
      </c>
      <c r="AO37" s="21">
        <v>5</v>
      </c>
      <c r="AP37" s="21"/>
      <c r="AQ37" s="21"/>
      <c r="AR37" s="126" t="s">
        <v>172</v>
      </c>
      <c r="AS37" s="21" t="s">
        <v>493</v>
      </c>
      <c r="AT37" s="21" t="str">
        <f>IFERROR(IF(FIND("?",ckAwdTable[abst_narr_txt]),SummarizeQuestMarks(ckAwdTable[abst_narr_txt]),""),"")</f>
        <v/>
      </c>
      <c r="AU37" s="119"/>
      <c r="AV37" t="s">
        <v>1595</v>
      </c>
      <c r="AW37" t="b">
        <f>AND(ckAwdTable[[#This Row],[ILN]]&gt;"M", SUBSTITUTE(ckAwdTable[[#This Row],[prop_titl_txt]]," ","")&lt;&gt;SUBSTITUTE(AV36," ",""))</f>
        <v>0</v>
      </c>
      <c r="AX37" s="8" t="s">
        <v>1288</v>
      </c>
    </row>
    <row r="38" spans="2:50" x14ac:dyDescent="0.4">
      <c r="B38" s="30">
        <v>42935.69027777778</v>
      </c>
      <c r="C38" t="s">
        <v>1430</v>
      </c>
      <c r="D38" t="s">
        <v>477</v>
      </c>
      <c r="E38" t="s">
        <v>582</v>
      </c>
      <c r="F38" t="s">
        <v>604</v>
      </c>
      <c r="G38" s="8" t="s">
        <v>171</v>
      </c>
      <c r="H38" s="8" t="s">
        <v>169</v>
      </c>
      <c r="I38" s="8" t="s">
        <v>505</v>
      </c>
      <c r="J38" t="s">
        <v>94</v>
      </c>
      <c r="K38" t="s">
        <v>1431</v>
      </c>
      <c r="L38" s="22"/>
      <c r="M38" s="109">
        <f xml:space="preserve"> M37+(ckAwdTable[ILN]&lt;"M")</f>
        <v>37</v>
      </c>
      <c r="N38" t="s">
        <v>95</v>
      </c>
      <c r="O38" t="s">
        <v>1039</v>
      </c>
      <c r="P38" s="15" t="str">
        <f>HYPERLINK("https://www.ejacket.nsf.gov/ej/showProposal.do?ID="&amp;ckAwdTable[[#This Row],[prop_id]],"eJ")</f>
        <v>eJ</v>
      </c>
      <c r="Q38" s="8" t="s">
        <v>478</v>
      </c>
      <c r="R38" t="s">
        <v>1039</v>
      </c>
      <c r="S38" t="s">
        <v>1040</v>
      </c>
      <c r="T38" t="s">
        <v>1534</v>
      </c>
      <c r="U38" s="8" t="s">
        <v>550</v>
      </c>
      <c r="V38" t="s">
        <v>310</v>
      </c>
      <c r="W38" s="113" t="str">
        <f>HYPERLINK("mailto:"&amp; ckAwdTable[[#This Row],[email]]&amp;"&amp;subject=Your NSF Proposal:  "&amp;ckAwdTable[[#This Row],[prop_id]], ckAwdTable[[#This Row],[email]])</f>
        <v>evouga@cs.utexas.edu</v>
      </c>
      <c r="X38" s="30">
        <v>43344</v>
      </c>
      <c r="Y38">
        <v>60</v>
      </c>
      <c r="AA38" s="21" t="s">
        <v>13</v>
      </c>
      <c r="AB38" s="21" t="s">
        <v>382</v>
      </c>
      <c r="AC38"/>
      <c r="AD38" s="21" t="s">
        <v>13</v>
      </c>
      <c r="AE38" s="21" t="s">
        <v>506</v>
      </c>
      <c r="AF38" s="13">
        <v>523537</v>
      </c>
      <c r="AG38" s="124">
        <v>0</v>
      </c>
      <c r="AH38" s="1">
        <v>523537</v>
      </c>
      <c r="AI38" s="1"/>
      <c r="AJ38" s="1">
        <v>15000</v>
      </c>
      <c r="AM38" s="21">
        <v>7</v>
      </c>
      <c r="AN38" s="21">
        <v>5</v>
      </c>
      <c r="AO38" s="21">
        <v>2</v>
      </c>
      <c r="AP38" s="21"/>
      <c r="AQ38" s="21"/>
      <c r="AR38" s="126" t="s">
        <v>172</v>
      </c>
      <c r="AS38" s="21" t="s">
        <v>493</v>
      </c>
      <c r="AT38" s="21" t="str">
        <f>IFERROR(IF(FIND("?",ckAwdTable[abst_narr_txt]),SummarizeQuestMarks(ckAwdTable[abst_narr_txt]),""),"")</f>
        <v/>
      </c>
      <c r="AU38" s="119"/>
      <c r="AV38" t="s">
        <v>1596</v>
      </c>
      <c r="AW38" t="b">
        <f>AND(ckAwdTable[[#This Row],[ILN]]&gt;"M", SUBSTITUTE(ckAwdTable[[#This Row],[prop_titl_txt]]," ","")&lt;&gt;SUBSTITUTE(AV37," ",""))</f>
        <v>0</v>
      </c>
      <c r="AX38" s="8" t="s">
        <v>1597</v>
      </c>
    </row>
    <row r="39" spans="2:50" x14ac:dyDescent="0.4">
      <c r="B39" s="30">
        <v>42935.696527777778</v>
      </c>
      <c r="C39" t="s">
        <v>1430</v>
      </c>
      <c r="D39" t="s">
        <v>477</v>
      </c>
      <c r="E39" t="s">
        <v>582</v>
      </c>
      <c r="F39" t="s">
        <v>604</v>
      </c>
      <c r="G39" s="8" t="s">
        <v>171</v>
      </c>
      <c r="H39" s="8" t="s">
        <v>169</v>
      </c>
      <c r="I39" s="8" t="s">
        <v>505</v>
      </c>
      <c r="J39" t="s">
        <v>94</v>
      </c>
      <c r="K39" t="s">
        <v>1431</v>
      </c>
      <c r="L39" s="22"/>
      <c r="M39" s="109">
        <f xml:space="preserve"> M38+(ckAwdTable[ILN]&lt;"M")</f>
        <v>38</v>
      </c>
      <c r="N39" t="s">
        <v>95</v>
      </c>
      <c r="O39" t="s">
        <v>1048</v>
      </c>
      <c r="P39" s="15" t="str">
        <f>HYPERLINK("https://www.ejacket.nsf.gov/ej/showProposal.do?ID="&amp;ckAwdTable[[#This Row],[prop_id]],"eJ")</f>
        <v>eJ</v>
      </c>
      <c r="Q39" s="8" t="s">
        <v>478</v>
      </c>
      <c r="R39" t="s">
        <v>1048</v>
      </c>
      <c r="S39" t="s">
        <v>1049</v>
      </c>
      <c r="T39" t="s">
        <v>1599</v>
      </c>
      <c r="U39" s="8" t="s">
        <v>1600</v>
      </c>
      <c r="V39" t="s">
        <v>1598</v>
      </c>
      <c r="W39" s="113" t="str">
        <f>HYPERLINK("mailto:"&amp; ckAwdTable[[#This Row],[email]]&amp;"&amp;subject=Your NSF Proposal:  "&amp;ckAwdTable[[#This Row],[prop_id]], ckAwdTable[[#This Row],[email]])</f>
        <v>nayyeria@eecs.oregonstate.edu</v>
      </c>
      <c r="X39" s="30">
        <v>43344</v>
      </c>
      <c r="Y39">
        <v>60</v>
      </c>
      <c r="AA39" s="21" t="s">
        <v>13</v>
      </c>
      <c r="AB39" s="21" t="s">
        <v>382</v>
      </c>
      <c r="AC39"/>
      <c r="AD39" s="21" t="s">
        <v>13</v>
      </c>
      <c r="AE39" s="21" t="s">
        <v>506</v>
      </c>
      <c r="AF39" s="13">
        <v>607459</v>
      </c>
      <c r="AG39" s="124">
        <v>0</v>
      </c>
      <c r="AH39" s="1">
        <v>607459</v>
      </c>
      <c r="AI39" s="1"/>
      <c r="AJ39" s="1">
        <v>23133</v>
      </c>
      <c r="AL39" s="1">
        <v>5500</v>
      </c>
      <c r="AM39" s="21">
        <v>5</v>
      </c>
      <c r="AN39" s="21">
        <v>5</v>
      </c>
      <c r="AO39" s="21">
        <v>4.5</v>
      </c>
      <c r="AP39" s="21"/>
      <c r="AQ39" s="21"/>
      <c r="AR39" s="126" t="s">
        <v>172</v>
      </c>
      <c r="AS39" s="21" t="s">
        <v>493</v>
      </c>
      <c r="AT39" s="21" t="str">
        <f>IFERROR(IF(FIND("?",ckAwdTable[abst_narr_txt]),SummarizeQuestMarks(ckAwdTable[abst_narr_txt]),""),"")</f>
        <v/>
      </c>
      <c r="AU39" s="119"/>
      <c r="AV39" t="s">
        <v>1601</v>
      </c>
      <c r="AW39" t="b">
        <f>AND(ckAwdTable[[#This Row],[ILN]]&gt;"M", SUBSTITUTE(ckAwdTable[[#This Row],[prop_titl_txt]]," ","")&lt;&gt;SUBSTITUTE(AV38," ",""))</f>
        <v>0</v>
      </c>
      <c r="AX39" s="8" t="s">
        <v>1602</v>
      </c>
    </row>
    <row r="40" spans="2:50" x14ac:dyDescent="0.4">
      <c r="B40" s="30">
        <v>42935.70416666667</v>
      </c>
      <c r="C40" t="s">
        <v>1430</v>
      </c>
      <c r="D40" t="s">
        <v>477</v>
      </c>
      <c r="E40" t="s">
        <v>582</v>
      </c>
      <c r="F40" t="s">
        <v>654</v>
      </c>
      <c r="G40" s="8" t="s">
        <v>171</v>
      </c>
      <c r="H40" s="8" t="s">
        <v>169</v>
      </c>
      <c r="I40" s="8" t="s">
        <v>505</v>
      </c>
      <c r="J40" t="s">
        <v>94</v>
      </c>
      <c r="K40" t="s">
        <v>1431</v>
      </c>
      <c r="L40" s="22"/>
      <c r="M40" s="109">
        <f xml:space="preserve"> M39+(ckAwdTable[ILN]&lt;"M")</f>
        <v>39</v>
      </c>
      <c r="N40" t="s">
        <v>95</v>
      </c>
      <c r="O40" t="s">
        <v>1056</v>
      </c>
      <c r="P40" s="15" t="str">
        <f>HYPERLINK("https://www.ejacket.nsf.gov/ej/showProposal.do?ID="&amp;ckAwdTable[[#This Row],[prop_id]],"eJ")</f>
        <v>eJ</v>
      </c>
      <c r="Q40" s="8" t="s">
        <v>478</v>
      </c>
      <c r="R40" t="s">
        <v>1056</v>
      </c>
      <c r="S40" t="s">
        <v>1057</v>
      </c>
      <c r="T40" t="s">
        <v>1604</v>
      </c>
      <c r="U40" s="8" t="s">
        <v>1605</v>
      </c>
      <c r="V40" t="s">
        <v>111</v>
      </c>
      <c r="W40" s="113" t="str">
        <f>HYPERLINK("mailto:"&amp; ckAwdTable[[#This Row],[email]]&amp;"&amp;subject=Your NSF Proposal:  "&amp;ckAwdTable[[#This Row],[prop_id]], ckAwdTable[[#This Row],[email]])</f>
        <v>maxwelly@outlook.com</v>
      </c>
      <c r="X40" s="30">
        <v>43344</v>
      </c>
      <c r="Y40">
        <v>60</v>
      </c>
      <c r="AA40" s="21" t="s">
        <v>13</v>
      </c>
      <c r="AB40" s="21" t="s">
        <v>382</v>
      </c>
      <c r="AC40"/>
      <c r="AD40" s="21" t="s">
        <v>13</v>
      </c>
      <c r="AE40" s="21" t="s">
        <v>506</v>
      </c>
      <c r="AF40" s="13">
        <v>400000</v>
      </c>
      <c r="AG40" s="124">
        <v>0</v>
      </c>
      <c r="AH40" s="1">
        <v>400000</v>
      </c>
      <c r="AI40" s="1"/>
      <c r="AJ40" s="1">
        <v>15000</v>
      </c>
      <c r="AM40" s="21">
        <v>5</v>
      </c>
      <c r="AN40" s="21">
        <v>5</v>
      </c>
      <c r="AO40" s="21">
        <v>2.5</v>
      </c>
      <c r="AP40" s="21"/>
      <c r="AQ40" s="21"/>
      <c r="AR40" s="126" t="s">
        <v>172</v>
      </c>
      <c r="AS40" s="21" t="s">
        <v>493</v>
      </c>
      <c r="AT40" s="21" t="str">
        <f>IFERROR(IF(FIND("?",ckAwdTable[abst_narr_txt]),SummarizeQuestMarks(ckAwdTable[abst_narr_txt]),""),"")</f>
        <v/>
      </c>
      <c r="AU40" s="119"/>
      <c r="AV40" t="s">
        <v>1607</v>
      </c>
      <c r="AW40" t="b">
        <f>AND(ckAwdTable[[#This Row],[ILN]]&gt;"M", SUBSTITUTE(ckAwdTable[[#This Row],[prop_titl_txt]]," ","")&lt;&gt;SUBSTITUTE(AV39," ",""))</f>
        <v>0</v>
      </c>
      <c r="AX40" s="8" t="s">
        <v>1608</v>
      </c>
    </row>
    <row r="41" spans="2:50" x14ac:dyDescent="0.4">
      <c r="B41" s="30">
        <v>42935.717361111114</v>
      </c>
      <c r="C41" t="s">
        <v>1430</v>
      </c>
      <c r="D41" t="s">
        <v>477</v>
      </c>
      <c r="E41" t="s">
        <v>582</v>
      </c>
      <c r="F41" t="s">
        <v>611</v>
      </c>
      <c r="G41" s="8" t="s">
        <v>171</v>
      </c>
      <c r="H41" s="8" t="s">
        <v>169</v>
      </c>
      <c r="I41" s="8" t="s">
        <v>505</v>
      </c>
      <c r="J41" t="s">
        <v>94</v>
      </c>
      <c r="K41" t="s">
        <v>1431</v>
      </c>
      <c r="L41" s="22">
        <v>43082.663402777776</v>
      </c>
      <c r="M41" s="109">
        <f xml:space="preserve"> M40+(ckAwdTable[ILN]&lt;"M")</f>
        <v>40</v>
      </c>
      <c r="N41" t="s">
        <v>95</v>
      </c>
      <c r="O41" t="s">
        <v>1064</v>
      </c>
      <c r="P41" s="15" t="str">
        <f>HYPERLINK("https://www.ejacket.nsf.gov/ej/showProposal.do?ID="&amp;ckAwdTable[[#This Row],[prop_id]],"eJ")</f>
        <v>eJ</v>
      </c>
      <c r="Q41" s="8" t="s">
        <v>478</v>
      </c>
      <c r="R41" t="s">
        <v>1064</v>
      </c>
      <c r="S41" t="s">
        <v>1065</v>
      </c>
      <c r="T41" t="s">
        <v>1609</v>
      </c>
      <c r="U41" s="8" t="s">
        <v>556</v>
      </c>
      <c r="V41" t="s">
        <v>555</v>
      </c>
      <c r="W41" s="113" t="str">
        <f>HYPERLINK("mailto:"&amp; ckAwdTable[[#This Row],[email]]&amp;"&amp;subject=Your NSF Proposal:  "&amp;ckAwdTable[[#This Row],[prop_id]], ckAwdTable[[#This Row],[email]])</f>
        <v>bhaskara@cs.utah.edu</v>
      </c>
      <c r="X41" s="30">
        <v>43313</v>
      </c>
      <c r="Y41">
        <v>60</v>
      </c>
      <c r="AA41" s="21" t="s">
        <v>13</v>
      </c>
      <c r="AB41" s="21" t="s">
        <v>382</v>
      </c>
      <c r="AC41"/>
      <c r="AD41" s="21" t="s">
        <v>13</v>
      </c>
      <c r="AE41" s="21" t="s">
        <v>506</v>
      </c>
      <c r="AF41" s="13">
        <v>536841</v>
      </c>
      <c r="AG41" s="124">
        <v>0</v>
      </c>
      <c r="AH41" s="1">
        <v>536841</v>
      </c>
      <c r="AI41" s="1"/>
      <c r="AJ41" s="1">
        <v>27500</v>
      </c>
      <c r="AL41" s="1">
        <v>20000</v>
      </c>
      <c r="AM41" s="21">
        <v>5</v>
      </c>
      <c r="AN41" s="21">
        <v>5</v>
      </c>
      <c r="AO41" s="21">
        <v>5</v>
      </c>
      <c r="AP41" s="21"/>
      <c r="AQ41" s="21"/>
      <c r="AR41" s="126" t="s">
        <v>172</v>
      </c>
      <c r="AS41" s="21" t="s">
        <v>493</v>
      </c>
      <c r="AT41" s="21" t="str">
        <f>IFERROR(IF(FIND("?",ckAwdTable[abst_narr_txt]),SummarizeQuestMarks(ckAwdTable[abst_narr_txt]),""),"")</f>
        <v/>
      </c>
      <c r="AU41" s="119"/>
      <c r="AV41" t="s">
        <v>1610</v>
      </c>
      <c r="AW41" t="b">
        <f>AND(ckAwdTable[[#This Row],[ILN]]&gt;"M", SUBSTITUTE(ckAwdTable[[#This Row],[prop_titl_txt]]," ","")&lt;&gt;SUBSTITUTE(AV40," ",""))</f>
        <v>0</v>
      </c>
      <c r="AX41" s="8" t="s">
        <v>1611</v>
      </c>
    </row>
    <row r="42" spans="2:50" x14ac:dyDescent="0.4">
      <c r="B42" s="30">
        <v>42935.723611111112</v>
      </c>
      <c r="C42" t="s">
        <v>1430</v>
      </c>
      <c r="D42" t="s">
        <v>477</v>
      </c>
      <c r="E42" t="s">
        <v>582</v>
      </c>
      <c r="F42" t="s">
        <v>611</v>
      </c>
      <c r="G42" s="8" t="s">
        <v>171</v>
      </c>
      <c r="H42" s="8" t="s">
        <v>169</v>
      </c>
      <c r="I42" s="8" t="s">
        <v>505</v>
      </c>
      <c r="J42" t="s">
        <v>94</v>
      </c>
      <c r="K42" t="s">
        <v>1431</v>
      </c>
      <c r="L42" s="22"/>
      <c r="M42" s="109">
        <f xml:space="preserve"> M41+(ckAwdTable[ILN]&lt;"M")</f>
        <v>41</v>
      </c>
      <c r="N42" t="s">
        <v>95</v>
      </c>
      <c r="O42" t="s">
        <v>1073</v>
      </c>
      <c r="P42" s="15" t="str">
        <f>HYPERLINK("https://www.ejacket.nsf.gov/ej/showProposal.do?ID="&amp;ckAwdTable[[#This Row],[prop_id]],"eJ")</f>
        <v>eJ</v>
      </c>
      <c r="Q42" s="8" t="s">
        <v>478</v>
      </c>
      <c r="R42" t="s">
        <v>1073</v>
      </c>
      <c r="S42" t="s">
        <v>1074</v>
      </c>
      <c r="T42" t="s">
        <v>1613</v>
      </c>
      <c r="U42" s="8" t="s">
        <v>1614</v>
      </c>
      <c r="V42" t="s">
        <v>492</v>
      </c>
      <c r="W42" s="113" t="str">
        <f>HYPERLINK("mailto:"&amp; ckAwdTable[[#This Row],[email]]&amp;"&amp;subject=Your NSF Proposal:  "&amp;ckAwdTable[[#This Row],[prop_id]], ckAwdTable[[#This Row],[email]])</f>
        <v>brittany@cs.montana.edu</v>
      </c>
      <c r="X42" s="30">
        <v>43344</v>
      </c>
      <c r="Y42">
        <v>60</v>
      </c>
      <c r="Z42" t="s">
        <v>2009</v>
      </c>
      <c r="AA42" s="21" t="s">
        <v>13</v>
      </c>
      <c r="AB42" s="21" t="s">
        <v>382</v>
      </c>
      <c r="AC42"/>
      <c r="AD42" s="21" t="s">
        <v>13</v>
      </c>
      <c r="AE42" s="21" t="s">
        <v>574</v>
      </c>
      <c r="AF42" s="13">
        <v>552355</v>
      </c>
      <c r="AG42" s="124">
        <v>0</v>
      </c>
      <c r="AH42" s="1">
        <v>552355</v>
      </c>
      <c r="AI42" s="1"/>
      <c r="AJ42" s="1">
        <v>13000</v>
      </c>
      <c r="AM42" s="21">
        <v>12</v>
      </c>
      <c r="AN42" s="21">
        <v>5</v>
      </c>
      <c r="AO42" s="21">
        <v>5</v>
      </c>
      <c r="AP42" s="21"/>
      <c r="AQ42" s="21"/>
      <c r="AR42" s="126" t="s">
        <v>172</v>
      </c>
      <c r="AS42" s="21" t="s">
        <v>493</v>
      </c>
      <c r="AT42" s="21" t="str">
        <f>IFERROR(IF(FIND("?",ckAwdTable[abst_narr_txt]),SummarizeQuestMarks(ckAwdTable[abst_narr_txt]),""),"")</f>
        <v/>
      </c>
      <c r="AU42" s="119"/>
      <c r="AV42" t="s">
        <v>1615</v>
      </c>
      <c r="AW42" t="b">
        <f>AND(ckAwdTable[[#This Row],[ILN]]&gt;"M", SUBSTITUTE(ckAwdTable[[#This Row],[prop_titl_txt]]," ","")&lt;&gt;SUBSTITUTE(AV41," ",""))</f>
        <v>0</v>
      </c>
      <c r="AX42" s="8" t="s">
        <v>1616</v>
      </c>
    </row>
    <row r="43" spans="2:50" x14ac:dyDescent="0.4">
      <c r="B43" s="30">
        <v>42935.851388888892</v>
      </c>
      <c r="C43" t="s">
        <v>1430</v>
      </c>
      <c r="D43" t="s">
        <v>477</v>
      </c>
      <c r="E43" t="s">
        <v>582</v>
      </c>
      <c r="F43" t="s">
        <v>654</v>
      </c>
      <c r="G43" s="8" t="s">
        <v>171</v>
      </c>
      <c r="H43" s="8" t="s">
        <v>169</v>
      </c>
      <c r="I43" s="8" t="s">
        <v>505</v>
      </c>
      <c r="J43" t="s">
        <v>94</v>
      </c>
      <c r="K43" t="s">
        <v>1431</v>
      </c>
      <c r="L43" s="22">
        <v>43082.669027777774</v>
      </c>
      <c r="M43" s="109">
        <f xml:space="preserve"> M42+(ckAwdTable[ILN]&lt;"M")</f>
        <v>42</v>
      </c>
      <c r="N43" t="s">
        <v>95</v>
      </c>
      <c r="O43" t="s">
        <v>1082</v>
      </c>
      <c r="P43" s="15" t="str">
        <f>HYPERLINK("https://www.ejacket.nsf.gov/ej/showProposal.do?ID="&amp;ckAwdTable[[#This Row],[prop_id]],"eJ")</f>
        <v>eJ</v>
      </c>
      <c r="Q43" s="8" t="s">
        <v>478</v>
      </c>
      <c r="R43" t="s">
        <v>1082</v>
      </c>
      <c r="S43" t="s">
        <v>1083</v>
      </c>
      <c r="T43" t="s">
        <v>1617</v>
      </c>
      <c r="U43" s="8" t="s">
        <v>1618</v>
      </c>
      <c r="V43" t="s">
        <v>100</v>
      </c>
      <c r="W43" s="113" t="str">
        <f>HYPERLINK("mailto:"&amp; ckAwdTable[[#This Row],[email]]&amp;"&amp;subject=Your NSF Proposal:  "&amp;ckAwdTable[[#This Row],[prop_id]], ckAwdTable[[#This Row],[email]])</f>
        <v>nodari@hawaii.edu</v>
      </c>
      <c r="X43" s="30">
        <v>43160</v>
      </c>
      <c r="Y43">
        <v>60</v>
      </c>
      <c r="AA43" s="21" t="s">
        <v>13</v>
      </c>
      <c r="AB43" s="21" t="s">
        <v>382</v>
      </c>
      <c r="AC43"/>
      <c r="AD43" s="21" t="s">
        <v>13</v>
      </c>
      <c r="AE43" s="21" t="s">
        <v>506</v>
      </c>
      <c r="AF43" s="13">
        <v>549999</v>
      </c>
      <c r="AG43" s="124">
        <v>0</v>
      </c>
      <c r="AH43" s="1">
        <v>549999</v>
      </c>
      <c r="AI43" s="1"/>
      <c r="AJ43" s="1">
        <v>20000</v>
      </c>
      <c r="AM43" s="21">
        <v>5</v>
      </c>
      <c r="AN43" s="21">
        <v>5</v>
      </c>
      <c r="AO43" s="21">
        <v>5</v>
      </c>
      <c r="AP43" s="21">
        <v>4.5199999999999996</v>
      </c>
      <c r="AQ43" s="21"/>
      <c r="AR43" s="126" t="s">
        <v>172</v>
      </c>
      <c r="AS43" s="21" t="s">
        <v>493</v>
      </c>
      <c r="AT43" s="21" t="str">
        <f>IFERROR(IF(FIND("?",ckAwdTable[abst_narr_txt]),SummarizeQuestMarks(ckAwdTable[abst_narr_txt]),""),"")</f>
        <v/>
      </c>
      <c r="AU43" s="119"/>
      <c r="AV43" t="s">
        <v>1619</v>
      </c>
      <c r="AW43" t="b">
        <f>AND(ckAwdTable[[#This Row],[ILN]]&gt;"M", SUBSTITUTE(ckAwdTable[[#This Row],[prop_titl_txt]]," ","")&lt;&gt;SUBSTITUTE(AV42," ",""))</f>
        <v>0</v>
      </c>
      <c r="AX43" s="8" t="s">
        <v>1620</v>
      </c>
    </row>
    <row r="44" spans="2:50" x14ac:dyDescent="0.4">
      <c r="B44" s="30">
        <v>42950.663888888892</v>
      </c>
      <c r="C44" t="s">
        <v>1621</v>
      </c>
      <c r="D44" t="s">
        <v>1622</v>
      </c>
      <c r="E44" t="s">
        <v>580</v>
      </c>
      <c r="F44" t="s">
        <v>1093</v>
      </c>
      <c r="G44" s="8" t="s">
        <v>171</v>
      </c>
      <c r="H44" s="8" t="s">
        <v>169</v>
      </c>
      <c r="I44" s="8" t="s">
        <v>505</v>
      </c>
      <c r="J44" t="s">
        <v>94</v>
      </c>
      <c r="K44" t="s">
        <v>1623</v>
      </c>
      <c r="L44" s="22"/>
      <c r="M44" s="109">
        <f xml:space="preserve"> M43+(ckAwdTable[ILN]&lt;"M")</f>
        <v>43</v>
      </c>
      <c r="N44" t="s">
        <v>95</v>
      </c>
      <c r="O44" t="s">
        <v>1091</v>
      </c>
      <c r="P44" s="15" t="str">
        <f>HYPERLINK("https://www.ejacket.nsf.gov/ej/showProposal.do?ID="&amp;ckAwdTable[[#This Row],[prop_id]],"eJ")</f>
        <v>eJ</v>
      </c>
      <c r="Q44" s="8" t="s">
        <v>1625</v>
      </c>
      <c r="R44" t="s">
        <v>1091</v>
      </c>
      <c r="S44" t="s">
        <v>1092</v>
      </c>
      <c r="T44" t="s">
        <v>1626</v>
      </c>
      <c r="U44" s="8" t="s">
        <v>552</v>
      </c>
      <c r="V44" t="s">
        <v>498</v>
      </c>
      <c r="W44" s="113" t="str">
        <f>HYPERLINK("mailto:"&amp; ckAwdTable[[#This Row],[email]]&amp;"&amp;subject=Your NSF Proposal:  "&amp;ckAwdTable[[#This Row],[prop_id]], ckAwdTable[[#This Row],[email]])</f>
        <v>ani.majumdar@princeton.edu</v>
      </c>
      <c r="X44" s="30">
        <v>42979</v>
      </c>
      <c r="Y44">
        <v>24</v>
      </c>
      <c r="AA44" s="21" t="s">
        <v>13</v>
      </c>
      <c r="AB44" s="21" t="s">
        <v>382</v>
      </c>
      <c r="AC44"/>
      <c r="AD44" s="21" t="s">
        <v>13</v>
      </c>
      <c r="AF44" s="13">
        <v>175000</v>
      </c>
      <c r="AG44" s="124">
        <v>0</v>
      </c>
      <c r="AH44" s="1">
        <v>175000</v>
      </c>
      <c r="AI44" s="1"/>
      <c r="AJ44" s="1"/>
      <c r="AM44" s="21">
        <v>2</v>
      </c>
      <c r="AN44" s="21"/>
      <c r="AO44" s="21"/>
      <c r="AP44" s="21"/>
      <c r="AQ44" s="21"/>
      <c r="AR44" s="126" t="s">
        <v>172</v>
      </c>
      <c r="AS44" s="21" t="s">
        <v>493</v>
      </c>
      <c r="AT44" s="21" t="str">
        <f>IFERROR(IF(FIND("?",ckAwdTable[abst_narr_txt]),SummarizeQuestMarks(ckAwdTable[abst_narr_txt]),""),"")</f>
        <v/>
      </c>
      <c r="AU44" s="119"/>
      <c r="AV44" t="s">
        <v>1628</v>
      </c>
      <c r="AW44" t="b">
        <f>AND(ckAwdTable[[#This Row],[ILN]]&gt;"M", SUBSTITUTE(ckAwdTable[[#This Row],[prop_titl_txt]]," ","")&lt;&gt;SUBSTITUTE(AV43," ",""))</f>
        <v>0</v>
      </c>
      <c r="AX44" s="8" t="s">
        <v>1629</v>
      </c>
    </row>
    <row r="45" spans="2:50" x14ac:dyDescent="0.4">
      <c r="B45" s="30">
        <v>42954.456944444442</v>
      </c>
      <c r="C45" t="s">
        <v>1621</v>
      </c>
      <c r="D45" t="s">
        <v>477</v>
      </c>
      <c r="E45" t="s">
        <v>578</v>
      </c>
      <c r="F45" t="s">
        <v>611</v>
      </c>
      <c r="G45" s="8" t="s">
        <v>171</v>
      </c>
      <c r="H45" s="8" t="s">
        <v>169</v>
      </c>
      <c r="I45" s="8" t="s">
        <v>505</v>
      </c>
      <c r="J45" t="s">
        <v>94</v>
      </c>
      <c r="K45" t="s">
        <v>1630</v>
      </c>
      <c r="L45" s="22">
        <v>43082.662870370368</v>
      </c>
      <c r="M45" s="109">
        <f xml:space="preserve"> M44+(ckAwdTable[ILN]&lt;"M")</f>
        <v>44</v>
      </c>
      <c r="N45" t="s">
        <v>95</v>
      </c>
      <c r="O45" t="s">
        <v>1118</v>
      </c>
      <c r="P45" s="15" t="str">
        <f>HYPERLINK("https://www.ejacket.nsf.gov/ej/showProposal.do?ID="&amp;ckAwdTable[[#This Row],[prop_id]],"eJ")</f>
        <v>eJ</v>
      </c>
      <c r="Q45" s="8" t="s">
        <v>478</v>
      </c>
      <c r="R45" t="s">
        <v>1118</v>
      </c>
      <c r="S45" t="s">
        <v>1119</v>
      </c>
      <c r="T45" t="s">
        <v>1633</v>
      </c>
      <c r="U45" s="8" t="s">
        <v>1634</v>
      </c>
      <c r="V45" t="s">
        <v>1632</v>
      </c>
      <c r="W45" s="113" t="str">
        <f>HYPERLINK("mailto:"&amp; ckAwdTable[[#This Row],[email]]&amp;"&amp;subject=Your NSF Proposal:  "&amp;ckAwdTable[[#This Row],[prop_id]], ckAwdTable[[#This Row],[email]])</f>
        <v>wtong@georgiasouthern.edu</v>
      </c>
      <c r="X45" s="30">
        <v>43235</v>
      </c>
      <c r="Y45">
        <v>24</v>
      </c>
      <c r="AA45" s="21" t="s">
        <v>13</v>
      </c>
      <c r="AB45" s="21" t="s">
        <v>382</v>
      </c>
      <c r="AC45"/>
      <c r="AD45" s="21" t="s">
        <v>13</v>
      </c>
      <c r="AE45" s="21" t="s">
        <v>2010</v>
      </c>
      <c r="AF45" s="13">
        <v>162689</v>
      </c>
      <c r="AG45" s="124">
        <v>0</v>
      </c>
      <c r="AH45" s="1">
        <v>162689</v>
      </c>
      <c r="AI45" s="1"/>
      <c r="AJ45" s="1">
        <v>8120</v>
      </c>
      <c r="AM45" s="21">
        <v>4</v>
      </c>
      <c r="AN45" s="21"/>
      <c r="AO45" s="21"/>
      <c r="AP45" s="21"/>
      <c r="AQ45" s="21"/>
      <c r="AR45" s="126" t="s">
        <v>172</v>
      </c>
      <c r="AS45" s="21" t="s">
        <v>493</v>
      </c>
      <c r="AT45" s="21" t="str">
        <f>IFERROR(IF(FIND("?",ckAwdTable[abst_narr_txt]),SummarizeQuestMarks(ckAwdTable[abst_narr_txt]),""),"")</f>
        <v/>
      </c>
      <c r="AU45" s="119"/>
      <c r="AV45" t="s">
        <v>1636</v>
      </c>
      <c r="AW45" t="b">
        <f>AND(ckAwdTable[[#This Row],[ILN]]&gt;"M", SUBSTITUTE(ckAwdTable[[#This Row],[prop_titl_txt]]," ","")&lt;&gt;SUBSTITUTE(AV44," ",""))</f>
        <v>0</v>
      </c>
      <c r="AX45" s="8" t="s">
        <v>1637</v>
      </c>
    </row>
    <row r="46" spans="2:50" x14ac:dyDescent="0.4">
      <c r="B46" s="30">
        <v>42954.500694444447</v>
      </c>
      <c r="C46" t="s">
        <v>1621</v>
      </c>
      <c r="D46" t="s">
        <v>477</v>
      </c>
      <c r="E46" t="s">
        <v>578</v>
      </c>
      <c r="F46" t="s">
        <v>654</v>
      </c>
      <c r="G46" s="8" t="s">
        <v>171</v>
      </c>
      <c r="H46" s="8" t="s">
        <v>169</v>
      </c>
      <c r="I46" s="8" t="s">
        <v>505</v>
      </c>
      <c r="J46" t="s">
        <v>94</v>
      </c>
      <c r="K46" t="s">
        <v>1630</v>
      </c>
      <c r="L46" s="22">
        <v>43082.669131944444</v>
      </c>
      <c r="M46" s="109">
        <f xml:space="preserve"> M45+(ckAwdTable[ILN]&lt;"M")</f>
        <v>45</v>
      </c>
      <c r="N46" t="s">
        <v>95</v>
      </c>
      <c r="O46" t="s">
        <v>1126</v>
      </c>
      <c r="P46" s="15" t="str">
        <f>HYPERLINK("https://www.ejacket.nsf.gov/ej/showProposal.do?ID="&amp;ckAwdTable[[#This Row],[prop_id]],"eJ")</f>
        <v>eJ</v>
      </c>
      <c r="Q46" s="8" t="s">
        <v>478</v>
      </c>
      <c r="R46" t="s">
        <v>1126</v>
      </c>
      <c r="S46" t="s">
        <v>631</v>
      </c>
      <c r="T46" t="s">
        <v>1638</v>
      </c>
      <c r="U46" s="8" t="s">
        <v>1634</v>
      </c>
      <c r="V46" t="s">
        <v>1632</v>
      </c>
      <c r="W46" s="113" t="str">
        <f>HYPERLINK("mailto:"&amp; ckAwdTable[[#This Row],[email]]&amp;"&amp;subject=Your NSF Proposal:  "&amp;ckAwdTable[[#This Row],[prop_id]], ckAwdTable[[#This Row],[email]])</f>
        <v>kwang@georgiasouthern.edu</v>
      </c>
      <c r="X46" s="30">
        <v>43101</v>
      </c>
      <c r="Y46">
        <v>24</v>
      </c>
      <c r="AA46" s="21" t="s">
        <v>13</v>
      </c>
      <c r="AB46" s="21" t="s">
        <v>382</v>
      </c>
      <c r="AC46"/>
      <c r="AD46" s="21" t="s">
        <v>13</v>
      </c>
      <c r="AF46" s="13">
        <v>168126</v>
      </c>
      <c r="AG46" s="124">
        <v>0</v>
      </c>
      <c r="AH46" s="1">
        <v>168126</v>
      </c>
      <c r="AI46" s="1"/>
      <c r="AJ46" s="1"/>
      <c r="AM46" s="21">
        <v>4</v>
      </c>
      <c r="AN46" s="21"/>
      <c r="AO46" s="21"/>
      <c r="AP46" s="21"/>
      <c r="AQ46" s="21"/>
      <c r="AR46" s="126" t="s">
        <v>172</v>
      </c>
      <c r="AS46" s="21" t="s">
        <v>493</v>
      </c>
      <c r="AT46" s="21" t="str">
        <f>IFERROR(IF(FIND("?",ckAwdTable[abst_narr_txt]),SummarizeQuestMarks(ckAwdTable[abst_narr_txt]),""),"")</f>
        <v/>
      </c>
      <c r="AU46" s="119"/>
      <c r="AV46" t="s">
        <v>1640</v>
      </c>
      <c r="AW46" t="b">
        <f>AND(ckAwdTable[[#This Row],[ILN]]&gt;"M", SUBSTITUTE(ckAwdTable[[#This Row],[prop_titl_txt]]," ","")&lt;&gt;SUBSTITUTE(AV45," ",""))</f>
        <v>0</v>
      </c>
      <c r="AX46" s="8" t="s">
        <v>1641</v>
      </c>
    </row>
    <row r="47" spans="2:50" x14ac:dyDescent="0.4">
      <c r="B47" s="30">
        <v>42955.429861111108</v>
      </c>
      <c r="C47" t="s">
        <v>1621</v>
      </c>
      <c r="D47" t="s">
        <v>477</v>
      </c>
      <c r="E47" t="s">
        <v>578</v>
      </c>
      <c r="F47" t="s">
        <v>654</v>
      </c>
      <c r="G47" s="8" t="s">
        <v>171</v>
      </c>
      <c r="H47" s="8" t="s">
        <v>169</v>
      </c>
      <c r="I47" s="8" t="s">
        <v>505</v>
      </c>
      <c r="J47" t="s">
        <v>94</v>
      </c>
      <c r="K47" t="s">
        <v>1630</v>
      </c>
      <c r="L47" s="22"/>
      <c r="M47" s="109">
        <f xml:space="preserve"> M46+(ckAwdTable[ILN]&lt;"M")</f>
        <v>46</v>
      </c>
      <c r="N47" t="s">
        <v>95</v>
      </c>
      <c r="O47" t="s">
        <v>1133</v>
      </c>
      <c r="P47" s="15" t="str">
        <f>HYPERLINK("https://www.ejacket.nsf.gov/ej/showProposal.do?ID="&amp;ckAwdTable[[#This Row],[prop_id]],"eJ")</f>
        <v>eJ</v>
      </c>
      <c r="Q47" s="8" t="s">
        <v>478</v>
      </c>
      <c r="R47" t="s">
        <v>1133</v>
      </c>
      <c r="S47" t="s">
        <v>1134</v>
      </c>
      <c r="T47" t="s">
        <v>1642</v>
      </c>
      <c r="U47" s="8" t="s">
        <v>566</v>
      </c>
      <c r="V47" t="s">
        <v>494</v>
      </c>
      <c r="W47" s="113" t="str">
        <f>HYPERLINK("mailto:"&amp; ckAwdTable[[#This Row],[email]]&amp;"&amp;subject=Your NSF Proposal:  "&amp;ckAwdTable[[#This Row],[prop_id]], ckAwdTable[[#This Row],[email]])</f>
        <v>yzhoucs@indiana.edu</v>
      </c>
      <c r="X47" s="30">
        <v>43101</v>
      </c>
      <c r="Y47">
        <v>24</v>
      </c>
      <c r="AA47" s="21" t="s">
        <v>13</v>
      </c>
      <c r="AB47" s="21" t="s">
        <v>382</v>
      </c>
      <c r="AC47"/>
      <c r="AD47" s="21" t="s">
        <v>13</v>
      </c>
      <c r="AE47" s="21" t="s">
        <v>506</v>
      </c>
      <c r="AF47" s="13">
        <v>174974</v>
      </c>
      <c r="AG47" s="124">
        <v>0</v>
      </c>
      <c r="AH47" s="1">
        <v>174974</v>
      </c>
      <c r="AI47" s="1"/>
      <c r="AJ47" s="1">
        <v>8400</v>
      </c>
      <c r="AM47" s="21">
        <v>3</v>
      </c>
      <c r="AN47" s="21"/>
      <c r="AO47" s="21"/>
      <c r="AP47" s="21"/>
      <c r="AQ47" s="21"/>
      <c r="AR47" s="126" t="s">
        <v>172</v>
      </c>
      <c r="AS47" s="21" t="s">
        <v>493</v>
      </c>
      <c r="AT47" s="21" t="str">
        <f>IFERROR(IF(FIND("?",ckAwdTable[abst_narr_txt]),SummarizeQuestMarks(ckAwdTable[abst_narr_txt]),""),"")</f>
        <v/>
      </c>
      <c r="AU47" s="119"/>
      <c r="AV47" t="s">
        <v>1644</v>
      </c>
      <c r="AW47" t="b">
        <f>AND(ckAwdTable[[#This Row],[ILN]]&gt;"M", SUBSTITUTE(ckAwdTable[[#This Row],[prop_titl_txt]]," ","")&lt;&gt;SUBSTITUTE(AV46," ",""))</f>
        <v>0</v>
      </c>
      <c r="AX47" s="8" t="s">
        <v>1645</v>
      </c>
    </row>
    <row r="48" spans="2:50" x14ac:dyDescent="0.4">
      <c r="B48" s="30">
        <v>42955.700694444444</v>
      </c>
      <c r="C48" t="s">
        <v>1621</v>
      </c>
      <c r="D48" t="s">
        <v>477</v>
      </c>
      <c r="E48" t="s">
        <v>578</v>
      </c>
      <c r="F48" t="s">
        <v>611</v>
      </c>
      <c r="G48" s="8" t="s">
        <v>171</v>
      </c>
      <c r="H48" s="8" t="s">
        <v>169</v>
      </c>
      <c r="I48" s="8" t="s">
        <v>505</v>
      </c>
      <c r="J48" t="s">
        <v>94</v>
      </c>
      <c r="K48" t="s">
        <v>1630</v>
      </c>
      <c r="L48" s="22"/>
      <c r="M48" s="109">
        <f xml:space="preserve"> M47+(ckAwdTable[ILN]&lt;"M")</f>
        <v>47</v>
      </c>
      <c r="N48" t="s">
        <v>95</v>
      </c>
      <c r="O48" t="s">
        <v>1141</v>
      </c>
      <c r="P48" s="15" t="str">
        <f>HYPERLINK("https://www.ejacket.nsf.gov/ej/showProposal.do?ID="&amp;ckAwdTable[[#This Row],[prop_id]],"eJ")</f>
        <v>eJ</v>
      </c>
      <c r="Q48" s="8" t="s">
        <v>478</v>
      </c>
      <c r="R48" t="s">
        <v>1141</v>
      </c>
      <c r="S48" t="s">
        <v>965</v>
      </c>
      <c r="T48" t="s">
        <v>1647</v>
      </c>
      <c r="U48" s="8" t="s">
        <v>1477</v>
      </c>
      <c r="V48" t="s">
        <v>306</v>
      </c>
      <c r="W48" s="113" t="str">
        <f>HYPERLINK("mailto:"&amp; ckAwdTable[[#This Row],[email]]&amp;"&amp;subject=Your NSF Proposal:  "&amp;ckAwdTable[[#This Row],[prop_id]], ckAwdTable[[#This Row],[email]])</f>
        <v>jugal@illinois.edu</v>
      </c>
      <c r="X48" s="30">
        <v>43146</v>
      </c>
      <c r="Y48">
        <v>24</v>
      </c>
      <c r="AA48" s="21" t="s">
        <v>13</v>
      </c>
      <c r="AB48" s="21" t="s">
        <v>382</v>
      </c>
      <c r="AC48"/>
      <c r="AD48" s="21" t="s">
        <v>13</v>
      </c>
      <c r="AE48" s="21" t="s">
        <v>506</v>
      </c>
      <c r="AF48" s="13">
        <v>175000</v>
      </c>
      <c r="AG48" s="124">
        <v>0</v>
      </c>
      <c r="AH48" s="1">
        <v>175000</v>
      </c>
      <c r="AI48" s="1"/>
      <c r="AJ48" s="1">
        <v>4000</v>
      </c>
      <c r="AM48" s="21">
        <v>4</v>
      </c>
      <c r="AN48" s="21"/>
      <c r="AO48" s="21"/>
      <c r="AP48" s="21"/>
      <c r="AQ48" s="21"/>
      <c r="AR48" s="126" t="s">
        <v>172</v>
      </c>
      <c r="AS48" s="21" t="s">
        <v>493</v>
      </c>
      <c r="AT48" s="21" t="str">
        <f>IFERROR(IF(FIND("?",ckAwdTable[abst_narr_txt]),SummarizeQuestMarks(ckAwdTable[abst_narr_txt]),""),"")</f>
        <v/>
      </c>
      <c r="AU48" s="119"/>
      <c r="AV48" t="s">
        <v>1649</v>
      </c>
      <c r="AW48" t="b">
        <f>AND(ckAwdTable[[#This Row],[ILN]]&gt;"M", SUBSTITUTE(ckAwdTable[[#This Row],[prop_titl_txt]]," ","")&lt;&gt;SUBSTITUTE(AV47," ",""))</f>
        <v>0</v>
      </c>
      <c r="AX48" s="8" t="s">
        <v>1650</v>
      </c>
    </row>
    <row r="49" spans="1:50" x14ac:dyDescent="0.4">
      <c r="A49" s="30">
        <v>43081.686678240738</v>
      </c>
      <c r="B49" s="30">
        <v>42956.439583333333</v>
      </c>
      <c r="C49" t="s">
        <v>1621</v>
      </c>
      <c r="D49" t="s">
        <v>1622</v>
      </c>
      <c r="E49" t="s">
        <v>580</v>
      </c>
      <c r="F49" t="s">
        <v>2046</v>
      </c>
      <c r="G49" s="8" t="s">
        <v>2073</v>
      </c>
      <c r="H49" s="8" t="s">
        <v>169</v>
      </c>
      <c r="I49" s="8" t="s">
        <v>505</v>
      </c>
      <c r="J49" t="s">
        <v>94</v>
      </c>
      <c r="K49" t="s">
        <v>1623</v>
      </c>
      <c r="L49" s="22">
        <v>43070.440868055557</v>
      </c>
      <c r="M49" s="109">
        <f xml:space="preserve"> M48+(ckAwdTable[ILN]&lt;"M")</f>
        <v>48</v>
      </c>
      <c r="N49" t="s">
        <v>95</v>
      </c>
      <c r="O49" t="s">
        <v>2044</v>
      </c>
      <c r="P49" s="15" t="str">
        <f>HYPERLINK("https://www.ejacket.nsf.gov/ej/showProposal.do?ID="&amp;ckAwdTable[[#This Row],[prop_id]],"eJ")</f>
        <v>eJ</v>
      </c>
      <c r="Q49" s="8" t="s">
        <v>1625</v>
      </c>
      <c r="R49" t="s">
        <v>2044</v>
      </c>
      <c r="S49" t="s">
        <v>2045</v>
      </c>
      <c r="T49" t="s">
        <v>2074</v>
      </c>
      <c r="U49" s="8" t="s">
        <v>497</v>
      </c>
      <c r="V49" t="s">
        <v>496</v>
      </c>
      <c r="W49" s="113" t="str">
        <f>HYPERLINK("mailto:"&amp; ckAwdTable[[#This Row],[email]]&amp;"&amp;subject=Your NSF Proposal:  "&amp;ckAwdTable[[#This Row],[prop_id]], ckAwdTable[[#This Row],[email]])</f>
        <v>feifang@cmu.edu</v>
      </c>
      <c r="X49" s="30">
        <v>43101</v>
      </c>
      <c r="Y49">
        <v>24</v>
      </c>
      <c r="AA49" s="21" t="s">
        <v>13</v>
      </c>
      <c r="AB49" s="21" t="s">
        <v>382</v>
      </c>
      <c r="AC49"/>
      <c r="AD49" s="21" t="s">
        <v>13</v>
      </c>
      <c r="AE49" s="21" t="s">
        <v>506</v>
      </c>
      <c r="AF49" s="13">
        <v>175000</v>
      </c>
      <c r="AG49" s="124">
        <v>0</v>
      </c>
      <c r="AH49" s="1">
        <v>175000</v>
      </c>
      <c r="AI49" s="1"/>
      <c r="AJ49" s="1">
        <v>7798</v>
      </c>
      <c r="AM49" s="21">
        <v>2</v>
      </c>
      <c r="AN49" s="21"/>
      <c r="AO49" s="21"/>
      <c r="AP49" s="21"/>
      <c r="AQ49" s="21"/>
      <c r="AR49" s="126" t="s">
        <v>2076</v>
      </c>
      <c r="AS49" s="21" t="s">
        <v>493</v>
      </c>
      <c r="AT49" s="21" t="str">
        <f>IFERROR(IF(FIND("?",ckAwdTable[abst_narr_txt]),SummarizeQuestMarks(ckAwdTable[abst_narr_txt]),""),"")</f>
        <v/>
      </c>
      <c r="AU49" s="119"/>
      <c r="AV49" t="s">
        <v>2077</v>
      </c>
      <c r="AW49" t="b">
        <f>AND(ckAwdTable[[#This Row],[ILN]]&gt;"M", SUBSTITUTE(ckAwdTable[[#This Row],[prop_titl_txt]]," ","")&lt;&gt;SUBSTITUTE(AV48," ",""))</f>
        <v>0</v>
      </c>
      <c r="AX49" s="8" t="s">
        <v>2078</v>
      </c>
    </row>
    <row r="50" spans="1:50" x14ac:dyDescent="0.4">
      <c r="B50" s="30">
        <v>42956.472222222219</v>
      </c>
      <c r="C50" t="s">
        <v>1621</v>
      </c>
      <c r="D50" t="s">
        <v>477</v>
      </c>
      <c r="E50" t="s">
        <v>578</v>
      </c>
      <c r="F50" t="s">
        <v>604</v>
      </c>
      <c r="G50" s="8" t="s">
        <v>171</v>
      </c>
      <c r="H50" s="8" t="s">
        <v>169</v>
      </c>
      <c r="I50" s="8" t="s">
        <v>505</v>
      </c>
      <c r="J50" t="s">
        <v>94</v>
      </c>
      <c r="K50" t="s">
        <v>1630</v>
      </c>
      <c r="L50" s="22">
        <v>43082.662800925929</v>
      </c>
      <c r="M50" s="109">
        <f xml:space="preserve"> M49+(ckAwdTable[ILN]&lt;"M")</f>
        <v>49</v>
      </c>
      <c r="N50" t="s">
        <v>95</v>
      </c>
      <c r="O50" t="s">
        <v>1147</v>
      </c>
      <c r="P50" s="15" t="str">
        <f>HYPERLINK("https://www.ejacket.nsf.gov/ej/showProposal.do?ID="&amp;ckAwdTable[[#This Row],[prop_id]],"eJ")</f>
        <v>eJ</v>
      </c>
      <c r="Q50" s="8" t="s">
        <v>478</v>
      </c>
      <c r="R50" t="s">
        <v>1147</v>
      </c>
      <c r="S50" t="s">
        <v>1148</v>
      </c>
      <c r="T50" t="s">
        <v>1651</v>
      </c>
      <c r="U50" s="8" t="s">
        <v>558</v>
      </c>
      <c r="V50" t="s">
        <v>557</v>
      </c>
      <c r="W50" s="113" t="str">
        <f>HYPERLINK("mailto:"&amp; ckAwdTable[[#This Row],[email]]&amp;"&amp;subject=Your NSF Proposal:  "&amp;ckAwdTable[[#This Row],[prop_id]], ckAwdTable[[#This Row],[email]])</f>
        <v>hcharkhgard@usf.edu</v>
      </c>
      <c r="X50" s="30">
        <v>43221</v>
      </c>
      <c r="Y50">
        <v>24</v>
      </c>
      <c r="AA50" s="21" t="s">
        <v>13</v>
      </c>
      <c r="AB50" s="21" t="s">
        <v>382</v>
      </c>
      <c r="AC50"/>
      <c r="AD50" s="21" t="s">
        <v>13</v>
      </c>
      <c r="AF50" s="13">
        <v>172682</v>
      </c>
      <c r="AG50" s="124">
        <v>0</v>
      </c>
      <c r="AH50" s="1">
        <v>172682</v>
      </c>
      <c r="AI50" s="1"/>
      <c r="AJ50" s="1"/>
      <c r="AM50" s="21">
        <v>4</v>
      </c>
      <c r="AN50" s="21"/>
      <c r="AO50" s="21"/>
      <c r="AP50" s="21"/>
      <c r="AQ50" s="21"/>
      <c r="AR50" s="126" t="s">
        <v>172</v>
      </c>
      <c r="AS50" s="21" t="s">
        <v>493</v>
      </c>
      <c r="AT50" s="21" t="str">
        <f>IFERROR(IF(FIND("?",ckAwdTable[abst_narr_txt]),SummarizeQuestMarks(ckAwdTable[abst_narr_txt]),""),"")</f>
        <v/>
      </c>
      <c r="AU50" s="119"/>
      <c r="AV50" t="s">
        <v>1653</v>
      </c>
      <c r="AW50" t="b">
        <f>AND(ckAwdTable[[#This Row],[ILN]]&gt;"M", SUBSTITUTE(ckAwdTable[[#This Row],[prop_titl_txt]]," ","")&lt;&gt;SUBSTITUTE(AV49," ",""))</f>
        <v>0</v>
      </c>
      <c r="AX50" s="8" t="s">
        <v>1654</v>
      </c>
    </row>
    <row r="51" spans="1:50" ht="409.6" x14ac:dyDescent="0.4">
      <c r="B51" s="30">
        <v>42956.581944444442</v>
      </c>
      <c r="C51" t="s">
        <v>1621</v>
      </c>
      <c r="D51" t="s">
        <v>477</v>
      </c>
      <c r="E51" t="s">
        <v>578</v>
      </c>
      <c r="F51" t="s">
        <v>654</v>
      </c>
      <c r="G51" s="8" t="s">
        <v>171</v>
      </c>
      <c r="H51" s="8" t="s">
        <v>169</v>
      </c>
      <c r="I51" s="8" t="s">
        <v>505</v>
      </c>
      <c r="J51" t="s">
        <v>94</v>
      </c>
      <c r="K51" t="s">
        <v>1630</v>
      </c>
      <c r="L51" s="22"/>
      <c r="M51" s="109">
        <f xml:space="preserve"> M50+(ckAwdTable[ILN]&lt;"M")</f>
        <v>50</v>
      </c>
      <c r="N51" t="s">
        <v>95</v>
      </c>
      <c r="O51" t="s">
        <v>1155</v>
      </c>
      <c r="P51" s="15" t="str">
        <f>HYPERLINK("https://www.ejacket.nsf.gov/ej/showProposal.do?ID="&amp;ckAwdTable[[#This Row],[prop_id]],"eJ")</f>
        <v>eJ</v>
      </c>
      <c r="Q51" s="8" t="s">
        <v>478</v>
      </c>
      <c r="R51" t="s">
        <v>1155</v>
      </c>
      <c r="S51" t="s">
        <v>1156</v>
      </c>
      <c r="T51" t="s">
        <v>1655</v>
      </c>
      <c r="U51" s="8" t="s">
        <v>1656</v>
      </c>
      <c r="V51" t="s">
        <v>1470</v>
      </c>
      <c r="W51" s="113" t="str">
        <f>HYPERLINK("mailto:"&amp; ckAwdTable[[#This Row],[email]]&amp;"&amp;subject=Your NSF Proposal:  "&amp;ckAwdTable[[#This Row],[prop_id]], ckAwdTable[[#This Row],[email]])</f>
        <v>Mayank.Goswami@qc.cuny.edu</v>
      </c>
      <c r="X51" s="30">
        <v>43344</v>
      </c>
      <c r="Y51">
        <v>24</v>
      </c>
      <c r="AA51" s="21" t="s">
        <v>13</v>
      </c>
      <c r="AB51" s="21" t="s">
        <v>382</v>
      </c>
      <c r="AC51"/>
      <c r="AD51" s="21" t="s">
        <v>13</v>
      </c>
      <c r="AE51" s="21" t="s">
        <v>2011</v>
      </c>
      <c r="AF51" s="13">
        <v>175000</v>
      </c>
      <c r="AG51" s="124">
        <v>0</v>
      </c>
      <c r="AH51" s="1">
        <v>175000</v>
      </c>
      <c r="AI51" s="1"/>
      <c r="AJ51" s="1">
        <v>10000</v>
      </c>
      <c r="AM51" s="21">
        <v>2</v>
      </c>
      <c r="AN51" s="21"/>
      <c r="AO51" s="21"/>
      <c r="AP51" s="21"/>
      <c r="AQ51" s="21"/>
      <c r="AR51" s="126" t="s">
        <v>172</v>
      </c>
      <c r="AS51" s="21" t="s">
        <v>493</v>
      </c>
      <c r="AT51" s="21" t="str">
        <f>IFERROR(IF(FIND("?",ckAwdTable[abst_narr_txt]),SummarizeQuestMarks(ckAwdTable[abst_narr_txt]),""),"")</f>
        <v/>
      </c>
      <c r="AU51" s="119" t="s">
        <v>1160</v>
      </c>
      <c r="AV51" t="s">
        <v>1658</v>
      </c>
      <c r="AW51" t="b">
        <f>AND(ckAwdTable[[#This Row],[ILN]]&gt;"M", SUBSTITUTE(ckAwdTable[[#This Row],[prop_titl_txt]]," ","")&lt;&gt;SUBSTITUTE(AV50," ",""))</f>
        <v>0</v>
      </c>
      <c r="AX51" s="8" t="s">
        <v>1659</v>
      </c>
    </row>
    <row r="52" spans="1:50" x14ac:dyDescent="0.4">
      <c r="B52" s="30">
        <v>42956.588888888888</v>
      </c>
      <c r="C52" t="s">
        <v>1621</v>
      </c>
      <c r="D52" t="s">
        <v>1622</v>
      </c>
      <c r="E52" t="s">
        <v>580</v>
      </c>
      <c r="F52" t="s">
        <v>1166</v>
      </c>
      <c r="G52" s="8" t="s">
        <v>171</v>
      </c>
      <c r="H52" s="8" t="s">
        <v>169</v>
      </c>
      <c r="I52" s="8" t="s">
        <v>505</v>
      </c>
      <c r="J52" t="s">
        <v>94</v>
      </c>
      <c r="K52" t="s">
        <v>1623</v>
      </c>
      <c r="L52" s="22"/>
      <c r="M52" s="109">
        <f xml:space="preserve"> M51+(ckAwdTable[ILN]&lt;"M")</f>
        <v>51</v>
      </c>
      <c r="N52" t="s">
        <v>95</v>
      </c>
      <c r="O52" t="s">
        <v>1164</v>
      </c>
      <c r="P52" s="15" t="str">
        <f>HYPERLINK("https://www.ejacket.nsf.gov/ej/showProposal.do?ID="&amp;ckAwdTable[[#This Row],[prop_id]],"eJ")</f>
        <v>eJ</v>
      </c>
      <c r="Q52" s="8" t="s">
        <v>1625</v>
      </c>
      <c r="R52" t="s">
        <v>1164</v>
      </c>
      <c r="S52" t="s">
        <v>1165</v>
      </c>
      <c r="T52" t="s">
        <v>1660</v>
      </c>
      <c r="U52" s="8" t="s">
        <v>1661</v>
      </c>
      <c r="V52" t="s">
        <v>1632</v>
      </c>
      <c r="W52" s="113" t="str">
        <f>HYPERLINK("mailto:"&amp; ckAwdTable[[#This Row],[email]]&amp;"&amp;subject=Your NSF Proposal:  "&amp;ckAwdTable[[#This Row],[prop_id]], ckAwdTable[[#This Row],[email]])</f>
        <v>tzhao80@gatech.edu</v>
      </c>
      <c r="X52" s="30">
        <v>43235</v>
      </c>
      <c r="Y52">
        <v>24</v>
      </c>
      <c r="AA52" s="21" t="s">
        <v>13</v>
      </c>
      <c r="AB52" s="21" t="s">
        <v>382</v>
      </c>
      <c r="AC52"/>
      <c r="AD52" s="21" t="s">
        <v>13</v>
      </c>
      <c r="AF52" s="13">
        <v>175000</v>
      </c>
      <c r="AG52" s="124">
        <v>0</v>
      </c>
      <c r="AH52" s="1">
        <v>175000</v>
      </c>
      <c r="AI52" s="1"/>
      <c r="AJ52" s="1"/>
      <c r="AM52" s="21">
        <v>6</v>
      </c>
      <c r="AN52" s="21"/>
      <c r="AO52" s="21"/>
      <c r="AP52" s="21"/>
      <c r="AQ52" s="21"/>
      <c r="AR52" s="126" t="s">
        <v>172</v>
      </c>
      <c r="AS52" s="21" t="s">
        <v>493</v>
      </c>
      <c r="AT52" s="21" t="str">
        <f>IFERROR(IF(FIND("?",ckAwdTable[abst_narr_txt]),SummarizeQuestMarks(ckAwdTable[abst_narr_txt]),""),"")</f>
        <v/>
      </c>
      <c r="AU52" s="119"/>
      <c r="AV52" t="s">
        <v>1663</v>
      </c>
      <c r="AW52" t="b">
        <f>AND(ckAwdTable[[#This Row],[ILN]]&gt;"M", SUBSTITUTE(ckAwdTable[[#This Row],[prop_titl_txt]]," ","")&lt;&gt;SUBSTITUTE(AV51," ",""))</f>
        <v>0</v>
      </c>
      <c r="AX52" s="8" t="s">
        <v>1664</v>
      </c>
    </row>
    <row r="53" spans="1:50" x14ac:dyDescent="0.4">
      <c r="B53" s="30">
        <v>42956.621527777781</v>
      </c>
      <c r="C53" t="s">
        <v>1621</v>
      </c>
      <c r="D53" t="s">
        <v>477</v>
      </c>
      <c r="E53" t="s">
        <v>578</v>
      </c>
      <c r="F53" t="s">
        <v>611</v>
      </c>
      <c r="G53" s="8" t="s">
        <v>171</v>
      </c>
      <c r="H53" s="8" t="s">
        <v>169</v>
      </c>
      <c r="I53" s="8" t="s">
        <v>505</v>
      </c>
      <c r="J53" t="s">
        <v>94</v>
      </c>
      <c r="K53" t="s">
        <v>1630</v>
      </c>
      <c r="L53" s="22"/>
      <c r="M53" s="109">
        <f xml:space="preserve"> M52+(ckAwdTable[ILN]&lt;"M")</f>
        <v>52</v>
      </c>
      <c r="N53" t="s">
        <v>95</v>
      </c>
      <c r="O53" t="s">
        <v>1194</v>
      </c>
      <c r="P53" s="15" t="str">
        <f>HYPERLINK("https://www.ejacket.nsf.gov/ej/showProposal.do?ID="&amp;ckAwdTable[[#This Row],[prop_id]],"eJ")</f>
        <v>eJ</v>
      </c>
      <c r="Q53" s="8" t="s">
        <v>478</v>
      </c>
      <c r="R53" t="s">
        <v>1194</v>
      </c>
      <c r="S53" t="s">
        <v>1195</v>
      </c>
      <c r="T53" t="s">
        <v>1666</v>
      </c>
      <c r="U53" s="8" t="s">
        <v>1477</v>
      </c>
      <c r="V53" t="s">
        <v>306</v>
      </c>
      <c r="W53" s="113" t="str">
        <f>HYPERLINK("mailto:"&amp; ckAwdTable[[#This Row],[email]]&amp;"&amp;subject=Your NSF Proposal:  "&amp;ckAwdTable[[#This Row],[prop_id]], ckAwdTable[[#This Row],[email]])</f>
        <v>ruoyus@illinois.edu</v>
      </c>
      <c r="X53" s="30">
        <v>43282</v>
      </c>
      <c r="Y53">
        <v>24</v>
      </c>
      <c r="AA53" s="21" t="s">
        <v>13</v>
      </c>
      <c r="AB53" s="21" t="s">
        <v>382</v>
      </c>
      <c r="AC53"/>
      <c r="AD53" s="21" t="s">
        <v>13</v>
      </c>
      <c r="AE53" s="21" t="s">
        <v>506</v>
      </c>
      <c r="AF53" s="13">
        <v>175000</v>
      </c>
      <c r="AG53" s="124">
        <v>0</v>
      </c>
      <c r="AH53" s="1">
        <v>175000</v>
      </c>
      <c r="AI53" s="1"/>
      <c r="AJ53" s="1">
        <v>4000</v>
      </c>
      <c r="AM53" s="21">
        <v>4</v>
      </c>
      <c r="AN53" s="21"/>
      <c r="AO53" s="21"/>
      <c r="AP53" s="21"/>
      <c r="AQ53" s="21"/>
      <c r="AR53" s="126" t="s">
        <v>172</v>
      </c>
      <c r="AS53" s="21" t="s">
        <v>493</v>
      </c>
      <c r="AT53" s="21" t="str">
        <f>IFERROR(IF(FIND("?",ckAwdTable[abst_narr_txt]),SummarizeQuestMarks(ckAwdTable[abst_narr_txt]),""),"")</f>
        <v/>
      </c>
      <c r="AU53" s="119"/>
      <c r="AV53" t="s">
        <v>1668</v>
      </c>
      <c r="AW53" t="b">
        <f>AND(ckAwdTable[[#This Row],[ILN]]&gt;"M", SUBSTITUTE(ckAwdTable[[#This Row],[prop_titl_txt]]," ","")&lt;&gt;SUBSTITUTE(AV52," ",""))</f>
        <v>0</v>
      </c>
      <c r="AX53" s="8" t="s">
        <v>1669</v>
      </c>
    </row>
    <row r="54" spans="1:50" x14ac:dyDescent="0.4">
      <c r="B54" s="30">
        <v>42956.647916666669</v>
      </c>
      <c r="C54" t="s">
        <v>1621</v>
      </c>
      <c r="D54" t="s">
        <v>477</v>
      </c>
      <c r="E54" t="s">
        <v>578</v>
      </c>
      <c r="F54" t="s">
        <v>604</v>
      </c>
      <c r="G54" s="8" t="s">
        <v>171</v>
      </c>
      <c r="H54" s="8" t="s">
        <v>169</v>
      </c>
      <c r="I54" s="8" t="s">
        <v>505</v>
      </c>
      <c r="J54" t="s">
        <v>94</v>
      </c>
      <c r="K54" t="s">
        <v>1630</v>
      </c>
      <c r="L54" s="22">
        <v>43082.669189814813</v>
      </c>
      <c r="M54" s="109">
        <f xml:space="preserve"> M53+(ckAwdTable[ILN]&lt;"M")</f>
        <v>53</v>
      </c>
      <c r="N54" t="s">
        <v>95</v>
      </c>
      <c r="O54" t="s">
        <v>1201</v>
      </c>
      <c r="P54" s="15" t="str">
        <f>HYPERLINK("https://www.ejacket.nsf.gov/ej/showProposal.do?ID="&amp;ckAwdTable[[#This Row],[prop_id]],"eJ")</f>
        <v>eJ</v>
      </c>
      <c r="Q54" s="8" t="s">
        <v>478</v>
      </c>
      <c r="R54" t="s">
        <v>1201</v>
      </c>
      <c r="S54" t="s">
        <v>1202</v>
      </c>
      <c r="T54" t="s">
        <v>1671</v>
      </c>
      <c r="U54" s="8" t="s">
        <v>1672</v>
      </c>
      <c r="V54" t="s">
        <v>117</v>
      </c>
      <c r="W54" s="113" t="str">
        <f>HYPERLINK("mailto:"&amp; ckAwdTable[[#This Row],[email]]&amp;"&amp;subject=Your NSF Proposal:  "&amp;ckAwdTable[[#This Row],[prop_id]], ckAwdTable[[#This Row],[email]])</f>
        <v>osan@okstate.edu</v>
      </c>
      <c r="X54" s="30">
        <v>43252</v>
      </c>
      <c r="Y54">
        <v>24</v>
      </c>
      <c r="AA54" s="21" t="s">
        <v>13</v>
      </c>
      <c r="AB54" s="21" t="s">
        <v>382</v>
      </c>
      <c r="AC54"/>
      <c r="AD54" s="21" t="s">
        <v>13</v>
      </c>
      <c r="AF54" s="13">
        <v>170144</v>
      </c>
      <c r="AG54" s="124">
        <v>0</v>
      </c>
      <c r="AH54" s="1">
        <v>170144</v>
      </c>
      <c r="AI54" s="1"/>
      <c r="AJ54" s="1"/>
      <c r="AM54" s="21">
        <v>4</v>
      </c>
      <c r="AN54" s="21"/>
      <c r="AO54" s="21"/>
      <c r="AP54" s="21"/>
      <c r="AQ54" s="21"/>
      <c r="AR54" s="126" t="s">
        <v>172</v>
      </c>
      <c r="AS54" s="21" t="s">
        <v>493</v>
      </c>
      <c r="AT54" s="21" t="str">
        <f>IFERROR(IF(FIND("?",ckAwdTable[abst_narr_txt]),SummarizeQuestMarks(ckAwdTable[abst_narr_txt]),""),"")</f>
        <v/>
      </c>
      <c r="AU54" s="119"/>
      <c r="AV54" t="s">
        <v>1674</v>
      </c>
      <c r="AW54" t="b">
        <f>AND(ckAwdTable[[#This Row],[ILN]]&gt;"M", SUBSTITUTE(ckAwdTable[[#This Row],[prop_titl_txt]]," ","")&lt;&gt;SUBSTITUTE(AV53," ",""))</f>
        <v>0</v>
      </c>
      <c r="AX54" s="8" t="s">
        <v>1675</v>
      </c>
    </row>
    <row r="55" spans="1:50" x14ac:dyDescent="0.4">
      <c r="B55" s="30">
        <v>42956.648611111108</v>
      </c>
      <c r="C55" t="s">
        <v>1621</v>
      </c>
      <c r="D55" t="s">
        <v>477</v>
      </c>
      <c r="E55" t="s">
        <v>578</v>
      </c>
      <c r="F55" t="s">
        <v>611</v>
      </c>
      <c r="G55" s="8" t="s">
        <v>171</v>
      </c>
      <c r="H55" s="8" t="s">
        <v>169</v>
      </c>
      <c r="I55" s="8" t="s">
        <v>505</v>
      </c>
      <c r="J55" t="s">
        <v>94</v>
      </c>
      <c r="K55" t="s">
        <v>1630</v>
      </c>
      <c r="L55" s="22">
        <v>43082.662939814814</v>
      </c>
      <c r="M55" s="109">
        <f xml:space="preserve"> M54+(ckAwdTable[ILN]&lt;"M")</f>
        <v>54</v>
      </c>
      <c r="N55" t="s">
        <v>95</v>
      </c>
      <c r="O55" t="s">
        <v>1209</v>
      </c>
      <c r="P55" s="15" t="str">
        <f>HYPERLINK("https://www.ejacket.nsf.gov/ej/showProposal.do?ID="&amp;ckAwdTable[[#This Row],[prop_id]],"eJ")</f>
        <v>eJ</v>
      </c>
      <c r="Q55" s="8" t="s">
        <v>478</v>
      </c>
      <c r="R55" t="s">
        <v>1209</v>
      </c>
      <c r="S55" t="s">
        <v>1210</v>
      </c>
      <c r="T55" t="s">
        <v>1651</v>
      </c>
      <c r="U55" s="8" t="s">
        <v>1676</v>
      </c>
      <c r="V55" t="s">
        <v>1470</v>
      </c>
      <c r="W55" s="113" t="str">
        <f>HYPERLINK("mailto:"&amp; ckAwdTable[[#This Row],[email]]&amp;"&amp;subject=Your NSF Proposal:  "&amp;ckAwdTable[[#This Row],[prop_id]], ckAwdTable[[#This Row],[email]])</f>
        <v>hhvcs@rit.edu</v>
      </c>
      <c r="X55" s="30">
        <v>43344</v>
      </c>
      <c r="Y55">
        <v>24</v>
      </c>
      <c r="AA55" s="21" t="s">
        <v>13</v>
      </c>
      <c r="AB55" s="21" t="s">
        <v>382</v>
      </c>
      <c r="AC55"/>
      <c r="AD55" s="21" t="s">
        <v>13</v>
      </c>
      <c r="AE55" s="21" t="s">
        <v>2012</v>
      </c>
      <c r="AF55" s="13">
        <v>173878</v>
      </c>
      <c r="AG55" s="124">
        <v>0</v>
      </c>
      <c r="AH55" s="1">
        <v>173878</v>
      </c>
      <c r="AI55" s="1"/>
      <c r="AJ55" s="1">
        <v>3000</v>
      </c>
      <c r="AM55" s="21">
        <v>2</v>
      </c>
      <c r="AN55" s="21"/>
      <c r="AO55" s="21"/>
      <c r="AP55" s="21"/>
      <c r="AQ55" s="21"/>
      <c r="AR55" s="126" t="s">
        <v>172</v>
      </c>
      <c r="AS55" s="21" t="s">
        <v>493</v>
      </c>
      <c r="AT55" s="21" t="str">
        <f>IFERROR(IF(FIND("?",ckAwdTable[abst_narr_txt]),SummarizeQuestMarks(ckAwdTable[abst_narr_txt]),""),"")</f>
        <v/>
      </c>
      <c r="AU55" s="119"/>
      <c r="AV55" t="s">
        <v>1678</v>
      </c>
      <c r="AW55" t="b">
        <f>AND(ckAwdTable[[#This Row],[ILN]]&gt;"M", SUBSTITUTE(ckAwdTable[[#This Row],[prop_titl_txt]]," ","")&lt;&gt;SUBSTITUTE(AV54," ",""))</f>
        <v>0</v>
      </c>
      <c r="AX55" s="8" t="s">
        <v>1679</v>
      </c>
    </row>
    <row r="56" spans="1:50" x14ac:dyDescent="0.4">
      <c r="B56" s="30">
        <v>42956.678472222222</v>
      </c>
      <c r="C56" t="s">
        <v>1621</v>
      </c>
      <c r="D56" t="s">
        <v>477</v>
      </c>
      <c r="E56" t="s">
        <v>578</v>
      </c>
      <c r="F56" t="s">
        <v>611</v>
      </c>
      <c r="G56" s="8" t="s">
        <v>171</v>
      </c>
      <c r="H56" s="8" t="s">
        <v>169</v>
      </c>
      <c r="I56" s="8" t="s">
        <v>505</v>
      </c>
      <c r="J56" t="s">
        <v>94</v>
      </c>
      <c r="K56" t="s">
        <v>1630</v>
      </c>
      <c r="L56" s="22"/>
      <c r="M56" s="109">
        <f xml:space="preserve"> M55+(ckAwdTable[ILN]&lt;"M")</f>
        <v>55</v>
      </c>
      <c r="N56" t="s">
        <v>95</v>
      </c>
      <c r="O56" t="s">
        <v>1217</v>
      </c>
      <c r="P56" s="15" t="str">
        <f>HYPERLINK("https://www.ejacket.nsf.gov/ej/showProposal.do?ID="&amp;ckAwdTable[[#This Row],[prop_id]],"eJ")</f>
        <v>eJ</v>
      </c>
      <c r="Q56" s="8" t="s">
        <v>478</v>
      </c>
      <c r="R56" t="s">
        <v>1217</v>
      </c>
      <c r="S56" t="s">
        <v>1218</v>
      </c>
      <c r="T56" t="s">
        <v>1524</v>
      </c>
      <c r="U56" s="8" t="s">
        <v>1477</v>
      </c>
      <c r="V56" t="s">
        <v>306</v>
      </c>
      <c r="W56" s="113" t="str">
        <f>HYPERLINK("mailto:"&amp; ckAwdTable[[#This Row],[email]]&amp;"&amp;subject=Your NSF Proposal:  "&amp;ckAwdTable[[#This Row],[prop_id]], ckAwdTable[[#This Row],[email]])</f>
        <v>miforbes@illinois.edu</v>
      </c>
      <c r="X56" s="30">
        <v>43101</v>
      </c>
      <c r="Y56">
        <v>24</v>
      </c>
      <c r="AA56" s="21" t="s">
        <v>13</v>
      </c>
      <c r="AB56" s="21" t="s">
        <v>382</v>
      </c>
      <c r="AC56"/>
      <c r="AD56" s="21" t="s">
        <v>13</v>
      </c>
      <c r="AE56" s="21" t="s">
        <v>2011</v>
      </c>
      <c r="AF56" s="13">
        <v>175000</v>
      </c>
      <c r="AG56" s="124">
        <v>0</v>
      </c>
      <c r="AH56" s="1">
        <v>175000</v>
      </c>
      <c r="AI56" s="1"/>
      <c r="AJ56" s="1">
        <v>8737</v>
      </c>
      <c r="AM56" s="21">
        <v>2</v>
      </c>
      <c r="AN56" s="21"/>
      <c r="AO56" s="21"/>
      <c r="AP56" s="21"/>
      <c r="AQ56" s="21"/>
      <c r="AR56" s="126" t="s">
        <v>172</v>
      </c>
      <c r="AS56" s="21" t="s">
        <v>493</v>
      </c>
      <c r="AT56" s="21" t="str">
        <f>IFERROR(IF(FIND("?",ckAwdTable[abst_narr_txt]),SummarizeQuestMarks(ckAwdTable[abst_narr_txt]),""),"")</f>
        <v/>
      </c>
      <c r="AU56" s="119"/>
      <c r="AV56" t="s">
        <v>1682</v>
      </c>
      <c r="AW56" t="b">
        <f>AND(ckAwdTable[[#This Row],[ILN]]&gt;"M", SUBSTITUTE(ckAwdTable[[#This Row],[prop_titl_txt]]," ","")&lt;&gt;SUBSTITUTE(AV55," ",""))</f>
        <v>0</v>
      </c>
      <c r="AX56" s="8" t="s">
        <v>1683</v>
      </c>
    </row>
    <row r="57" spans="1:50" x14ac:dyDescent="0.4">
      <c r="B57" s="30">
        <v>42956.695833333331</v>
      </c>
      <c r="C57" t="s">
        <v>1621</v>
      </c>
      <c r="D57" t="s">
        <v>477</v>
      </c>
      <c r="E57" t="s">
        <v>578</v>
      </c>
      <c r="F57" t="s">
        <v>611</v>
      </c>
      <c r="G57" s="8" t="s">
        <v>171</v>
      </c>
      <c r="H57" s="8" t="s">
        <v>169</v>
      </c>
      <c r="I57" s="8" t="s">
        <v>505</v>
      </c>
      <c r="J57" t="s">
        <v>94</v>
      </c>
      <c r="K57" t="s">
        <v>1630</v>
      </c>
      <c r="L57" s="22">
        <v>43082.66300925926</v>
      </c>
      <c r="M57" s="109">
        <f xml:space="preserve"> M56+(ckAwdTable[ILN]&lt;"M")</f>
        <v>56</v>
      </c>
      <c r="N57" t="s">
        <v>95</v>
      </c>
      <c r="O57" t="s">
        <v>1224</v>
      </c>
      <c r="P57" s="15" t="str">
        <f>HYPERLINK("https://www.ejacket.nsf.gov/ej/showProposal.do?ID="&amp;ckAwdTable[[#This Row],[prop_id]],"eJ")</f>
        <v>eJ</v>
      </c>
      <c r="Q57" s="8" t="s">
        <v>478</v>
      </c>
      <c r="R57" t="s">
        <v>1224</v>
      </c>
      <c r="S57" t="s">
        <v>1225</v>
      </c>
      <c r="T57" t="s">
        <v>1684</v>
      </c>
      <c r="U57" s="8" t="s">
        <v>1685</v>
      </c>
      <c r="V57" t="s">
        <v>562</v>
      </c>
      <c r="W57" s="113" t="str">
        <f>HYPERLINK("mailto:"&amp; ckAwdTable[[#This Row],[email]]&amp;"&amp;subject=Your NSF Proposal:  "&amp;ckAwdTable[[#This Row],[prop_id]], ckAwdTable[[#This Row],[email]])</f>
        <v>adres@asu.edu</v>
      </c>
      <c r="X57" s="30">
        <v>43328</v>
      </c>
      <c r="Y57">
        <v>24</v>
      </c>
      <c r="AA57" s="21" t="s">
        <v>13</v>
      </c>
      <c r="AB57" s="21" t="s">
        <v>382</v>
      </c>
      <c r="AC57"/>
      <c r="AD57" s="21" t="s">
        <v>13</v>
      </c>
      <c r="AE57" s="21" t="s">
        <v>2011</v>
      </c>
      <c r="AF57" s="13">
        <v>175000</v>
      </c>
      <c r="AG57" s="124">
        <v>0</v>
      </c>
      <c r="AH57" s="1">
        <v>175000</v>
      </c>
      <c r="AI57" s="1"/>
      <c r="AJ57" s="1">
        <v>6581</v>
      </c>
      <c r="AM57" s="21">
        <v>3</v>
      </c>
      <c r="AN57" s="21"/>
      <c r="AO57" s="21"/>
      <c r="AP57" s="21"/>
      <c r="AQ57" s="21"/>
      <c r="AR57" s="126" t="s">
        <v>172</v>
      </c>
      <c r="AS57" s="21" t="s">
        <v>493</v>
      </c>
      <c r="AT57" s="21" t="str">
        <f>IFERROR(IF(FIND("?",ckAwdTable[abst_narr_txt]),SummarizeQuestMarks(ckAwdTable[abst_narr_txt]),""),"")</f>
        <v/>
      </c>
      <c r="AU57" s="119"/>
      <c r="AV57" t="s">
        <v>1687</v>
      </c>
      <c r="AW57" t="b">
        <f>AND(ckAwdTable[[#This Row],[ILN]]&gt;"M", SUBSTITUTE(ckAwdTable[[#This Row],[prop_titl_txt]]," ","")&lt;&gt;SUBSTITUTE(AV56," ",""))</f>
        <v>0</v>
      </c>
      <c r="AX57" s="8" t="s">
        <v>1688</v>
      </c>
    </row>
    <row r="58" spans="1:50" x14ac:dyDescent="0.4">
      <c r="B58" s="30">
        <v>42956.697222222225</v>
      </c>
      <c r="C58" t="s">
        <v>1621</v>
      </c>
      <c r="D58" t="s">
        <v>477</v>
      </c>
      <c r="E58" t="s">
        <v>578</v>
      </c>
      <c r="F58" t="s">
        <v>604</v>
      </c>
      <c r="G58" s="8" t="s">
        <v>171</v>
      </c>
      <c r="H58" s="8" t="s">
        <v>169</v>
      </c>
      <c r="I58" s="8" t="s">
        <v>505</v>
      </c>
      <c r="J58" t="s">
        <v>94</v>
      </c>
      <c r="K58" t="s">
        <v>1630</v>
      </c>
      <c r="L58" s="22">
        <v>43076.608877314815</v>
      </c>
      <c r="M58" s="109">
        <f xml:space="preserve"> M57+(ckAwdTable[ILN]&lt;"M")</f>
        <v>57</v>
      </c>
      <c r="N58" t="s">
        <v>95</v>
      </c>
      <c r="O58" t="s">
        <v>1232</v>
      </c>
      <c r="P58" s="15" t="str">
        <f>HYPERLINK("https://www.ejacket.nsf.gov/ej/showProposal.do?ID="&amp;ckAwdTable[[#This Row],[prop_id]],"eJ")</f>
        <v>eJ</v>
      </c>
      <c r="Q58" s="8" t="s">
        <v>478</v>
      </c>
      <c r="R58" t="s">
        <v>1232</v>
      </c>
      <c r="S58" t="s">
        <v>1233</v>
      </c>
      <c r="T58" t="s">
        <v>1689</v>
      </c>
      <c r="U58" s="8" t="s">
        <v>1690</v>
      </c>
      <c r="V58" t="s">
        <v>310</v>
      </c>
      <c r="W58" s="113" t="str">
        <f>HYPERLINK("mailto:"&amp; ckAwdTable[[#This Row],[email]]&amp;"&amp;subject=Your NSF Proposal:  "&amp;ckAwdTable[[#This Row],[prop_id]], ckAwdTable[[#This Row],[email]])</f>
        <v>shima.hm@tamu.edu</v>
      </c>
      <c r="X58" s="30">
        <v>43252</v>
      </c>
      <c r="Y58">
        <v>24</v>
      </c>
      <c r="AA58" s="21" t="s">
        <v>13</v>
      </c>
      <c r="AB58" s="21" t="s">
        <v>382</v>
      </c>
      <c r="AC58"/>
      <c r="AD58" s="21" t="s">
        <v>13</v>
      </c>
      <c r="AF58" s="13">
        <v>175000</v>
      </c>
      <c r="AG58" s="124">
        <v>0</v>
      </c>
      <c r="AH58" s="1">
        <v>175000</v>
      </c>
      <c r="AI58" s="1"/>
      <c r="AJ58" s="1"/>
      <c r="AM58" s="21">
        <v>4</v>
      </c>
      <c r="AN58" s="21"/>
      <c r="AO58" s="21"/>
      <c r="AP58" s="21"/>
      <c r="AQ58" s="21"/>
      <c r="AR58" s="126" t="s">
        <v>172</v>
      </c>
      <c r="AS58" s="21" t="s">
        <v>493</v>
      </c>
      <c r="AT58" s="21" t="str">
        <f>IFERROR(IF(FIND("?",ckAwdTable[abst_narr_txt]),SummarizeQuestMarks(ckAwdTable[abst_narr_txt]),""),"")</f>
        <v/>
      </c>
      <c r="AU58" s="119"/>
      <c r="AV58" t="s">
        <v>1692</v>
      </c>
      <c r="AW58" t="b">
        <f>AND(ckAwdTable[[#This Row],[ILN]]&gt;"M", SUBSTITUTE(ckAwdTable[[#This Row],[prop_titl_txt]]," ","")&lt;&gt;SUBSTITUTE(AV57," ",""))</f>
        <v>0</v>
      </c>
      <c r="AX58" s="8" t="s">
        <v>1693</v>
      </c>
    </row>
    <row r="59" spans="1:50" x14ac:dyDescent="0.4">
      <c r="B59" s="30">
        <v>42956.697916666664</v>
      </c>
      <c r="C59" t="s">
        <v>1621</v>
      </c>
      <c r="D59" t="s">
        <v>477</v>
      </c>
      <c r="E59" t="s">
        <v>578</v>
      </c>
      <c r="F59" t="s">
        <v>611</v>
      </c>
      <c r="G59" s="8" t="s">
        <v>171</v>
      </c>
      <c r="H59" s="8" t="s">
        <v>169</v>
      </c>
      <c r="I59" s="8" t="s">
        <v>505</v>
      </c>
      <c r="J59" t="s">
        <v>94</v>
      </c>
      <c r="K59" t="s">
        <v>1630</v>
      </c>
      <c r="L59" s="22"/>
      <c r="M59" s="109">
        <f xml:space="preserve"> M58+(ckAwdTable[ILN]&lt;"M")</f>
        <v>58</v>
      </c>
      <c r="N59" t="s">
        <v>95</v>
      </c>
      <c r="O59" t="s">
        <v>1241</v>
      </c>
      <c r="P59" s="15" t="str">
        <f>HYPERLINK("https://www.ejacket.nsf.gov/ej/showProposal.do?ID="&amp;ckAwdTable[[#This Row],[prop_id]],"eJ")</f>
        <v>eJ</v>
      </c>
      <c r="Q59" s="8" t="s">
        <v>478</v>
      </c>
      <c r="R59" t="s">
        <v>1241</v>
      </c>
      <c r="S59" t="s">
        <v>1031</v>
      </c>
      <c r="T59" t="s">
        <v>1593</v>
      </c>
      <c r="U59" s="8" t="s">
        <v>1594</v>
      </c>
      <c r="V59" t="s">
        <v>496</v>
      </c>
      <c r="W59" s="113" t="str">
        <f>HYPERLINK("mailto:"&amp; ckAwdTable[[#This Row],[email]]&amp;"&amp;subject=Your NSF Proposal:  "&amp;ckAwdTable[[#This Row],[prop_id]], ckAwdTable[[#This Row],[email]])</f>
        <v>gkatz@drexel.edu</v>
      </c>
      <c r="X59" s="30">
        <v>43132</v>
      </c>
      <c r="Y59">
        <v>24</v>
      </c>
      <c r="AA59" s="21" t="s">
        <v>13</v>
      </c>
      <c r="AB59" s="21" t="s">
        <v>382</v>
      </c>
      <c r="AC59"/>
      <c r="AD59" s="21" t="s">
        <v>13</v>
      </c>
      <c r="AE59" s="21" t="s">
        <v>506</v>
      </c>
      <c r="AF59" s="13">
        <v>174930</v>
      </c>
      <c r="AG59" s="124">
        <v>0</v>
      </c>
      <c r="AH59" s="1">
        <v>174930</v>
      </c>
      <c r="AI59" s="1"/>
      <c r="AJ59" s="1">
        <v>9000</v>
      </c>
      <c r="AM59" s="21">
        <v>2</v>
      </c>
      <c r="AN59" s="21"/>
      <c r="AO59" s="21"/>
      <c r="AP59" s="21"/>
      <c r="AQ59" s="21"/>
      <c r="AR59" s="126" t="s">
        <v>172</v>
      </c>
      <c r="AS59" s="21" t="s">
        <v>493</v>
      </c>
      <c r="AT59" s="21" t="str">
        <f>IFERROR(IF(FIND("?",ckAwdTable[abst_narr_txt]),SummarizeQuestMarks(ckAwdTable[abst_narr_txt]),""),"")</f>
        <v/>
      </c>
      <c r="AU59" s="119"/>
      <c r="AV59" t="s">
        <v>1694</v>
      </c>
      <c r="AW59" t="b">
        <f>AND(ckAwdTable[[#This Row],[ILN]]&gt;"M", SUBSTITUTE(ckAwdTable[[#This Row],[prop_titl_txt]]," ","")&lt;&gt;SUBSTITUTE(AV58," ",""))</f>
        <v>0</v>
      </c>
      <c r="AX59" s="8" t="s">
        <v>1288</v>
      </c>
    </row>
    <row r="60" spans="1:50" x14ac:dyDescent="0.4">
      <c r="B60" s="30">
        <v>42956.717361111114</v>
      </c>
      <c r="C60" t="s">
        <v>1621</v>
      </c>
      <c r="D60" t="s">
        <v>477</v>
      </c>
      <c r="E60" t="s">
        <v>578</v>
      </c>
      <c r="F60" t="s">
        <v>604</v>
      </c>
      <c r="G60" s="8" t="s">
        <v>171</v>
      </c>
      <c r="H60" s="8" t="s">
        <v>169</v>
      </c>
      <c r="I60" s="8" t="s">
        <v>505</v>
      </c>
      <c r="J60" t="s">
        <v>94</v>
      </c>
      <c r="K60" t="s">
        <v>1630</v>
      </c>
      <c r="L60" s="22">
        <v>43076.608923611115</v>
      </c>
      <c r="M60" s="109">
        <f xml:space="preserve"> M59+(ckAwdTable[ILN]&lt;"M")</f>
        <v>59</v>
      </c>
      <c r="N60" t="s">
        <v>95</v>
      </c>
      <c r="O60" t="s">
        <v>1247</v>
      </c>
      <c r="P60" s="15" t="str">
        <f>HYPERLINK("https://www.ejacket.nsf.gov/ej/showProposal.do?ID="&amp;ckAwdTable[[#This Row],[prop_id]],"eJ")</f>
        <v>eJ</v>
      </c>
      <c r="Q60" s="8" t="s">
        <v>478</v>
      </c>
      <c r="R60" t="s">
        <v>1247</v>
      </c>
      <c r="S60" t="s">
        <v>1248</v>
      </c>
      <c r="T60" t="s">
        <v>1695</v>
      </c>
      <c r="U60" s="8" t="s">
        <v>1696</v>
      </c>
      <c r="V60" t="s">
        <v>310</v>
      </c>
      <c r="W60" s="113" t="str">
        <f>HYPERLINK("mailto:"&amp; ckAwdTable[[#This Row],[email]]&amp;"&amp;subject=Your NSF Proposal:  "&amp;ckAwdTable[[#This Row],[prop_id]], ckAwdTable[[#This Row],[email]])</f>
        <v>harsha@smu.edu</v>
      </c>
      <c r="X60" s="30">
        <v>43101</v>
      </c>
      <c r="Y60">
        <v>24</v>
      </c>
      <c r="AA60" s="21" t="s">
        <v>13</v>
      </c>
      <c r="AB60" s="21" t="s">
        <v>382</v>
      </c>
      <c r="AC60"/>
      <c r="AD60" s="21" t="s">
        <v>13</v>
      </c>
      <c r="AF60" s="13">
        <v>175000</v>
      </c>
      <c r="AG60" s="124">
        <v>0</v>
      </c>
      <c r="AH60" s="1">
        <v>175000</v>
      </c>
      <c r="AI60" s="1"/>
      <c r="AJ60" s="1"/>
      <c r="AM60" s="21">
        <v>4</v>
      </c>
      <c r="AN60" s="21"/>
      <c r="AO60" s="21"/>
      <c r="AP60" s="21"/>
      <c r="AQ60" s="21"/>
      <c r="AR60" s="126" t="s">
        <v>172</v>
      </c>
      <c r="AS60" s="21" t="s">
        <v>493</v>
      </c>
      <c r="AT60" s="21" t="str">
        <f>IFERROR(IF(FIND("?",ckAwdTable[abst_narr_txt]),SummarizeQuestMarks(ckAwdTable[abst_narr_txt]),""),"")</f>
        <v/>
      </c>
      <c r="AU60" s="119"/>
      <c r="AV60" t="s">
        <v>1698</v>
      </c>
      <c r="AW60" t="b">
        <f>AND(ckAwdTable[[#This Row],[ILN]]&gt;"M", SUBSTITUTE(ckAwdTable[[#This Row],[prop_titl_txt]]," ","")&lt;&gt;SUBSTITUTE(AV59," ",""))</f>
        <v>0</v>
      </c>
      <c r="AX60" s="8" t="s">
        <v>1699</v>
      </c>
    </row>
    <row r="61" spans="1:50" x14ac:dyDescent="0.4">
      <c r="B61" s="30">
        <v>42956.746527777781</v>
      </c>
      <c r="C61" t="s">
        <v>1621</v>
      </c>
      <c r="D61" t="s">
        <v>477</v>
      </c>
      <c r="E61" t="s">
        <v>578</v>
      </c>
      <c r="F61" t="s">
        <v>654</v>
      </c>
      <c r="G61" s="8" t="s">
        <v>171</v>
      </c>
      <c r="H61" s="8" t="s">
        <v>169</v>
      </c>
      <c r="I61" s="8" t="s">
        <v>505</v>
      </c>
      <c r="J61" t="s">
        <v>94</v>
      </c>
      <c r="K61" t="s">
        <v>1630</v>
      </c>
      <c r="L61" s="22"/>
      <c r="M61" s="109">
        <f xml:space="preserve"> M60+(ckAwdTable[ILN]&lt;"M")</f>
        <v>60</v>
      </c>
      <c r="N61" t="s">
        <v>95</v>
      </c>
      <c r="O61" t="s">
        <v>1255</v>
      </c>
      <c r="P61" s="15" t="str">
        <f>HYPERLINK("https://www.ejacket.nsf.gov/ej/showProposal.do?ID="&amp;ckAwdTable[[#This Row],[prop_id]],"eJ")</f>
        <v>eJ</v>
      </c>
      <c r="Q61" s="8" t="s">
        <v>478</v>
      </c>
      <c r="R61" t="s">
        <v>1255</v>
      </c>
      <c r="S61" t="s">
        <v>750</v>
      </c>
      <c r="T61" t="s">
        <v>1700</v>
      </c>
      <c r="U61" s="8" t="s">
        <v>1701</v>
      </c>
      <c r="V61" t="s">
        <v>310</v>
      </c>
      <c r="W61" s="113" t="str">
        <f>HYPERLINK("mailto:"&amp; ckAwdTable[[#This Row],[email]]&amp;"&amp;subject=Your NSF Proposal:  "&amp;ckAwdTable[[#This Row],[prop_id]], ckAwdTable[[#This Row],[email]])</f>
        <v>lchen49@central.uh.edu</v>
      </c>
      <c r="X61" s="30">
        <v>43252</v>
      </c>
      <c r="Y61">
        <v>24</v>
      </c>
      <c r="AA61" s="21" t="s">
        <v>13</v>
      </c>
      <c r="AB61" s="21" t="s">
        <v>382</v>
      </c>
      <c r="AC61"/>
      <c r="AD61" s="21" t="s">
        <v>13</v>
      </c>
      <c r="AE61" s="21" t="s">
        <v>506</v>
      </c>
      <c r="AF61" s="13">
        <v>148477</v>
      </c>
      <c r="AG61" s="124">
        <v>0</v>
      </c>
      <c r="AH61" s="1">
        <v>148477</v>
      </c>
      <c r="AI61" s="1"/>
      <c r="AJ61" s="1">
        <v>7000</v>
      </c>
      <c r="AM61" s="21">
        <v>3</v>
      </c>
      <c r="AN61" s="21"/>
      <c r="AO61" s="21"/>
      <c r="AP61" s="21"/>
      <c r="AQ61" s="21"/>
      <c r="AR61" s="126" t="s">
        <v>172</v>
      </c>
      <c r="AS61" s="21" t="s">
        <v>493</v>
      </c>
      <c r="AT61" s="21" t="str">
        <f>IFERROR(IF(FIND("?",ckAwdTable[abst_narr_txt]),SummarizeQuestMarks(ckAwdTable[abst_narr_txt]),""),"")</f>
        <v/>
      </c>
      <c r="AU61" s="119"/>
      <c r="AV61" t="s">
        <v>1702</v>
      </c>
      <c r="AW61" t="b">
        <f>AND(ckAwdTable[[#This Row],[ILN]]&gt;"M", SUBSTITUTE(ckAwdTable[[#This Row],[prop_titl_txt]]," ","")&lt;&gt;SUBSTITUTE(AV60," ",""))</f>
        <v>0</v>
      </c>
      <c r="AX61" s="8" t="s">
        <v>1703</v>
      </c>
    </row>
    <row r="62" spans="1:50" x14ac:dyDescent="0.4">
      <c r="B62" s="30">
        <v>43003.681944444441</v>
      </c>
      <c r="C62" t="s">
        <v>524</v>
      </c>
      <c r="D62" t="s">
        <v>477</v>
      </c>
      <c r="E62" t="s">
        <v>582</v>
      </c>
      <c r="F62" t="s">
        <v>611</v>
      </c>
      <c r="G62" s="8" t="s">
        <v>171</v>
      </c>
      <c r="H62" s="8" t="s">
        <v>169</v>
      </c>
      <c r="I62" s="8" t="s">
        <v>505</v>
      </c>
      <c r="J62" t="s">
        <v>94</v>
      </c>
      <c r="K62" t="s">
        <v>525</v>
      </c>
      <c r="L62" s="22"/>
      <c r="M62" s="109">
        <f xml:space="preserve"> M61+(ckAwdTable[ILN]&lt;"M")</f>
        <v>61</v>
      </c>
      <c r="N62" t="s">
        <v>491</v>
      </c>
      <c r="O62" t="s">
        <v>1260</v>
      </c>
      <c r="P62" s="15" t="str">
        <f>HYPERLINK("https://www.ejacket.nsf.gov/ej/showProposal.do?ID="&amp;ckAwdTable[[#This Row],[prop_id]],"eJ")</f>
        <v>eJ</v>
      </c>
      <c r="Q62" s="8" t="s">
        <v>478</v>
      </c>
      <c r="R62" t="s">
        <v>1260</v>
      </c>
      <c r="S62" t="s">
        <v>1261</v>
      </c>
      <c r="T62" t="s">
        <v>1705</v>
      </c>
      <c r="U62" s="8" t="s">
        <v>497</v>
      </c>
      <c r="V62" t="s">
        <v>496</v>
      </c>
      <c r="W62" s="113" t="str">
        <f>HYPERLINK("mailto:"&amp; ckAwdTable[[#This Row],[email]]&amp;"&amp;subject=Your NSF Proposal:  "&amp;ckAwdTable[[#This Row],[prop_id]], ckAwdTable[[#This Row],[email]])</f>
        <v>anupamg@cs.cmu.edu</v>
      </c>
      <c r="X62" s="30">
        <v>43344</v>
      </c>
      <c r="Y62">
        <v>48</v>
      </c>
      <c r="AA62" s="21" t="s">
        <v>13</v>
      </c>
      <c r="AB62" s="21" t="s">
        <v>382</v>
      </c>
      <c r="AC62"/>
      <c r="AD62" s="21" t="s">
        <v>13</v>
      </c>
      <c r="AF62" s="13">
        <v>600000</v>
      </c>
      <c r="AG62" s="124">
        <v>0</v>
      </c>
      <c r="AH62" s="1">
        <v>600000</v>
      </c>
      <c r="AI62" s="1"/>
      <c r="AJ62" s="1"/>
      <c r="AM62" s="21">
        <v>4</v>
      </c>
      <c r="AN62" s="21">
        <v>4</v>
      </c>
      <c r="AO62" s="21">
        <v>4</v>
      </c>
      <c r="AP62" s="21"/>
      <c r="AQ62" s="21"/>
      <c r="AR62" s="126" t="s">
        <v>172</v>
      </c>
      <c r="AS62" s="21" t="s">
        <v>493</v>
      </c>
      <c r="AT62" s="21" t="str">
        <f>IFERROR(IF(FIND("?",ckAwdTable[abst_narr_txt]),SummarizeQuestMarks(ckAwdTable[abst_narr_txt]),""),"")</f>
        <v/>
      </c>
      <c r="AU62" s="119"/>
      <c r="AV62" t="s">
        <v>1706</v>
      </c>
      <c r="AW62" t="b">
        <f>AND(ckAwdTable[[#This Row],[ILN]]&gt;"M", SUBSTITUTE(ckAwdTable[[#This Row],[prop_titl_txt]]," ","")&lt;&gt;SUBSTITUTE(AV61," ",""))</f>
        <v>0</v>
      </c>
      <c r="AX62" s="8" t="s">
        <v>1707</v>
      </c>
    </row>
    <row r="63" spans="1:50" x14ac:dyDescent="0.4">
      <c r="B63" s="30">
        <v>43004.43472222222</v>
      </c>
      <c r="C63" t="s">
        <v>524</v>
      </c>
      <c r="D63" t="s">
        <v>477</v>
      </c>
      <c r="E63" t="s">
        <v>582</v>
      </c>
      <c r="F63" t="s">
        <v>611</v>
      </c>
      <c r="G63" s="8" t="s">
        <v>171</v>
      </c>
      <c r="H63" s="8" t="s">
        <v>169</v>
      </c>
      <c r="I63" s="8" t="s">
        <v>505</v>
      </c>
      <c r="J63" t="s">
        <v>94</v>
      </c>
      <c r="K63" t="s">
        <v>525</v>
      </c>
      <c r="L63" s="22"/>
      <c r="M63" s="109">
        <f xml:space="preserve"> M62+(ckAwdTable[ILN]&lt;"M")</f>
        <v>61</v>
      </c>
      <c r="N63" t="s">
        <v>493</v>
      </c>
      <c r="O63" t="s">
        <v>1260</v>
      </c>
      <c r="P63" s="15" t="str">
        <f>HYPERLINK("https://www.ejacket.nsf.gov/ej/showProposal.do?ID="&amp;ckAwdTable[[#This Row],[prop_id]],"eJ")</f>
        <v>eJ</v>
      </c>
      <c r="Q63" s="8" t="s">
        <v>478</v>
      </c>
      <c r="R63" t="s">
        <v>1708</v>
      </c>
      <c r="S63" t="s">
        <v>844</v>
      </c>
      <c r="T63" t="s">
        <v>1516</v>
      </c>
      <c r="U63" s="8" t="s">
        <v>307</v>
      </c>
      <c r="V63" t="s">
        <v>308</v>
      </c>
      <c r="W63" s="113" t="str">
        <f>HYPERLINK("mailto:"&amp; ckAwdTable[[#This Row],[email]]&amp;"&amp;subject=Your NSF Proposal:  "&amp;ckAwdTable[[#This Row],[prop_id]], ckAwdTable[[#This Row],[email]])</f>
        <v>viswa@umich.edu</v>
      </c>
      <c r="X63" s="30">
        <v>43344</v>
      </c>
      <c r="Y63">
        <v>48</v>
      </c>
      <c r="AA63" s="21" t="s">
        <v>13</v>
      </c>
      <c r="AB63" s="21" t="s">
        <v>382</v>
      </c>
      <c r="AC63"/>
      <c r="AD63" s="21" t="s">
        <v>13</v>
      </c>
      <c r="AF63" s="13">
        <v>599999</v>
      </c>
      <c r="AG63" s="124">
        <v>0</v>
      </c>
      <c r="AH63" s="1">
        <v>599999</v>
      </c>
      <c r="AI63" s="1"/>
      <c r="AJ63" s="1"/>
      <c r="AM63" s="21">
        <v>7</v>
      </c>
      <c r="AN63" s="21">
        <v>4</v>
      </c>
      <c r="AO63" s="21"/>
      <c r="AP63" s="21"/>
      <c r="AQ63" s="21">
        <v>4</v>
      </c>
      <c r="AR63" s="126" t="s">
        <v>172</v>
      </c>
      <c r="AS63" s="21" t="s">
        <v>493</v>
      </c>
      <c r="AT63" s="21" t="str">
        <f>IFERROR(IF(FIND("?",ckAwdTable[abst_narr_txt]),SummarizeQuestMarks(ckAwdTable[abst_narr_txt]),""),"")</f>
        <v/>
      </c>
      <c r="AU63" s="119"/>
      <c r="AV63" t="s">
        <v>1706</v>
      </c>
      <c r="AW63" t="b">
        <f>AND(ckAwdTable[[#This Row],[ILN]]&gt;"M", SUBSTITUTE(ckAwdTable[[#This Row],[prop_titl_txt]]," ","")&lt;&gt;SUBSTITUTE(AV62," ",""))</f>
        <v>0</v>
      </c>
      <c r="AX63" s="8" t="s">
        <v>1518</v>
      </c>
    </row>
    <row r="64" spans="1:50" x14ac:dyDescent="0.4">
      <c r="B64" s="30">
        <v>43003.736805555556</v>
      </c>
      <c r="C64" t="s">
        <v>524</v>
      </c>
      <c r="D64" t="s">
        <v>477</v>
      </c>
      <c r="E64" t="s">
        <v>582</v>
      </c>
      <c r="F64" t="s">
        <v>654</v>
      </c>
      <c r="G64" s="8" t="s">
        <v>171</v>
      </c>
      <c r="H64" s="8" t="s">
        <v>169</v>
      </c>
      <c r="I64" s="8" t="s">
        <v>505</v>
      </c>
      <c r="J64" t="s">
        <v>94</v>
      </c>
      <c r="K64" t="s">
        <v>525</v>
      </c>
      <c r="L64" s="22">
        <v>43082.529826388891</v>
      </c>
      <c r="M64" s="109">
        <f xml:space="preserve"> M63+(ckAwdTable[ILN]&lt;"M")</f>
        <v>62</v>
      </c>
      <c r="N64" t="s">
        <v>95</v>
      </c>
      <c r="O64" t="s">
        <v>1279</v>
      </c>
      <c r="P64" s="15" t="str">
        <f>HYPERLINK("https://www.ejacket.nsf.gov/ej/showProposal.do?ID="&amp;ckAwdTable[[#This Row],[prop_id]],"eJ")</f>
        <v>eJ</v>
      </c>
      <c r="Q64" s="8" t="s">
        <v>478</v>
      </c>
      <c r="R64" t="s">
        <v>1279</v>
      </c>
      <c r="S64" t="s">
        <v>1280</v>
      </c>
      <c r="T64" t="s">
        <v>1524</v>
      </c>
      <c r="U64" s="8" t="s">
        <v>1709</v>
      </c>
      <c r="V64" t="s">
        <v>230</v>
      </c>
      <c r="W64" s="113" t="str">
        <f>HYPERLINK("mailto:"&amp; ckAwdTable[[#This Row],[email]]&amp;"&amp;subject=Your NSF Proposal:  "&amp;ckAwdTable[[#This Row],[prop_id]], ckAwdTable[[#This Row],[email]])</f>
        <v>goodrich@acm.org</v>
      </c>
      <c r="X64" s="30">
        <v>43282</v>
      </c>
      <c r="Y64">
        <v>48</v>
      </c>
      <c r="AA64" s="21" t="s">
        <v>13</v>
      </c>
      <c r="AB64" s="21" t="s">
        <v>382</v>
      </c>
      <c r="AC64"/>
      <c r="AD64" s="21" t="s">
        <v>13</v>
      </c>
      <c r="AE64" s="21" t="s">
        <v>506</v>
      </c>
      <c r="AF64" s="13">
        <v>1199544</v>
      </c>
      <c r="AG64" s="124">
        <v>0</v>
      </c>
      <c r="AH64" s="1">
        <v>1199544</v>
      </c>
      <c r="AI64" s="1"/>
      <c r="AJ64" s="1">
        <v>33265</v>
      </c>
      <c r="AM64" s="21">
        <v>8</v>
      </c>
      <c r="AN64" s="21">
        <v>12</v>
      </c>
      <c r="AO64" s="21">
        <v>12</v>
      </c>
      <c r="AP64" s="21"/>
      <c r="AQ64" s="21"/>
      <c r="AR64" s="126" t="s">
        <v>172</v>
      </c>
      <c r="AS64" s="21" t="s">
        <v>493</v>
      </c>
      <c r="AT64" s="21" t="str">
        <f>IFERROR(IF(FIND("?",ckAwdTable[abst_narr_txt]),SummarizeQuestMarks(ckAwdTable[abst_narr_txt]),""),"")</f>
        <v/>
      </c>
      <c r="AU64" s="119"/>
      <c r="AV64" t="s">
        <v>1710</v>
      </c>
      <c r="AW64" t="b">
        <f>AND(ckAwdTable[[#This Row],[ILN]]&gt;"M", SUBSTITUTE(ckAwdTable[[#This Row],[prop_titl_txt]]," ","")&lt;&gt;SUBSTITUTE(AV63," ",""))</f>
        <v>0</v>
      </c>
      <c r="AX64" s="8" t="s">
        <v>1711</v>
      </c>
    </row>
    <row r="65" spans="2:50" x14ac:dyDescent="0.4">
      <c r="B65" s="30">
        <v>43004.474999999999</v>
      </c>
      <c r="C65" t="s">
        <v>524</v>
      </c>
      <c r="D65" t="s">
        <v>477</v>
      </c>
      <c r="E65" t="s">
        <v>582</v>
      </c>
      <c r="F65" t="s">
        <v>611</v>
      </c>
      <c r="G65" s="8" t="s">
        <v>171</v>
      </c>
      <c r="H65" s="8" t="s">
        <v>169</v>
      </c>
      <c r="I65" s="8" t="s">
        <v>505</v>
      </c>
      <c r="J65" t="s">
        <v>94</v>
      </c>
      <c r="K65" t="s">
        <v>525</v>
      </c>
      <c r="L65" s="22"/>
      <c r="M65" s="109">
        <f xml:space="preserve"> M64+(ckAwdTable[ILN]&lt;"M")</f>
        <v>63</v>
      </c>
      <c r="N65" t="s">
        <v>491</v>
      </c>
      <c r="O65" t="s">
        <v>1295</v>
      </c>
      <c r="P65" s="15" t="str">
        <f>HYPERLINK("https://www.ejacket.nsf.gov/ej/showProposal.do?ID="&amp;ckAwdTable[[#This Row],[prop_id]],"eJ")</f>
        <v>eJ</v>
      </c>
      <c r="Q65" s="8" t="s">
        <v>478</v>
      </c>
      <c r="R65" t="s">
        <v>1295</v>
      </c>
      <c r="S65" t="s">
        <v>1296</v>
      </c>
      <c r="T65" t="s">
        <v>1713</v>
      </c>
      <c r="U65" s="8" t="s">
        <v>527</v>
      </c>
      <c r="V65" t="s">
        <v>496</v>
      </c>
      <c r="W65" s="113" t="str">
        <f>HYPERLINK("mailto:"&amp; ckAwdTable[[#This Row],[email]]&amp;"&amp;subject=Your NSF Proposal:  "&amp;ckAwdTable[[#This Row],[prop_id]], ckAwdTable[[#This Row],[email]])</f>
        <v>aaroth@cis.upenn.edu</v>
      </c>
      <c r="X65" s="30">
        <v>43313</v>
      </c>
      <c r="Y65">
        <v>48</v>
      </c>
      <c r="AA65" s="21" t="s">
        <v>13</v>
      </c>
      <c r="AB65" s="21" t="s">
        <v>382</v>
      </c>
      <c r="AC65"/>
      <c r="AD65" s="21" t="s">
        <v>13</v>
      </c>
      <c r="AF65" s="13">
        <v>950000</v>
      </c>
      <c r="AG65" s="124">
        <v>0</v>
      </c>
      <c r="AH65" s="1">
        <v>950000</v>
      </c>
      <c r="AI65" s="1"/>
      <c r="AJ65" s="1"/>
      <c r="AM65" s="21">
        <v>7</v>
      </c>
      <c r="AN65" s="21">
        <v>12</v>
      </c>
      <c r="AO65" s="21">
        <v>7</v>
      </c>
      <c r="AP65" s="21"/>
      <c r="AQ65" s="21"/>
      <c r="AR65" s="126" t="s">
        <v>172</v>
      </c>
      <c r="AS65" s="21" t="s">
        <v>493</v>
      </c>
      <c r="AT65" s="21" t="str">
        <f>IFERROR(IF(FIND("?",ckAwdTable[abst_narr_txt]),SummarizeQuestMarks(ckAwdTable[abst_narr_txt]),""),"")</f>
        <v/>
      </c>
      <c r="AU65" s="119"/>
      <c r="AV65" t="s">
        <v>1715</v>
      </c>
      <c r="AW65" t="b">
        <f>AND(ckAwdTable[[#This Row],[ILN]]&gt;"M", SUBSTITUTE(ckAwdTable[[#This Row],[prop_titl_txt]]," ","")&lt;&gt;SUBSTITUTE(AV64," ",""))</f>
        <v>0</v>
      </c>
      <c r="AX65" s="8" t="s">
        <v>1716</v>
      </c>
    </row>
    <row r="66" spans="2:50" x14ac:dyDescent="0.4">
      <c r="B66" s="30">
        <v>43004.605555555558</v>
      </c>
      <c r="C66" t="s">
        <v>524</v>
      </c>
      <c r="D66" t="s">
        <v>477</v>
      </c>
      <c r="E66" t="s">
        <v>582</v>
      </c>
      <c r="F66" t="s">
        <v>611</v>
      </c>
      <c r="G66" s="8" t="s">
        <v>171</v>
      </c>
      <c r="H66" s="8" t="s">
        <v>169</v>
      </c>
      <c r="I66" s="8" t="s">
        <v>505</v>
      </c>
      <c r="J66" t="s">
        <v>94</v>
      </c>
      <c r="K66" t="s">
        <v>525</v>
      </c>
      <c r="L66" s="22"/>
      <c r="M66" s="109">
        <f xml:space="preserve"> M65+(ckAwdTable[ILN]&lt;"M")</f>
        <v>63</v>
      </c>
      <c r="N66" t="s">
        <v>493</v>
      </c>
      <c r="O66" t="s">
        <v>1295</v>
      </c>
      <c r="P66" s="15" t="str">
        <f>HYPERLINK("https://www.ejacket.nsf.gov/ej/showProposal.do?ID="&amp;ckAwdTable[[#This Row],[prop_id]],"eJ")</f>
        <v>eJ</v>
      </c>
      <c r="Q66" s="8" t="s">
        <v>478</v>
      </c>
      <c r="R66" t="s">
        <v>1717</v>
      </c>
      <c r="S66" t="s">
        <v>1718</v>
      </c>
      <c r="T66" t="s">
        <v>1719</v>
      </c>
      <c r="U66" s="8" t="s">
        <v>499</v>
      </c>
      <c r="V66" t="s">
        <v>310</v>
      </c>
      <c r="W66" s="113" t="str">
        <f>HYPERLINK("mailto:"&amp; ckAwdTable[[#This Row],[email]]&amp;"&amp;subject=Your NSF Proposal:  "&amp;ckAwdTable[[#This Row],[prop_id]], ckAwdTable[[#This Row],[email]])</f>
        <v>Mallesh.Pai@rice.edu</v>
      </c>
      <c r="X66" s="30">
        <v>43313</v>
      </c>
      <c r="Y66">
        <v>48</v>
      </c>
      <c r="AA66" s="21" t="s">
        <v>13</v>
      </c>
      <c r="AB66" s="21" t="s">
        <v>382</v>
      </c>
      <c r="AC66"/>
      <c r="AD66" s="21" t="s">
        <v>13</v>
      </c>
      <c r="AF66" s="13">
        <v>250000</v>
      </c>
      <c r="AG66" s="124">
        <v>0</v>
      </c>
      <c r="AH66" s="1">
        <v>250000</v>
      </c>
      <c r="AI66" s="1"/>
      <c r="AJ66" s="1"/>
      <c r="AM66" s="21">
        <v>4</v>
      </c>
      <c r="AN66" s="21">
        <v>4</v>
      </c>
      <c r="AO66" s="21">
        <v>2</v>
      </c>
      <c r="AP66" s="21"/>
      <c r="AQ66" s="21"/>
      <c r="AR66" s="126" t="s">
        <v>172</v>
      </c>
      <c r="AS66" s="21" t="s">
        <v>493</v>
      </c>
      <c r="AT66" s="21" t="str">
        <f>IFERROR(IF(FIND("?",ckAwdTable[abst_narr_txt]),SummarizeQuestMarks(ckAwdTable[abst_narr_txt]),""),"")</f>
        <v/>
      </c>
      <c r="AU66" s="119"/>
      <c r="AV66" t="s">
        <v>1720</v>
      </c>
      <c r="AW66" t="b">
        <f>AND(ckAwdTable[[#This Row],[ILN]]&gt;"M", SUBSTITUTE(ckAwdTable[[#This Row],[prop_titl_txt]]," ","")&lt;&gt;SUBSTITUTE(AV65," ",""))</f>
        <v>0</v>
      </c>
      <c r="AX66" s="8" t="s">
        <v>1721</v>
      </c>
    </row>
    <row r="67" spans="2:50" x14ac:dyDescent="0.4">
      <c r="B67" s="30">
        <v>43004.490972222222</v>
      </c>
      <c r="C67" t="s">
        <v>524</v>
      </c>
      <c r="D67" t="s">
        <v>477</v>
      </c>
      <c r="E67" t="s">
        <v>582</v>
      </c>
      <c r="F67" t="s">
        <v>611</v>
      </c>
      <c r="G67" s="8" t="s">
        <v>171</v>
      </c>
      <c r="H67" s="8" t="s">
        <v>169</v>
      </c>
      <c r="I67" s="8" t="s">
        <v>505</v>
      </c>
      <c r="J67" t="s">
        <v>94</v>
      </c>
      <c r="K67" t="s">
        <v>525</v>
      </c>
      <c r="L67" s="22"/>
      <c r="M67" s="109">
        <f xml:space="preserve"> M66+(ckAwdTable[ILN]&lt;"M")</f>
        <v>64</v>
      </c>
      <c r="N67" t="s">
        <v>491</v>
      </c>
      <c r="O67" t="s">
        <v>1305</v>
      </c>
      <c r="P67" s="15" t="str">
        <f>HYPERLINK("https://www.ejacket.nsf.gov/ej/showProposal.do?ID="&amp;ckAwdTable[[#This Row],[prop_id]],"eJ")</f>
        <v>eJ</v>
      </c>
      <c r="Q67" s="8" t="s">
        <v>478</v>
      </c>
      <c r="R67" t="s">
        <v>1305</v>
      </c>
      <c r="S67" t="s">
        <v>1306</v>
      </c>
      <c r="T67" t="s">
        <v>1671</v>
      </c>
      <c r="U67" s="8" t="s">
        <v>1465</v>
      </c>
      <c r="V67" t="s">
        <v>230</v>
      </c>
      <c r="W67" s="113" t="str">
        <f>HYPERLINK("mailto:"&amp; ckAwdTable[[#This Row],[email]]&amp;"&amp;subject=Your NSF Proposal:  "&amp;ckAwdTable[[#This Row],[prop_id]], ckAwdTable[[#This Row],[email]])</f>
        <v>omreing@stanford.edu</v>
      </c>
      <c r="X67" s="30">
        <v>43344</v>
      </c>
      <c r="Y67">
        <v>48</v>
      </c>
      <c r="AA67" s="21" t="s">
        <v>13</v>
      </c>
      <c r="AB67" s="21" t="s">
        <v>382</v>
      </c>
      <c r="AC67"/>
      <c r="AD67" s="21" t="s">
        <v>13</v>
      </c>
      <c r="AE67" s="21" t="s">
        <v>506</v>
      </c>
      <c r="AF67" s="13">
        <v>650000</v>
      </c>
      <c r="AG67" s="124">
        <v>0</v>
      </c>
      <c r="AH67" s="1">
        <v>650000</v>
      </c>
      <c r="AI67" s="1"/>
      <c r="AJ67" s="1">
        <v>12000</v>
      </c>
      <c r="AM67" s="21">
        <v>8</v>
      </c>
      <c r="AN67" s="21">
        <v>4</v>
      </c>
      <c r="AO67" s="21">
        <v>4</v>
      </c>
      <c r="AP67" s="21"/>
      <c r="AQ67" s="21"/>
      <c r="AR67" s="126" t="s">
        <v>172</v>
      </c>
      <c r="AS67" s="21" t="s">
        <v>493</v>
      </c>
      <c r="AT67" s="21" t="str">
        <f>IFERROR(IF(FIND("?",ckAwdTable[abst_narr_txt]),SummarizeQuestMarks(ckAwdTable[abst_narr_txt]),""),"")</f>
        <v/>
      </c>
      <c r="AU67" s="119"/>
      <c r="AV67" t="s">
        <v>1723</v>
      </c>
      <c r="AW67" t="b">
        <f>AND(ckAwdTable[[#This Row],[ILN]]&gt;"M", SUBSTITUTE(ckAwdTable[[#This Row],[prop_titl_txt]]," ","")&lt;&gt;SUBSTITUTE(AV66," ",""))</f>
        <v>0</v>
      </c>
      <c r="AX67" s="8" t="s">
        <v>1724</v>
      </c>
    </row>
    <row r="68" spans="2:50" x14ac:dyDescent="0.4">
      <c r="B68" s="30">
        <v>43004.444444444445</v>
      </c>
      <c r="C68" t="s">
        <v>524</v>
      </c>
      <c r="D68" t="s">
        <v>477</v>
      </c>
      <c r="E68" t="s">
        <v>582</v>
      </c>
      <c r="F68" t="s">
        <v>611</v>
      </c>
      <c r="G68" s="8" t="s">
        <v>171</v>
      </c>
      <c r="H68" s="8" t="s">
        <v>169</v>
      </c>
      <c r="I68" s="8" t="s">
        <v>505</v>
      </c>
      <c r="J68" t="s">
        <v>94</v>
      </c>
      <c r="K68" t="s">
        <v>525</v>
      </c>
      <c r="L68" s="22"/>
      <c r="M68" s="109">
        <f xml:space="preserve"> M67+(ckAwdTable[ILN]&lt;"M")</f>
        <v>64</v>
      </c>
      <c r="N68" t="s">
        <v>493</v>
      </c>
      <c r="O68" t="s">
        <v>1305</v>
      </c>
      <c r="P68" s="15" t="str">
        <f>HYPERLINK("https://www.ejacket.nsf.gov/ej/showProposal.do?ID="&amp;ckAwdTable[[#This Row],[prop_id]],"eJ")</f>
        <v>eJ</v>
      </c>
      <c r="Q68" s="8" t="s">
        <v>478</v>
      </c>
      <c r="R68" t="s">
        <v>1725</v>
      </c>
      <c r="S68" t="s">
        <v>1726</v>
      </c>
      <c r="T68" t="s">
        <v>1727</v>
      </c>
      <c r="U68" s="8" t="s">
        <v>1728</v>
      </c>
      <c r="V68" t="s">
        <v>231</v>
      </c>
      <c r="W68" s="113" t="str">
        <f>HYPERLINK("mailto:"&amp; ckAwdTable[[#This Row],[email]]&amp;"&amp;subject=Your NSF Proposal:  "&amp;ckAwdTable[[#This Row],[prop_id]], ckAwdTable[[#This Row],[email]])</f>
        <v>salil_vadhan@harvard.edu</v>
      </c>
      <c r="X68" s="30">
        <v>43344</v>
      </c>
      <c r="Y68">
        <v>48</v>
      </c>
      <c r="AA68" s="21" t="s">
        <v>13</v>
      </c>
      <c r="AB68" s="21" t="s">
        <v>382</v>
      </c>
      <c r="AC68"/>
      <c r="AD68" s="21" t="s">
        <v>13</v>
      </c>
      <c r="AE68" s="21" t="s">
        <v>506</v>
      </c>
      <c r="AF68" s="13">
        <v>550000</v>
      </c>
      <c r="AG68" s="124">
        <v>0</v>
      </c>
      <c r="AH68" s="1">
        <v>550000</v>
      </c>
      <c r="AI68" s="1"/>
      <c r="AJ68" s="1">
        <v>14200</v>
      </c>
      <c r="AM68" s="21">
        <v>5</v>
      </c>
      <c r="AN68" s="21">
        <v>4</v>
      </c>
      <c r="AO68" s="21"/>
      <c r="AP68" s="21"/>
      <c r="AQ68" s="21">
        <v>4</v>
      </c>
      <c r="AR68" s="126" t="s">
        <v>172</v>
      </c>
      <c r="AS68" s="21" t="s">
        <v>493</v>
      </c>
      <c r="AT68" s="21" t="str">
        <f>IFERROR(IF(FIND("?",ckAwdTable[abst_narr_txt]),SummarizeQuestMarks(ckAwdTable[abst_narr_txt]),""),"")</f>
        <v/>
      </c>
      <c r="AU68" s="119"/>
      <c r="AV68" t="s">
        <v>1729</v>
      </c>
      <c r="AW68" t="b">
        <f>AND(ckAwdTable[[#This Row],[ILN]]&gt;"M", SUBSTITUTE(ckAwdTable[[#This Row],[prop_titl_txt]]," ","")&lt;&gt;SUBSTITUTE(AV67," ",""))</f>
        <v>0</v>
      </c>
      <c r="AX68" s="8" t="s">
        <v>1730</v>
      </c>
    </row>
    <row r="69" spans="2:50" x14ac:dyDescent="0.4">
      <c r="B69" s="30">
        <v>43004.497916666667</v>
      </c>
      <c r="C69" t="s">
        <v>524</v>
      </c>
      <c r="D69" t="s">
        <v>477</v>
      </c>
      <c r="E69" t="s">
        <v>582</v>
      </c>
      <c r="F69" t="s">
        <v>611</v>
      </c>
      <c r="G69" s="8" t="s">
        <v>171</v>
      </c>
      <c r="H69" s="8" t="s">
        <v>169</v>
      </c>
      <c r="I69" s="8" t="s">
        <v>505</v>
      </c>
      <c r="J69" t="s">
        <v>94</v>
      </c>
      <c r="K69" t="s">
        <v>525</v>
      </c>
      <c r="L69" s="22"/>
      <c r="M69" s="109">
        <f xml:space="preserve"> M68+(ckAwdTable[ILN]&lt;"M")</f>
        <v>65</v>
      </c>
      <c r="N69" t="s">
        <v>491</v>
      </c>
      <c r="O69" t="s">
        <v>1315</v>
      </c>
      <c r="P69" s="15" t="str">
        <f>HYPERLINK("https://www.ejacket.nsf.gov/ej/showProposal.do?ID="&amp;ckAwdTable[[#This Row],[prop_id]],"eJ")</f>
        <v>eJ</v>
      </c>
      <c r="Q69" s="8" t="s">
        <v>478</v>
      </c>
      <c r="R69" t="s">
        <v>1315</v>
      </c>
      <c r="S69" t="s">
        <v>1296</v>
      </c>
      <c r="T69" t="s">
        <v>1713</v>
      </c>
      <c r="U69" s="8" t="s">
        <v>527</v>
      </c>
      <c r="V69" t="s">
        <v>496</v>
      </c>
      <c r="W69" s="113" t="str">
        <f>HYPERLINK("mailto:"&amp; ckAwdTable[[#This Row],[email]]&amp;"&amp;subject=Your NSF Proposal:  "&amp;ckAwdTable[[#This Row],[prop_id]], ckAwdTable[[#This Row],[email]])</f>
        <v>aaroth@cis.upenn.edu</v>
      </c>
      <c r="X69" s="30">
        <v>43313</v>
      </c>
      <c r="Y69">
        <v>36</v>
      </c>
      <c r="AA69" s="21" t="s">
        <v>13</v>
      </c>
      <c r="AB69" s="21" t="s">
        <v>382</v>
      </c>
      <c r="AC69"/>
      <c r="AD69" s="21" t="s">
        <v>13</v>
      </c>
      <c r="AF69" s="13">
        <v>378000</v>
      </c>
      <c r="AG69" s="124">
        <v>0</v>
      </c>
      <c r="AH69" s="1">
        <v>378000</v>
      </c>
      <c r="AI69" s="1"/>
      <c r="AJ69" s="1"/>
      <c r="AM69" s="21">
        <v>3</v>
      </c>
      <c r="AN69" s="21">
        <v>6</v>
      </c>
      <c r="AO69" s="21">
        <v>3.93</v>
      </c>
      <c r="AP69" s="21"/>
      <c r="AQ69" s="21"/>
      <c r="AR69" s="126" t="s">
        <v>172</v>
      </c>
      <c r="AS69" s="21" t="s">
        <v>493</v>
      </c>
      <c r="AT69" s="21" t="str">
        <f>IFERROR(IF(FIND("?",ckAwdTable[abst_narr_txt]),SummarizeQuestMarks(ckAwdTable[abst_narr_txt]),""),"")</f>
        <v/>
      </c>
      <c r="AU69" s="119"/>
      <c r="AV69" t="s">
        <v>1732</v>
      </c>
      <c r="AW69" t="b">
        <f>AND(ckAwdTable[[#This Row],[ILN]]&gt;"M", SUBSTITUTE(ckAwdTable[[#This Row],[prop_titl_txt]]," ","")&lt;&gt;SUBSTITUTE(AV68," ",""))</f>
        <v>0</v>
      </c>
      <c r="AX69" s="8" t="s">
        <v>1716</v>
      </c>
    </row>
    <row r="70" spans="2:50" x14ac:dyDescent="0.4">
      <c r="B70" s="30">
        <v>43003.538194444445</v>
      </c>
      <c r="C70" t="s">
        <v>524</v>
      </c>
      <c r="D70" t="s">
        <v>477</v>
      </c>
      <c r="E70" t="s">
        <v>582</v>
      </c>
      <c r="F70" t="s">
        <v>611</v>
      </c>
      <c r="G70" s="8" t="s">
        <v>171</v>
      </c>
      <c r="H70" s="8" t="s">
        <v>169</v>
      </c>
      <c r="I70" s="8" t="s">
        <v>505</v>
      </c>
      <c r="J70" t="s">
        <v>94</v>
      </c>
      <c r="K70" t="s">
        <v>525</v>
      </c>
      <c r="L70" s="22"/>
      <c r="M70" s="109">
        <f xml:space="preserve"> M69+(ckAwdTable[ILN]&lt;"M")</f>
        <v>65</v>
      </c>
      <c r="N70" t="s">
        <v>493</v>
      </c>
      <c r="O70" t="s">
        <v>1315</v>
      </c>
      <c r="P70" s="15" t="str">
        <f>HYPERLINK("https://www.ejacket.nsf.gov/ej/showProposal.do?ID="&amp;ckAwdTable[[#This Row],[prop_id]],"eJ")</f>
        <v>eJ</v>
      </c>
      <c r="Q70" s="8" t="s">
        <v>478</v>
      </c>
      <c r="R70" t="s">
        <v>1733</v>
      </c>
      <c r="S70" t="s">
        <v>1734</v>
      </c>
      <c r="T70" t="s">
        <v>1735</v>
      </c>
      <c r="U70" s="8" t="s">
        <v>1465</v>
      </c>
      <c r="V70" t="s">
        <v>230</v>
      </c>
      <c r="W70" s="113" t="str">
        <f>HYPERLINK("mailto:"&amp; ckAwdTable[[#This Row],[email]]&amp;"&amp;subject=Your NSF Proposal:  "&amp;ckAwdTable[[#This Row],[prop_id]], ckAwdTable[[#This Row],[email]])</f>
        <v>jamesz@stanford.edu</v>
      </c>
      <c r="X70" s="30">
        <v>43313</v>
      </c>
      <c r="Y70">
        <v>36</v>
      </c>
      <c r="AA70" s="21" t="s">
        <v>13</v>
      </c>
      <c r="AB70" s="21" t="s">
        <v>382</v>
      </c>
      <c r="AC70"/>
      <c r="AD70" s="21" t="s">
        <v>13</v>
      </c>
      <c r="AF70" s="13">
        <v>276000</v>
      </c>
      <c r="AG70" s="124">
        <v>0</v>
      </c>
      <c r="AH70" s="1">
        <v>276000</v>
      </c>
      <c r="AI70" s="1"/>
      <c r="AJ70" s="1"/>
      <c r="AM70" s="21">
        <v>3</v>
      </c>
      <c r="AN70" s="21">
        <v>3</v>
      </c>
      <c r="AO70" s="21"/>
      <c r="AP70" s="21"/>
      <c r="AQ70" s="21">
        <v>2.88</v>
      </c>
      <c r="AR70" s="126" t="s">
        <v>172</v>
      </c>
      <c r="AS70" s="21" t="s">
        <v>493</v>
      </c>
      <c r="AT70" s="21" t="str">
        <f>IFERROR(IF(FIND("?",ckAwdTable[abst_narr_txt]),SummarizeQuestMarks(ckAwdTable[abst_narr_txt]),""),"")</f>
        <v/>
      </c>
      <c r="AU70" s="119"/>
      <c r="AV70" t="s">
        <v>1732</v>
      </c>
      <c r="AW70" t="b">
        <f>AND(ckAwdTable[[#This Row],[ILN]]&gt;"M", SUBSTITUTE(ckAwdTable[[#This Row],[prop_titl_txt]]," ","")&lt;&gt;SUBSTITUTE(AV69," ",""))</f>
        <v>0</v>
      </c>
      <c r="AX70" s="8" t="s">
        <v>1736</v>
      </c>
    </row>
    <row r="71" spans="2:50" x14ac:dyDescent="0.4">
      <c r="B71" s="30">
        <v>43005.559027777781</v>
      </c>
      <c r="C71" t="s">
        <v>524</v>
      </c>
      <c r="D71" t="s">
        <v>477</v>
      </c>
      <c r="E71" t="s">
        <v>582</v>
      </c>
      <c r="F71" t="s">
        <v>611</v>
      </c>
      <c r="G71" s="8" t="s">
        <v>171</v>
      </c>
      <c r="H71" s="8" t="s">
        <v>169</v>
      </c>
      <c r="I71" s="8" t="s">
        <v>505</v>
      </c>
      <c r="J71" t="s">
        <v>94</v>
      </c>
      <c r="K71" t="s">
        <v>525</v>
      </c>
      <c r="L71" s="22"/>
      <c r="M71" s="109">
        <f xml:space="preserve"> M70+(ckAwdTable[ILN]&lt;"M")</f>
        <v>65</v>
      </c>
      <c r="N71" t="s">
        <v>493</v>
      </c>
      <c r="O71" t="s">
        <v>1315</v>
      </c>
      <c r="P71" s="15" t="str">
        <f>HYPERLINK("https://www.ejacket.nsf.gov/ej/showProposal.do?ID="&amp;ckAwdTable[[#This Row],[prop_id]],"eJ")</f>
        <v>eJ</v>
      </c>
      <c r="Q71" s="8" t="s">
        <v>478</v>
      </c>
      <c r="R71" t="s">
        <v>1737</v>
      </c>
      <c r="S71" t="s">
        <v>1738</v>
      </c>
      <c r="T71" t="s">
        <v>1739</v>
      </c>
      <c r="U71" s="8" t="s">
        <v>1728</v>
      </c>
      <c r="V71" t="s">
        <v>231</v>
      </c>
      <c r="W71" s="113" t="str">
        <f>HYPERLINK("mailto:"&amp; ckAwdTable[[#This Row],[email]]&amp;"&amp;subject=Your NSF Proposal:  "&amp;ckAwdTable[[#This Row],[prop_id]], ckAwdTable[[#This Row],[email]])</f>
        <v>dwork@seas.harvard.edu</v>
      </c>
      <c r="X71" s="30">
        <v>43313</v>
      </c>
      <c r="Y71">
        <v>36</v>
      </c>
      <c r="AA71" s="21" t="s">
        <v>13</v>
      </c>
      <c r="AB71" s="21" t="s">
        <v>382</v>
      </c>
      <c r="AC71"/>
      <c r="AD71" s="21" t="s">
        <v>13</v>
      </c>
      <c r="AF71" s="13">
        <v>286000</v>
      </c>
      <c r="AG71" s="124">
        <v>0</v>
      </c>
      <c r="AH71" s="1">
        <v>286000</v>
      </c>
      <c r="AI71" s="1"/>
      <c r="AJ71" s="1"/>
      <c r="AM71" s="21">
        <v>1</v>
      </c>
      <c r="AN71" s="21">
        <v>3</v>
      </c>
      <c r="AO71" s="21"/>
      <c r="AP71" s="21"/>
      <c r="AQ71" s="21">
        <v>2.33</v>
      </c>
      <c r="AR71" s="126" t="s">
        <v>172</v>
      </c>
      <c r="AS71" s="21" t="s">
        <v>493</v>
      </c>
      <c r="AT71" s="21" t="str">
        <f>IFERROR(IF(FIND("?",ckAwdTable[abst_narr_txt]),SummarizeQuestMarks(ckAwdTable[abst_narr_txt]),""),"")</f>
        <v/>
      </c>
      <c r="AU71" s="119"/>
      <c r="AV71" t="s">
        <v>1740</v>
      </c>
      <c r="AW71" t="b">
        <f>AND(ckAwdTable[[#This Row],[ILN]]&gt;"M", SUBSTITUTE(ckAwdTable[[#This Row],[prop_titl_txt]]," ","")&lt;&gt;SUBSTITUTE(AV70," ",""))</f>
        <v>1</v>
      </c>
      <c r="AX71" s="8" t="s">
        <v>1741</v>
      </c>
    </row>
    <row r="72" spans="2:50" x14ac:dyDescent="0.4">
      <c r="B72" s="30">
        <v>43005.611111111109</v>
      </c>
      <c r="C72" t="s">
        <v>524</v>
      </c>
      <c r="D72" t="s">
        <v>477</v>
      </c>
      <c r="E72" t="s">
        <v>582</v>
      </c>
      <c r="F72" t="s">
        <v>611</v>
      </c>
      <c r="G72" s="8" t="s">
        <v>171</v>
      </c>
      <c r="H72" s="8" t="s">
        <v>169</v>
      </c>
      <c r="I72" s="8" t="s">
        <v>505</v>
      </c>
      <c r="J72" t="s">
        <v>94</v>
      </c>
      <c r="K72" t="s">
        <v>525</v>
      </c>
      <c r="L72" s="22"/>
      <c r="M72" s="109">
        <f xml:space="preserve"> M71+(ckAwdTable[ILN]&lt;"M")</f>
        <v>65</v>
      </c>
      <c r="N72" t="s">
        <v>493</v>
      </c>
      <c r="O72" t="s">
        <v>1315</v>
      </c>
      <c r="P72" s="15" t="str">
        <f>HYPERLINK("https://www.ejacket.nsf.gov/ej/showProposal.do?ID="&amp;ckAwdTable[[#This Row],[prop_id]],"eJ")</f>
        <v>eJ</v>
      </c>
      <c r="Q72" s="8" t="s">
        <v>478</v>
      </c>
      <c r="R72" t="s">
        <v>1742</v>
      </c>
      <c r="S72" t="s">
        <v>1743</v>
      </c>
      <c r="T72" t="s">
        <v>1744</v>
      </c>
      <c r="U72" s="8" t="s">
        <v>1529</v>
      </c>
      <c r="V72" t="s">
        <v>231</v>
      </c>
      <c r="W72" s="113" t="str">
        <f>HYPERLINK("mailto:"&amp; ckAwdTable[[#This Row],[email]]&amp;"&amp;subject=Your NSF Proposal:  "&amp;ckAwdTable[[#This Row],[prop_id]], ckAwdTable[[#This Row],[email]])</f>
        <v>ads22@bu.edu</v>
      </c>
      <c r="X72" s="30">
        <v>43313</v>
      </c>
      <c r="Y72">
        <v>36</v>
      </c>
      <c r="AA72" s="21" t="s">
        <v>13</v>
      </c>
      <c r="AB72" s="21" t="s">
        <v>382</v>
      </c>
      <c r="AC72"/>
      <c r="AD72" s="21" t="s">
        <v>13</v>
      </c>
      <c r="AF72" s="13">
        <v>260000</v>
      </c>
      <c r="AG72" s="124">
        <v>0</v>
      </c>
      <c r="AH72" s="1">
        <v>260000</v>
      </c>
      <c r="AI72" s="1"/>
      <c r="AJ72" s="1"/>
      <c r="AM72" s="21">
        <v>6</v>
      </c>
      <c r="AN72" s="21">
        <v>3</v>
      </c>
      <c r="AO72" s="21">
        <v>1.65</v>
      </c>
      <c r="AP72" s="21"/>
      <c r="AQ72" s="21"/>
      <c r="AR72" s="126" t="s">
        <v>172</v>
      </c>
      <c r="AS72" s="21" t="s">
        <v>493</v>
      </c>
      <c r="AT72" s="21" t="str">
        <f>IFERROR(IF(FIND("?",ckAwdTable[abst_narr_txt]),SummarizeQuestMarks(ckAwdTable[abst_narr_txt]),""),"")</f>
        <v/>
      </c>
      <c r="AU72" s="119"/>
      <c r="AV72" t="s">
        <v>1745</v>
      </c>
      <c r="AW72" t="b">
        <f>AND(ckAwdTable[[#This Row],[ILN]]&gt;"M", SUBSTITUTE(ckAwdTable[[#This Row],[prop_titl_txt]]," ","")&lt;&gt;SUBSTITUTE(AV71," ",""))</f>
        <v>1</v>
      </c>
      <c r="AX72" s="8" t="s">
        <v>1746</v>
      </c>
    </row>
    <row r="73" spans="2:50" x14ac:dyDescent="0.4">
      <c r="B73" s="30">
        <v>43004.525694444441</v>
      </c>
      <c r="C73" t="s">
        <v>524</v>
      </c>
      <c r="D73" t="s">
        <v>477</v>
      </c>
      <c r="E73" t="s">
        <v>582</v>
      </c>
      <c r="F73" t="s">
        <v>611</v>
      </c>
      <c r="G73" s="8" t="s">
        <v>171</v>
      </c>
      <c r="H73" s="8" t="s">
        <v>169</v>
      </c>
      <c r="I73" s="8" t="s">
        <v>505</v>
      </c>
      <c r="J73" t="s">
        <v>94</v>
      </c>
      <c r="K73" t="s">
        <v>525</v>
      </c>
      <c r="L73" s="22">
        <v>43082.529895833337</v>
      </c>
      <c r="M73" s="109">
        <f xml:space="preserve"> M72+(ckAwdTable[ILN]&lt;"M")</f>
        <v>66</v>
      </c>
      <c r="N73" t="s">
        <v>491</v>
      </c>
      <c r="O73" t="s">
        <v>1322</v>
      </c>
      <c r="P73" s="15" t="str">
        <f>HYPERLINK("https://www.ejacket.nsf.gov/ej/showProposal.do?ID="&amp;ckAwdTable[[#This Row],[prop_id]],"eJ")</f>
        <v>eJ</v>
      </c>
      <c r="Q73" s="8" t="s">
        <v>478</v>
      </c>
      <c r="R73" t="s">
        <v>1322</v>
      </c>
      <c r="S73" t="s">
        <v>1323</v>
      </c>
      <c r="T73" t="s">
        <v>1747</v>
      </c>
      <c r="U73" s="8" t="s">
        <v>1520</v>
      </c>
      <c r="V73" t="s">
        <v>309</v>
      </c>
      <c r="W73" s="113" t="str">
        <f>HYPERLINK("mailto:"&amp; ckAwdTable[[#This Row],[email]]&amp;"&amp;subject=Your NSF Proposal:  "&amp;ckAwdTable[[#This Row],[prop_id]], ckAwdTable[[#This Row],[email]])</f>
        <v>kamesh@cs.duke.edu</v>
      </c>
      <c r="X73" s="30">
        <v>43282</v>
      </c>
      <c r="Y73">
        <v>48</v>
      </c>
      <c r="AA73" s="21" t="s">
        <v>13</v>
      </c>
      <c r="AB73" s="21" t="s">
        <v>382</v>
      </c>
      <c r="AC73"/>
      <c r="AD73" s="21" t="s">
        <v>13</v>
      </c>
      <c r="AE73" s="21" t="s">
        <v>506</v>
      </c>
      <c r="AF73" s="13">
        <v>599974</v>
      </c>
      <c r="AG73" s="124">
        <v>0</v>
      </c>
      <c r="AH73" s="1">
        <v>599974</v>
      </c>
      <c r="AI73" s="1"/>
      <c r="AJ73" s="1">
        <v>13912</v>
      </c>
      <c r="AM73" s="21">
        <v>5</v>
      </c>
      <c r="AN73" s="21">
        <v>4</v>
      </c>
      <c r="AO73" s="21">
        <v>7</v>
      </c>
      <c r="AP73" s="21"/>
      <c r="AQ73" s="21"/>
      <c r="AR73" s="126" t="s">
        <v>172</v>
      </c>
      <c r="AS73" s="21" t="s">
        <v>493</v>
      </c>
      <c r="AT73" s="21" t="str">
        <f>IFERROR(IF(FIND("?",ckAwdTable[abst_narr_txt]),SummarizeQuestMarks(ckAwdTable[abst_narr_txt]),""),"")</f>
        <v/>
      </c>
      <c r="AU73" s="119"/>
      <c r="AV73" t="s">
        <v>1749</v>
      </c>
      <c r="AW73" t="b">
        <f>AND(ckAwdTable[[#This Row],[ILN]]&gt;"M", SUBSTITUTE(ckAwdTable[[#This Row],[prop_titl_txt]]," ","")&lt;&gt;SUBSTITUTE(AV72," ",""))</f>
        <v>0</v>
      </c>
      <c r="AX73" s="8" t="s">
        <v>1750</v>
      </c>
    </row>
    <row r="74" spans="2:50" x14ac:dyDescent="0.4">
      <c r="B74" s="30">
        <v>43004.724999999999</v>
      </c>
      <c r="C74" t="s">
        <v>524</v>
      </c>
      <c r="D74" t="s">
        <v>477</v>
      </c>
      <c r="E74" t="s">
        <v>582</v>
      </c>
      <c r="F74" t="s">
        <v>611</v>
      </c>
      <c r="G74" s="8" t="s">
        <v>171</v>
      </c>
      <c r="H74" s="8" t="s">
        <v>169</v>
      </c>
      <c r="I74" s="8" t="s">
        <v>505</v>
      </c>
      <c r="J74" t="s">
        <v>94</v>
      </c>
      <c r="K74" t="s">
        <v>525</v>
      </c>
      <c r="L74" s="22">
        <v>43082.529895833337</v>
      </c>
      <c r="M74" s="109">
        <f xml:space="preserve"> M73+(ckAwdTable[ILN]&lt;"M")</f>
        <v>66</v>
      </c>
      <c r="N74" t="s">
        <v>493</v>
      </c>
      <c r="O74" t="s">
        <v>1322</v>
      </c>
      <c r="P74" s="15" t="str">
        <f>HYPERLINK("https://www.ejacket.nsf.gov/ej/showProposal.do?ID="&amp;ckAwdTable[[#This Row],[prop_id]],"eJ")</f>
        <v>eJ</v>
      </c>
      <c r="Q74" s="8" t="s">
        <v>478</v>
      </c>
      <c r="R74" t="s">
        <v>1751</v>
      </c>
      <c r="S74" t="s">
        <v>1752</v>
      </c>
      <c r="T74" t="s">
        <v>1753</v>
      </c>
      <c r="U74" s="8" t="s">
        <v>1754</v>
      </c>
      <c r="V74" t="s">
        <v>1470</v>
      </c>
      <c r="W74" s="113" t="str">
        <f>HYPERLINK("mailto:"&amp; ckAwdTable[[#This Row],[email]]&amp;"&amp;subject=Your NSF Proposal:  "&amp;ckAwdTable[[#This Row],[prop_id]], ckAwdTable[[#This Row],[email]])</f>
        <v>sbanerjee@cornell.edu</v>
      </c>
      <c r="X74" s="30">
        <v>43282</v>
      </c>
      <c r="Y74">
        <v>48</v>
      </c>
      <c r="AA74" s="21" t="s">
        <v>13</v>
      </c>
      <c r="AB74" s="21" t="s">
        <v>382</v>
      </c>
      <c r="AC74"/>
      <c r="AD74" s="21" t="s">
        <v>13</v>
      </c>
      <c r="AE74" s="21" t="s">
        <v>2013</v>
      </c>
      <c r="AF74" s="13">
        <v>599070</v>
      </c>
      <c r="AG74" s="124">
        <v>0</v>
      </c>
      <c r="AH74" s="1">
        <v>599070</v>
      </c>
      <c r="AI74" s="1"/>
      <c r="AJ74" s="1">
        <v>24000</v>
      </c>
      <c r="AM74" s="21">
        <v>4</v>
      </c>
      <c r="AN74" s="21">
        <v>4</v>
      </c>
      <c r="AO74" s="21">
        <v>6</v>
      </c>
      <c r="AP74" s="21"/>
      <c r="AQ74" s="21"/>
      <c r="AR74" s="126" t="s">
        <v>172</v>
      </c>
      <c r="AS74" s="21" t="s">
        <v>493</v>
      </c>
      <c r="AT74" s="21" t="str">
        <f>IFERROR(IF(FIND("?",ckAwdTable[abst_narr_txt]),SummarizeQuestMarks(ckAwdTable[abst_narr_txt]),""),"")</f>
        <v/>
      </c>
      <c r="AU74" s="119"/>
      <c r="AV74" t="s">
        <v>1749</v>
      </c>
      <c r="AW74" t="b">
        <f>AND(ckAwdTable[[#This Row],[ILN]]&gt;"M", SUBSTITUTE(ckAwdTable[[#This Row],[prop_titl_txt]]," ","")&lt;&gt;SUBSTITUTE(AV73," ",""))</f>
        <v>0</v>
      </c>
      <c r="AX74" s="8" t="s">
        <v>1755</v>
      </c>
    </row>
    <row r="75" spans="2:50" x14ac:dyDescent="0.4">
      <c r="B75" s="30">
        <v>43005.413194444445</v>
      </c>
      <c r="C75" t="s">
        <v>524</v>
      </c>
      <c r="D75" t="s">
        <v>477</v>
      </c>
      <c r="E75" t="s">
        <v>582</v>
      </c>
      <c r="F75" t="s">
        <v>654</v>
      </c>
      <c r="G75" s="8" t="s">
        <v>171</v>
      </c>
      <c r="H75" s="8" t="s">
        <v>169</v>
      </c>
      <c r="I75" s="8" t="s">
        <v>505</v>
      </c>
      <c r="J75" t="s">
        <v>94</v>
      </c>
      <c r="K75" t="s">
        <v>525</v>
      </c>
      <c r="L75" s="22">
        <v>43082.529965277776</v>
      </c>
      <c r="M75" s="109">
        <f xml:space="preserve"> M74+(ckAwdTable[ILN]&lt;"M")</f>
        <v>67</v>
      </c>
      <c r="N75" t="s">
        <v>491</v>
      </c>
      <c r="O75" t="s">
        <v>1334</v>
      </c>
      <c r="P75" s="15" t="str">
        <f>HYPERLINK("https://www.ejacket.nsf.gov/ej/showProposal.do?ID="&amp;ckAwdTable[[#This Row],[prop_id]],"eJ")</f>
        <v>eJ</v>
      </c>
      <c r="Q75" s="8" t="s">
        <v>478</v>
      </c>
      <c r="R75" t="s">
        <v>1334</v>
      </c>
      <c r="S75" t="s">
        <v>1335</v>
      </c>
      <c r="T75" t="s">
        <v>1756</v>
      </c>
      <c r="U75" s="8" t="s">
        <v>1512</v>
      </c>
      <c r="V75" t="s">
        <v>1470</v>
      </c>
      <c r="W75" s="113" t="str">
        <f>HYPERLINK("mailto:"&amp; ckAwdTable[[#This Row],[email]]&amp;"&amp;subject=Your NSF Proposal:  "&amp;ckAwdTable[[#This Row],[prop_id]], ckAwdTable[[#This Row],[email]])</f>
        <v>atri@buffalo.edu</v>
      </c>
      <c r="X75" s="30">
        <v>43191</v>
      </c>
      <c r="Y75">
        <v>48</v>
      </c>
      <c r="AA75" s="21" t="s">
        <v>13</v>
      </c>
      <c r="AB75" s="21" t="s">
        <v>382</v>
      </c>
      <c r="AC75"/>
      <c r="AD75" s="21" t="s">
        <v>13</v>
      </c>
      <c r="AE75" s="21" t="s">
        <v>506</v>
      </c>
      <c r="AF75" s="13">
        <v>645322</v>
      </c>
      <c r="AG75" s="124">
        <v>0</v>
      </c>
      <c r="AH75" s="1">
        <v>645322</v>
      </c>
      <c r="AI75" s="1"/>
      <c r="AJ75" s="1">
        <v>20000</v>
      </c>
      <c r="AL75" s="1">
        <v>27000</v>
      </c>
      <c r="AM75" s="21">
        <v>4</v>
      </c>
      <c r="AN75" s="21">
        <v>4</v>
      </c>
      <c r="AO75" s="21">
        <v>7</v>
      </c>
      <c r="AP75" s="21"/>
      <c r="AQ75" s="21"/>
      <c r="AR75" s="126" t="s">
        <v>172</v>
      </c>
      <c r="AS75" s="21" t="s">
        <v>493</v>
      </c>
      <c r="AT75" s="21" t="str">
        <f>IFERROR(IF(FIND("?",ckAwdTable[abst_narr_txt]),SummarizeQuestMarks(ckAwdTable[abst_narr_txt]),""),"")</f>
        <v/>
      </c>
      <c r="AU75" s="119"/>
      <c r="AV75" t="s">
        <v>1758</v>
      </c>
      <c r="AW75" t="b">
        <f>AND(ckAwdTable[[#This Row],[ILN]]&gt;"M", SUBSTITUTE(ckAwdTable[[#This Row],[prop_titl_txt]]," ","")&lt;&gt;SUBSTITUTE(AV74," ",""))</f>
        <v>0</v>
      </c>
      <c r="AX75" s="8" t="s">
        <v>1759</v>
      </c>
    </row>
    <row r="76" spans="2:50" x14ac:dyDescent="0.4">
      <c r="B76" s="30">
        <v>43004.498611111114</v>
      </c>
      <c r="C76" t="s">
        <v>524</v>
      </c>
      <c r="D76" t="s">
        <v>477</v>
      </c>
      <c r="E76" t="s">
        <v>582</v>
      </c>
      <c r="F76" t="s">
        <v>654</v>
      </c>
      <c r="G76" s="8" t="s">
        <v>171</v>
      </c>
      <c r="H76" s="8" t="s">
        <v>169</v>
      </c>
      <c r="I76" s="8" t="s">
        <v>505</v>
      </c>
      <c r="J76" t="s">
        <v>94</v>
      </c>
      <c r="K76" t="s">
        <v>525</v>
      </c>
      <c r="L76" s="22">
        <v>43082.529965277776</v>
      </c>
      <c r="M76" s="109">
        <f xml:space="preserve"> M75+(ckAwdTable[ILN]&lt;"M")</f>
        <v>67</v>
      </c>
      <c r="N76" t="s">
        <v>493</v>
      </c>
      <c r="O76" t="s">
        <v>1334</v>
      </c>
      <c r="P76" s="15" t="str">
        <f>HYPERLINK("https://www.ejacket.nsf.gov/ej/showProposal.do?ID="&amp;ckAwdTable[[#This Row],[prop_id]],"eJ")</f>
        <v>eJ</v>
      </c>
      <c r="Q76" s="8" t="s">
        <v>478</v>
      </c>
      <c r="R76" t="s">
        <v>1760</v>
      </c>
      <c r="S76" t="s">
        <v>1761</v>
      </c>
      <c r="T76" t="s">
        <v>1762</v>
      </c>
      <c r="U76" s="8" t="s">
        <v>1465</v>
      </c>
      <c r="V76" t="s">
        <v>230</v>
      </c>
      <c r="W76" s="113" t="str">
        <f>HYPERLINK("mailto:"&amp; ckAwdTable[[#This Row],[email]]&amp;"&amp;subject=Your NSF Proposal:  "&amp;ckAwdTable[[#This Row],[prop_id]], ckAwdTable[[#This Row],[email]])</f>
        <v>chrismre@cs.stanford.edu</v>
      </c>
      <c r="X76" s="30">
        <v>43191</v>
      </c>
      <c r="Y76">
        <v>48</v>
      </c>
      <c r="AA76" s="21" t="s">
        <v>13</v>
      </c>
      <c r="AB76" s="21" t="s">
        <v>382</v>
      </c>
      <c r="AC76"/>
      <c r="AD76" s="21" t="s">
        <v>13</v>
      </c>
      <c r="AF76" s="13">
        <v>552118</v>
      </c>
      <c r="AG76" s="124">
        <v>0</v>
      </c>
      <c r="AH76" s="1">
        <v>552118</v>
      </c>
      <c r="AI76" s="1"/>
      <c r="AJ76" s="1"/>
      <c r="AM76" s="21">
        <v>4</v>
      </c>
      <c r="AN76" s="21">
        <v>4</v>
      </c>
      <c r="AO76" s="21">
        <v>0.84</v>
      </c>
      <c r="AP76" s="21">
        <v>1.8</v>
      </c>
      <c r="AQ76" s="21"/>
      <c r="AR76" s="126" t="s">
        <v>172</v>
      </c>
      <c r="AS76" s="21" t="s">
        <v>493</v>
      </c>
      <c r="AT76" s="21" t="str">
        <f>IFERROR(IF(FIND("?",ckAwdTable[abst_narr_txt]),SummarizeQuestMarks(ckAwdTable[abst_narr_txt]),""),"")</f>
        <v/>
      </c>
      <c r="AU76" s="119"/>
      <c r="AV76" t="s">
        <v>1758</v>
      </c>
      <c r="AW76" t="b">
        <f>AND(ckAwdTable[[#This Row],[ILN]]&gt;"M", SUBSTITUTE(ckAwdTable[[#This Row],[prop_titl_txt]]," ","")&lt;&gt;SUBSTITUTE(AV75," ",""))</f>
        <v>0</v>
      </c>
      <c r="AX76" s="8" t="s">
        <v>1763</v>
      </c>
    </row>
    <row r="77" spans="2:50" x14ac:dyDescent="0.4">
      <c r="B77" s="30">
        <v>43005.479861111111</v>
      </c>
      <c r="C77" t="s">
        <v>524</v>
      </c>
      <c r="D77" t="s">
        <v>477</v>
      </c>
      <c r="E77" t="s">
        <v>582</v>
      </c>
      <c r="F77" t="s">
        <v>654</v>
      </c>
      <c r="G77" s="8" t="s">
        <v>171</v>
      </c>
      <c r="H77" s="8" t="s">
        <v>169</v>
      </c>
      <c r="I77" s="8" t="s">
        <v>505</v>
      </c>
      <c r="J77" t="s">
        <v>94</v>
      </c>
      <c r="K77" t="s">
        <v>525</v>
      </c>
      <c r="L77" s="22">
        <v>43082.530034722222</v>
      </c>
      <c r="M77" s="109">
        <f xml:space="preserve"> M76+(ckAwdTable[ILN]&lt;"M")</f>
        <v>68</v>
      </c>
      <c r="N77" t="s">
        <v>491</v>
      </c>
      <c r="O77" t="s">
        <v>1343</v>
      </c>
      <c r="P77" s="15" t="str">
        <f>HYPERLINK("https://www.ejacket.nsf.gov/ej/showProposal.do?ID="&amp;ckAwdTable[[#This Row],[prop_id]],"eJ")</f>
        <v>eJ</v>
      </c>
      <c r="Q77" s="8" t="s">
        <v>478</v>
      </c>
      <c r="R77" t="s">
        <v>1343</v>
      </c>
      <c r="S77" t="s">
        <v>489</v>
      </c>
      <c r="T77" t="s">
        <v>1566</v>
      </c>
      <c r="U77" s="8" t="s">
        <v>502</v>
      </c>
      <c r="V77" t="s">
        <v>231</v>
      </c>
      <c r="W77" s="113" t="str">
        <f>HYPERLINK("mailto:"&amp; ckAwdTable[[#This Row],[email]]&amp;"&amp;subject=Your NSF Proposal:  "&amp;ckAwdTable[[#This Row],[prop_id]], ckAwdTable[[#This Row],[email]])</f>
        <v>hu.nguyen@neu.edu</v>
      </c>
      <c r="X77" s="30">
        <v>43344</v>
      </c>
      <c r="Y77">
        <v>48</v>
      </c>
      <c r="AA77" s="21" t="s">
        <v>13</v>
      </c>
      <c r="AB77" s="21" t="s">
        <v>382</v>
      </c>
      <c r="AC77"/>
      <c r="AD77" s="21" t="s">
        <v>13</v>
      </c>
      <c r="AE77" s="21" t="s">
        <v>506</v>
      </c>
      <c r="AF77" s="13">
        <v>574949</v>
      </c>
      <c r="AG77" s="124">
        <v>0</v>
      </c>
      <c r="AH77" s="1">
        <v>574949</v>
      </c>
      <c r="AI77" s="1"/>
      <c r="AJ77" s="1">
        <v>12300</v>
      </c>
      <c r="AK77" s="1">
        <v>71475</v>
      </c>
      <c r="AM77" s="21">
        <v>4</v>
      </c>
      <c r="AN77" s="21">
        <v>4</v>
      </c>
      <c r="AO77" s="21">
        <v>4</v>
      </c>
      <c r="AP77" s="21"/>
      <c r="AQ77" s="21"/>
      <c r="AR77" s="126" t="s">
        <v>172</v>
      </c>
      <c r="AS77" s="21" t="s">
        <v>493</v>
      </c>
      <c r="AT77" s="21" t="str">
        <f>IFERROR(IF(FIND("?",ckAwdTable[abst_narr_txt]),SummarizeQuestMarks(ckAwdTable[abst_narr_txt]),""),"")</f>
        <v/>
      </c>
      <c r="AU77" s="119"/>
      <c r="AV77" t="s">
        <v>1764</v>
      </c>
      <c r="AW77" t="b">
        <f>AND(ckAwdTable[[#This Row],[ILN]]&gt;"M", SUBSTITUTE(ckAwdTable[[#This Row],[prop_titl_txt]]," ","")&lt;&gt;SUBSTITUTE(AV76," ",""))</f>
        <v>0</v>
      </c>
      <c r="AX77" s="8" t="s">
        <v>1569</v>
      </c>
    </row>
    <row r="78" spans="2:50" x14ac:dyDescent="0.4">
      <c r="B78" s="30">
        <v>43005.434027777781</v>
      </c>
      <c r="C78" t="s">
        <v>524</v>
      </c>
      <c r="D78" t="s">
        <v>477</v>
      </c>
      <c r="E78" t="s">
        <v>582</v>
      </c>
      <c r="F78" t="s">
        <v>654</v>
      </c>
      <c r="G78" s="8" t="s">
        <v>171</v>
      </c>
      <c r="H78" s="8" t="s">
        <v>169</v>
      </c>
      <c r="I78" s="8" t="s">
        <v>505</v>
      </c>
      <c r="J78" t="s">
        <v>94</v>
      </c>
      <c r="K78" t="s">
        <v>525</v>
      </c>
      <c r="L78" s="22">
        <v>43082.530034722222</v>
      </c>
      <c r="M78" s="109">
        <f xml:space="preserve"> M77+(ckAwdTable[ILN]&lt;"M")</f>
        <v>68</v>
      </c>
      <c r="N78" t="s">
        <v>493</v>
      </c>
      <c r="O78" t="s">
        <v>1343</v>
      </c>
      <c r="P78" s="15" t="str">
        <f>HYPERLINK("https://www.ejacket.nsf.gov/ej/showProposal.do?ID="&amp;ckAwdTable[[#This Row],[prop_id]],"eJ")</f>
        <v>eJ</v>
      </c>
      <c r="Q78" s="8" t="s">
        <v>478</v>
      </c>
      <c r="R78" t="s">
        <v>1765</v>
      </c>
      <c r="S78" t="s">
        <v>1766</v>
      </c>
      <c r="T78" t="s">
        <v>1767</v>
      </c>
      <c r="U78" s="8" t="s">
        <v>1728</v>
      </c>
      <c r="V78" t="s">
        <v>231</v>
      </c>
      <c r="W78" s="113" t="str">
        <f>HYPERLINK("mailto:"&amp; ckAwdTable[[#This Row],[email]]&amp;"&amp;subject=Your NSF Proposal:  "&amp;ckAwdTable[[#This Row],[prop_id]], ckAwdTable[[#This Row],[email]])</f>
        <v>minilek@seas.harvard.edu</v>
      </c>
      <c r="X78" s="30">
        <v>43344</v>
      </c>
      <c r="Y78">
        <v>48</v>
      </c>
      <c r="AA78" s="21" t="s">
        <v>13</v>
      </c>
      <c r="AB78" s="21" t="s">
        <v>382</v>
      </c>
      <c r="AC78"/>
      <c r="AD78" s="21" t="s">
        <v>13</v>
      </c>
      <c r="AE78" s="21" t="s">
        <v>506</v>
      </c>
      <c r="AF78" s="13">
        <v>475000</v>
      </c>
      <c r="AG78" s="124">
        <v>0</v>
      </c>
      <c r="AH78" s="1">
        <v>475000</v>
      </c>
      <c r="AI78" s="1"/>
      <c r="AJ78" s="1">
        <v>12713</v>
      </c>
      <c r="AM78" s="21">
        <v>5</v>
      </c>
      <c r="AN78" s="21">
        <v>3</v>
      </c>
      <c r="AO78" s="21"/>
      <c r="AP78" s="21"/>
      <c r="AQ78" s="21">
        <v>3</v>
      </c>
      <c r="AR78" s="126" t="s">
        <v>172</v>
      </c>
      <c r="AS78" s="21" t="s">
        <v>493</v>
      </c>
      <c r="AT78" s="21" t="str">
        <f>IFERROR(IF(FIND("?",ckAwdTable[abst_narr_txt]),SummarizeQuestMarks(ckAwdTable[abst_narr_txt]),""),"")</f>
        <v/>
      </c>
      <c r="AU78" s="119"/>
      <c r="AV78" t="s">
        <v>1764</v>
      </c>
      <c r="AW78" t="b">
        <f>AND(ckAwdTable[[#This Row],[ILN]]&gt;"M", SUBSTITUTE(ckAwdTable[[#This Row],[prop_titl_txt]]," ","")&lt;&gt;SUBSTITUTE(AV77," ",""))</f>
        <v>0</v>
      </c>
      <c r="AX78" s="8" t="s">
        <v>1768</v>
      </c>
    </row>
    <row r="79" spans="2:50" x14ac:dyDescent="0.4">
      <c r="B79" s="30">
        <v>43005.582638888889</v>
      </c>
      <c r="C79" t="s">
        <v>524</v>
      </c>
      <c r="D79" t="s">
        <v>477</v>
      </c>
      <c r="E79" t="s">
        <v>582</v>
      </c>
      <c r="F79" t="s">
        <v>611</v>
      </c>
      <c r="G79" s="8" t="s">
        <v>171</v>
      </c>
      <c r="H79" s="8" t="s">
        <v>169</v>
      </c>
      <c r="I79" s="8" t="s">
        <v>505</v>
      </c>
      <c r="J79" t="s">
        <v>94</v>
      </c>
      <c r="K79" t="s">
        <v>525</v>
      </c>
      <c r="L79" s="22">
        <v>43082.530104166668</v>
      </c>
      <c r="M79" s="109">
        <f xml:space="preserve"> M78+(ckAwdTable[ILN]&lt;"M")</f>
        <v>69</v>
      </c>
      <c r="N79" t="s">
        <v>491</v>
      </c>
      <c r="O79" t="s">
        <v>1351</v>
      </c>
      <c r="P79" s="15" t="str">
        <f>HYPERLINK("https://www.ejacket.nsf.gov/ej/showProposal.do?ID="&amp;ckAwdTable[[#This Row],[prop_id]],"eJ")</f>
        <v>eJ</v>
      </c>
      <c r="Q79" s="8" t="s">
        <v>478</v>
      </c>
      <c r="R79" t="s">
        <v>1351</v>
      </c>
      <c r="S79" t="s">
        <v>1352</v>
      </c>
      <c r="T79" t="s">
        <v>1770</v>
      </c>
      <c r="U79" s="8" t="s">
        <v>1771</v>
      </c>
      <c r="V79" t="s">
        <v>117</v>
      </c>
      <c r="W79" s="113" t="str">
        <f>HYPERLINK("mailto:"&amp; ckAwdTable[[#This Row],[email]]&amp;"&amp;subject=Your NSF Proposal:  "&amp;ckAwdTable[[#This Row],[prop_id]], ckAwdTable[[#This Row],[email]])</f>
        <v>qcheng@ou.edu</v>
      </c>
      <c r="X79" s="30">
        <v>43282</v>
      </c>
      <c r="Y79">
        <v>36</v>
      </c>
      <c r="AA79" s="21" t="s">
        <v>13</v>
      </c>
      <c r="AB79" s="21" t="s">
        <v>382</v>
      </c>
      <c r="AC79"/>
      <c r="AD79" s="21" t="s">
        <v>13</v>
      </c>
      <c r="AF79" s="13">
        <v>298823</v>
      </c>
      <c r="AG79" s="124">
        <v>0</v>
      </c>
      <c r="AH79" s="1">
        <v>298823</v>
      </c>
      <c r="AI79" s="1"/>
      <c r="AJ79" s="1"/>
      <c r="AM79" s="21">
        <v>3</v>
      </c>
      <c r="AN79" s="21">
        <v>3</v>
      </c>
      <c r="AO79" s="21">
        <v>3</v>
      </c>
      <c r="AP79" s="21"/>
      <c r="AQ79" s="21"/>
      <c r="AR79" s="126" t="s">
        <v>172</v>
      </c>
      <c r="AS79" s="21" t="s">
        <v>493</v>
      </c>
      <c r="AT79" s="21" t="str">
        <f>IFERROR(IF(FIND("?",ckAwdTable[abst_narr_txt]),SummarizeQuestMarks(ckAwdTable[abst_narr_txt]),""),"")</f>
        <v/>
      </c>
      <c r="AU79" s="119"/>
      <c r="AV79" t="s">
        <v>1773</v>
      </c>
      <c r="AW79" t="b">
        <f>AND(ckAwdTable[[#This Row],[ILN]]&gt;"M", SUBSTITUTE(ckAwdTable[[#This Row],[prop_titl_txt]]," ","")&lt;&gt;SUBSTITUTE(AV78," ",""))</f>
        <v>0</v>
      </c>
      <c r="AX79" s="8" t="s">
        <v>1774</v>
      </c>
    </row>
    <row r="80" spans="2:50" x14ac:dyDescent="0.4">
      <c r="B80" s="30">
        <v>43005.537499999999</v>
      </c>
      <c r="C80" t="s">
        <v>524</v>
      </c>
      <c r="D80" t="s">
        <v>477</v>
      </c>
      <c r="E80" t="s">
        <v>582</v>
      </c>
      <c r="F80" t="s">
        <v>611</v>
      </c>
      <c r="G80" s="8" t="s">
        <v>171</v>
      </c>
      <c r="H80" s="8" t="s">
        <v>169</v>
      </c>
      <c r="I80" s="8" t="s">
        <v>505</v>
      </c>
      <c r="J80" t="s">
        <v>94</v>
      </c>
      <c r="K80" t="s">
        <v>525</v>
      </c>
      <c r="L80" s="22">
        <v>43082.530104166668</v>
      </c>
      <c r="M80" s="109">
        <f xml:space="preserve"> M79+(ckAwdTable[ILN]&lt;"M")</f>
        <v>69</v>
      </c>
      <c r="N80" t="s">
        <v>493</v>
      </c>
      <c r="O80" t="s">
        <v>1351</v>
      </c>
      <c r="P80" s="15" t="str">
        <f>HYPERLINK("https://www.ejacket.nsf.gov/ej/showProposal.do?ID="&amp;ckAwdTable[[#This Row],[prop_id]],"eJ")</f>
        <v>eJ</v>
      </c>
      <c r="Q80" s="8" t="s">
        <v>478</v>
      </c>
      <c r="R80" t="s">
        <v>1775</v>
      </c>
      <c r="S80" t="s">
        <v>1776</v>
      </c>
      <c r="T80" t="s">
        <v>1777</v>
      </c>
      <c r="U80" s="8" t="s">
        <v>1709</v>
      </c>
      <c r="V80" t="s">
        <v>230</v>
      </c>
      <c r="W80" s="113" t="str">
        <f>HYPERLINK("mailto:"&amp; ckAwdTable[[#This Row],[email]]&amp;"&amp;subject=Your NSF Proposal:  "&amp;ckAwdTable[[#This Row],[prop_id]], ckAwdTable[[#This Row],[email]])</f>
        <v>dwan@math.uci.edu</v>
      </c>
      <c r="X80" s="30">
        <v>43282</v>
      </c>
      <c r="Y80">
        <v>36</v>
      </c>
      <c r="AA80" s="21" t="s">
        <v>13</v>
      </c>
      <c r="AB80" s="21" t="s">
        <v>382</v>
      </c>
      <c r="AC80"/>
      <c r="AD80" s="21" t="s">
        <v>13</v>
      </c>
      <c r="AE80" s="21" t="s">
        <v>2014</v>
      </c>
      <c r="AF80" s="13">
        <v>299950</v>
      </c>
      <c r="AG80" s="124">
        <v>0</v>
      </c>
      <c r="AH80" s="1">
        <v>299950</v>
      </c>
      <c r="AI80" s="1"/>
      <c r="AJ80" s="1">
        <v>15455</v>
      </c>
      <c r="AM80" s="21">
        <v>3</v>
      </c>
      <c r="AN80" s="21">
        <v>3</v>
      </c>
      <c r="AO80" s="21">
        <v>3</v>
      </c>
      <c r="AP80" s="21"/>
      <c r="AQ80" s="21"/>
      <c r="AR80" s="126" t="s">
        <v>172</v>
      </c>
      <c r="AS80" s="21" t="s">
        <v>493</v>
      </c>
      <c r="AT80" s="21" t="str">
        <f>IFERROR(IF(FIND("?",ckAwdTable[abst_narr_txt]),SummarizeQuestMarks(ckAwdTable[abst_narr_txt]),""),"")</f>
        <v/>
      </c>
      <c r="AU80" s="119"/>
      <c r="AV80" t="s">
        <v>1773</v>
      </c>
      <c r="AW80" t="b">
        <f>AND(ckAwdTable[[#This Row],[ILN]]&gt;"M", SUBSTITUTE(ckAwdTable[[#This Row],[prop_titl_txt]]," ","")&lt;&gt;SUBSTITUTE(AV79," ",""))</f>
        <v>0</v>
      </c>
      <c r="AX80" s="8" t="s">
        <v>1778</v>
      </c>
    </row>
    <row r="81" spans="2:50" x14ac:dyDescent="0.4">
      <c r="B81" s="30">
        <v>43005.547222222223</v>
      </c>
      <c r="C81" t="s">
        <v>524</v>
      </c>
      <c r="D81" t="s">
        <v>477</v>
      </c>
      <c r="E81" t="s">
        <v>582</v>
      </c>
      <c r="F81" t="s">
        <v>611</v>
      </c>
      <c r="G81" s="8" t="s">
        <v>171</v>
      </c>
      <c r="H81" s="8" t="s">
        <v>169</v>
      </c>
      <c r="I81" s="8" t="s">
        <v>505</v>
      </c>
      <c r="J81" t="s">
        <v>94</v>
      </c>
      <c r="K81" t="s">
        <v>525</v>
      </c>
      <c r="L81" s="22">
        <v>43082.530104166668</v>
      </c>
      <c r="M81" s="109">
        <f xml:space="preserve"> M80+(ckAwdTable[ILN]&lt;"M")</f>
        <v>69</v>
      </c>
      <c r="N81" t="s">
        <v>493</v>
      </c>
      <c r="O81" t="s">
        <v>1351</v>
      </c>
      <c r="P81" s="15" t="str">
        <f>HYPERLINK("https://www.ejacket.nsf.gov/ej/showProposal.do?ID="&amp;ckAwdTable[[#This Row],[prop_id]],"eJ")</f>
        <v>eJ</v>
      </c>
      <c r="Q81" s="8" t="s">
        <v>478</v>
      </c>
      <c r="R81" t="s">
        <v>1779</v>
      </c>
      <c r="S81" t="s">
        <v>1780</v>
      </c>
      <c r="T81" t="s">
        <v>1781</v>
      </c>
      <c r="U81" s="8" t="s">
        <v>1782</v>
      </c>
      <c r="V81" t="s">
        <v>119</v>
      </c>
      <c r="W81" s="113" t="str">
        <f>HYPERLINK("mailto:"&amp; ckAwdTable[[#This Row],[email]]&amp;"&amp;subject=Your NSF Proposal:  "&amp;ckAwdTable[[#This Row],[prop_id]], ckAwdTable[[#This Row],[email]])</f>
        <v>sgao@clemson.edu</v>
      </c>
      <c r="X81" s="30">
        <v>43282</v>
      </c>
      <c r="Y81">
        <v>36</v>
      </c>
      <c r="AA81" s="21" t="s">
        <v>13</v>
      </c>
      <c r="AB81" s="21" t="s">
        <v>382</v>
      </c>
      <c r="AC81"/>
      <c r="AD81" s="21" t="s">
        <v>13</v>
      </c>
      <c r="AE81" s="21" t="s">
        <v>506</v>
      </c>
      <c r="AF81" s="13">
        <v>299918</v>
      </c>
      <c r="AG81" s="124">
        <v>0</v>
      </c>
      <c r="AH81" s="1">
        <v>299918</v>
      </c>
      <c r="AI81" s="1"/>
      <c r="AJ81" s="1">
        <v>13500</v>
      </c>
      <c r="AM81" s="21">
        <v>3</v>
      </c>
      <c r="AN81" s="21">
        <v>3</v>
      </c>
      <c r="AO81" s="21">
        <v>3.3</v>
      </c>
      <c r="AP81" s="21"/>
      <c r="AQ81" s="21"/>
      <c r="AR81" s="126" t="s">
        <v>172</v>
      </c>
      <c r="AS81" s="21" t="s">
        <v>493</v>
      </c>
      <c r="AT81" s="21" t="str">
        <f>IFERROR(IF(FIND("?",ckAwdTable[abst_narr_txt]),SummarizeQuestMarks(ckAwdTable[abst_narr_txt]),""),"")</f>
        <v/>
      </c>
      <c r="AU81" s="119"/>
      <c r="AV81" t="s">
        <v>1783</v>
      </c>
      <c r="AW81" t="b">
        <f>AND(ckAwdTable[[#This Row],[ILN]]&gt;"M", SUBSTITUTE(ckAwdTable[[#This Row],[prop_titl_txt]]," ","")&lt;&gt;SUBSTITUTE(AV80," ",""))</f>
        <v>0</v>
      </c>
      <c r="AX81" s="8" t="s">
        <v>1784</v>
      </c>
    </row>
    <row r="82" spans="2:50" x14ac:dyDescent="0.4">
      <c r="B82" s="30">
        <v>43005.606249999997</v>
      </c>
      <c r="C82" t="s">
        <v>524</v>
      </c>
      <c r="D82" t="s">
        <v>477</v>
      </c>
      <c r="E82" t="s">
        <v>582</v>
      </c>
      <c r="F82" t="s">
        <v>611</v>
      </c>
      <c r="G82" s="8" t="s">
        <v>171</v>
      </c>
      <c r="H82" s="8" t="s">
        <v>169</v>
      </c>
      <c r="I82" s="8" t="s">
        <v>505</v>
      </c>
      <c r="J82" t="s">
        <v>94</v>
      </c>
      <c r="K82" t="s">
        <v>525</v>
      </c>
      <c r="L82" s="22">
        <v>43082.530104166668</v>
      </c>
      <c r="M82" s="109">
        <f xml:space="preserve"> M81+(ckAwdTable[ILN]&lt;"M")</f>
        <v>69</v>
      </c>
      <c r="N82" t="s">
        <v>493</v>
      </c>
      <c r="O82" t="s">
        <v>1351</v>
      </c>
      <c r="P82" s="15" t="str">
        <f>HYPERLINK("https://www.ejacket.nsf.gov/ej/showProposal.do?ID="&amp;ckAwdTable[[#This Row],[prop_id]],"eJ")</f>
        <v>eJ</v>
      </c>
      <c r="Q82" s="8" t="s">
        <v>478</v>
      </c>
      <c r="R82" t="s">
        <v>1785</v>
      </c>
      <c r="S82" t="s">
        <v>1786</v>
      </c>
      <c r="T82" t="s">
        <v>1787</v>
      </c>
      <c r="U82" s="8" t="s">
        <v>1788</v>
      </c>
      <c r="V82" t="s">
        <v>310</v>
      </c>
      <c r="W82" s="113" t="str">
        <f>HYPERLINK("mailto:"&amp; ckAwdTable[[#This Row],[email]]&amp;"&amp;subject=Your NSF Proposal:  "&amp;ckAwdTable[[#This Row],[prop_id]], ckAwdTable[[#This Row],[email]])</f>
        <v>rojas@math.tamu.edu</v>
      </c>
      <c r="X82" s="30">
        <v>43282</v>
      </c>
      <c r="Y82">
        <v>36</v>
      </c>
      <c r="AA82" s="21" t="s">
        <v>13</v>
      </c>
      <c r="AB82" s="21" t="s">
        <v>382</v>
      </c>
      <c r="AC82"/>
      <c r="AD82" s="21" t="s">
        <v>13</v>
      </c>
      <c r="AF82" s="13">
        <v>300000</v>
      </c>
      <c r="AG82" s="124">
        <v>0</v>
      </c>
      <c r="AH82" s="1">
        <v>300000</v>
      </c>
      <c r="AI82" s="1"/>
      <c r="AJ82" s="1"/>
      <c r="AM82" s="21">
        <v>6</v>
      </c>
      <c r="AN82" s="21">
        <v>3</v>
      </c>
      <c r="AO82" s="21"/>
      <c r="AP82" s="21"/>
      <c r="AQ82" s="21">
        <v>4.5</v>
      </c>
      <c r="AR82" s="126" t="s">
        <v>172</v>
      </c>
      <c r="AS82" s="21" t="s">
        <v>493</v>
      </c>
      <c r="AT82" s="21" t="str">
        <f>IFERROR(IF(FIND("?",ckAwdTable[abst_narr_txt]),SummarizeQuestMarks(ckAwdTable[abst_narr_txt]),""),"")</f>
        <v/>
      </c>
      <c r="AU82" s="119"/>
      <c r="AV82" t="s">
        <v>1773</v>
      </c>
      <c r="AW82" t="b">
        <f>AND(ckAwdTable[[#This Row],[ILN]]&gt;"M", SUBSTITUTE(ckAwdTable[[#This Row],[prop_titl_txt]]," ","")&lt;&gt;SUBSTITUTE(AV81," ",""))</f>
        <v>0</v>
      </c>
      <c r="AX82" s="8" t="s">
        <v>1789</v>
      </c>
    </row>
    <row r="83" spans="2:50" x14ac:dyDescent="0.4">
      <c r="B83" s="30">
        <v>43005.590277777781</v>
      </c>
      <c r="C83" t="s">
        <v>524</v>
      </c>
      <c r="D83" t="s">
        <v>477</v>
      </c>
      <c r="E83" t="s">
        <v>582</v>
      </c>
      <c r="F83" t="s">
        <v>611</v>
      </c>
      <c r="G83" s="8" t="s">
        <v>171</v>
      </c>
      <c r="H83" s="8" t="s">
        <v>169</v>
      </c>
      <c r="I83" s="8" t="s">
        <v>505</v>
      </c>
      <c r="J83" t="s">
        <v>94</v>
      </c>
      <c r="K83" t="s">
        <v>525</v>
      </c>
      <c r="L83" s="22">
        <v>43082.530173611114</v>
      </c>
      <c r="M83" s="109">
        <f xml:space="preserve"> M82+(ckAwdTable[ILN]&lt;"M")</f>
        <v>70</v>
      </c>
      <c r="N83" t="s">
        <v>491</v>
      </c>
      <c r="O83" t="s">
        <v>1360</v>
      </c>
      <c r="P83" s="15" t="str">
        <f>HYPERLINK("https://www.ejacket.nsf.gov/ej/showProposal.do?ID="&amp;ckAwdTable[[#This Row],[prop_id]],"eJ")</f>
        <v>eJ</v>
      </c>
      <c r="Q83" s="8" t="s">
        <v>478</v>
      </c>
      <c r="R83" t="s">
        <v>1360</v>
      </c>
      <c r="S83" t="s">
        <v>1361</v>
      </c>
      <c r="T83" t="s">
        <v>528</v>
      </c>
      <c r="U83" s="8" t="s">
        <v>495</v>
      </c>
      <c r="V83" t="s">
        <v>494</v>
      </c>
      <c r="W83" s="113" t="str">
        <f>HYPERLINK("mailto:"&amp; ckAwdTable[[#This Row],[email]]&amp;"&amp;subject=Your NSF Proposal:  "&amp;ckAwdTable[[#This Row],[prop_id]], ckAwdTable[[#This Row],[email]])</f>
        <v>dgleich@purdue.edu</v>
      </c>
      <c r="X83" s="30">
        <v>43327</v>
      </c>
      <c r="Y83">
        <v>48</v>
      </c>
      <c r="AA83" s="21" t="s">
        <v>13</v>
      </c>
      <c r="AB83" s="21" t="s">
        <v>382</v>
      </c>
      <c r="AC83"/>
      <c r="AD83" s="21" t="s">
        <v>13</v>
      </c>
      <c r="AE83" s="21" t="s">
        <v>506</v>
      </c>
      <c r="AF83" s="13">
        <v>508040</v>
      </c>
      <c r="AG83" s="124">
        <v>0</v>
      </c>
      <c r="AH83" s="1">
        <v>508040</v>
      </c>
      <c r="AI83" s="1"/>
      <c r="AJ83" s="1">
        <v>20000</v>
      </c>
      <c r="AM83" s="21">
        <v>4</v>
      </c>
      <c r="AN83" s="21">
        <v>4</v>
      </c>
      <c r="AO83" s="21">
        <v>4</v>
      </c>
      <c r="AP83" s="21"/>
      <c r="AQ83" s="21"/>
      <c r="AR83" s="126" t="s">
        <v>172</v>
      </c>
      <c r="AS83" s="21" t="s">
        <v>493</v>
      </c>
      <c r="AT83" s="21" t="str">
        <f>IFERROR(IF(FIND("?",ckAwdTable[abst_narr_txt]),SummarizeQuestMarks(ckAwdTable[abst_narr_txt]),""),"")</f>
        <v/>
      </c>
      <c r="AU83" s="119"/>
      <c r="AV83" t="s">
        <v>1791</v>
      </c>
      <c r="AW83" t="b">
        <f>AND(ckAwdTable[[#This Row],[ILN]]&gt;"M", SUBSTITUTE(ckAwdTable[[#This Row],[prop_titl_txt]]," ","")&lt;&gt;SUBSTITUTE(AV82," ",""))</f>
        <v>0</v>
      </c>
      <c r="AX83" s="8" t="s">
        <v>1792</v>
      </c>
    </row>
    <row r="84" spans="2:50" x14ac:dyDescent="0.4">
      <c r="B84" s="30">
        <v>43005.378472222219</v>
      </c>
      <c r="C84" t="s">
        <v>524</v>
      </c>
      <c r="D84" t="s">
        <v>477</v>
      </c>
      <c r="E84" t="s">
        <v>582</v>
      </c>
      <c r="F84" t="s">
        <v>611</v>
      </c>
      <c r="G84" s="8" t="s">
        <v>171</v>
      </c>
      <c r="H84" s="8" t="s">
        <v>169</v>
      </c>
      <c r="I84" s="8" t="s">
        <v>505</v>
      </c>
      <c r="J84" t="s">
        <v>94</v>
      </c>
      <c r="K84" t="s">
        <v>525</v>
      </c>
      <c r="L84" s="22">
        <v>43082.530173611114</v>
      </c>
      <c r="M84" s="109">
        <f xml:space="preserve"> M83+(ckAwdTable[ILN]&lt;"M")</f>
        <v>70</v>
      </c>
      <c r="N84" t="s">
        <v>493</v>
      </c>
      <c r="O84" t="s">
        <v>1360</v>
      </c>
      <c r="P84" s="15" t="str">
        <f>HYPERLINK("https://www.ejacket.nsf.gov/ej/showProposal.do?ID="&amp;ckAwdTable[[#This Row],[prop_id]],"eJ")</f>
        <v>eJ</v>
      </c>
      <c r="Q84" s="8" t="s">
        <v>478</v>
      </c>
      <c r="R84" t="s">
        <v>1793</v>
      </c>
      <c r="S84" t="s">
        <v>1794</v>
      </c>
      <c r="T84" t="s">
        <v>1795</v>
      </c>
      <c r="U84" s="8" t="s">
        <v>1754</v>
      </c>
      <c r="V84" t="s">
        <v>1470</v>
      </c>
      <c r="W84" s="113" t="str">
        <f>HYPERLINK("mailto:"&amp; ckAwdTable[[#This Row],[email]]&amp;"&amp;subject=Your NSF Proposal:  "&amp;ckAwdTable[[#This Row],[prop_id]], ckAwdTable[[#This Row],[email]])</f>
        <v>arb@cs.cornell.edu</v>
      </c>
      <c r="X84" s="30">
        <v>43327</v>
      </c>
      <c r="Y84">
        <v>48</v>
      </c>
      <c r="AA84" s="21" t="s">
        <v>13</v>
      </c>
      <c r="AB84" s="21" t="s">
        <v>382</v>
      </c>
      <c r="AC84"/>
      <c r="AD84" s="21" t="s">
        <v>13</v>
      </c>
      <c r="AE84" s="21" t="s">
        <v>506</v>
      </c>
      <c r="AF84" s="13">
        <v>591393</v>
      </c>
      <c r="AG84" s="124">
        <v>0</v>
      </c>
      <c r="AH84" s="1">
        <v>591393</v>
      </c>
      <c r="AI84" s="1"/>
      <c r="AJ84" s="1">
        <v>23636</v>
      </c>
      <c r="AM84" s="21">
        <v>4</v>
      </c>
      <c r="AN84" s="21">
        <v>4</v>
      </c>
      <c r="AO84" s="21">
        <v>4</v>
      </c>
      <c r="AP84" s="21"/>
      <c r="AQ84" s="21"/>
      <c r="AR84" s="126" t="s">
        <v>172</v>
      </c>
      <c r="AS84" s="21" t="s">
        <v>493</v>
      </c>
      <c r="AT84" s="21" t="str">
        <f>IFERROR(IF(FIND("?",ckAwdTable[abst_narr_txt]),SummarizeQuestMarks(ckAwdTable[abst_narr_txt]),""),"")</f>
        <v/>
      </c>
      <c r="AU84" s="119"/>
      <c r="AV84" t="s">
        <v>1791</v>
      </c>
      <c r="AW84" t="b">
        <f>AND(ckAwdTable[[#This Row],[ILN]]&gt;"M", SUBSTITUTE(ckAwdTable[[#This Row],[prop_titl_txt]]," ","")&lt;&gt;SUBSTITUTE(AV83," ",""))</f>
        <v>0</v>
      </c>
      <c r="AX84" s="8" t="s">
        <v>1796</v>
      </c>
    </row>
    <row r="85" spans="2:50" x14ac:dyDescent="0.4">
      <c r="B85" s="30">
        <v>43005.654861111114</v>
      </c>
      <c r="C85" t="s">
        <v>524</v>
      </c>
      <c r="D85" t="s">
        <v>477</v>
      </c>
      <c r="E85" t="s">
        <v>582</v>
      </c>
      <c r="F85" t="s">
        <v>611</v>
      </c>
      <c r="G85" s="8" t="s">
        <v>171</v>
      </c>
      <c r="H85" s="8" t="s">
        <v>169</v>
      </c>
      <c r="I85" s="8" t="s">
        <v>505</v>
      </c>
      <c r="J85" t="s">
        <v>94</v>
      </c>
      <c r="K85" t="s">
        <v>525</v>
      </c>
      <c r="L85" s="22">
        <v>43082.530243055553</v>
      </c>
      <c r="M85" s="109">
        <f xml:space="preserve"> M84+(ckAwdTable[ILN]&lt;"M")</f>
        <v>71</v>
      </c>
      <c r="N85" t="s">
        <v>491</v>
      </c>
      <c r="O85" t="s">
        <v>1372</v>
      </c>
      <c r="P85" s="15" t="str">
        <f>HYPERLINK("https://www.ejacket.nsf.gov/ej/showProposal.do?ID="&amp;ckAwdTable[[#This Row],[prop_id]],"eJ")</f>
        <v>eJ</v>
      </c>
      <c r="Q85" s="8" t="s">
        <v>478</v>
      </c>
      <c r="R85" t="s">
        <v>1372</v>
      </c>
      <c r="S85" t="s">
        <v>750</v>
      </c>
      <c r="T85" t="s">
        <v>1798</v>
      </c>
      <c r="U85" s="8" t="s">
        <v>1701</v>
      </c>
      <c r="V85" t="s">
        <v>310</v>
      </c>
      <c r="W85" s="113" t="str">
        <f>HYPERLINK("mailto:"&amp; ckAwdTable[[#This Row],[email]]&amp;"&amp;subject=Your NSF Proposal:  "&amp;ckAwdTable[[#This Row],[prop_id]], ckAwdTable[[#This Row],[email]])</f>
        <v>gchen16@uh.edu</v>
      </c>
      <c r="X85" s="30">
        <v>43221</v>
      </c>
      <c r="Y85">
        <v>48</v>
      </c>
      <c r="AA85" s="21" t="s">
        <v>13</v>
      </c>
      <c r="AB85" s="21" t="s">
        <v>382</v>
      </c>
      <c r="AC85"/>
      <c r="AD85" s="21" t="s">
        <v>13</v>
      </c>
      <c r="AF85" s="13">
        <v>599997</v>
      </c>
      <c r="AG85" s="124">
        <v>0</v>
      </c>
      <c r="AH85" s="1">
        <v>599997</v>
      </c>
      <c r="AI85" s="1"/>
      <c r="AJ85" s="1"/>
      <c r="AM85" s="21">
        <v>10</v>
      </c>
      <c r="AN85" s="21">
        <v>6</v>
      </c>
      <c r="AO85" s="21">
        <v>6</v>
      </c>
      <c r="AP85" s="21"/>
      <c r="AQ85" s="21"/>
      <c r="AR85" s="126" t="s">
        <v>172</v>
      </c>
      <c r="AS85" s="21" t="s">
        <v>493</v>
      </c>
      <c r="AT85" s="21" t="str">
        <f>IFERROR(IF(FIND("?",ckAwdTable[abst_narr_txt]),SummarizeQuestMarks(ckAwdTable[abst_narr_txt]),""),"")</f>
        <v/>
      </c>
      <c r="AU85" s="119"/>
      <c r="AV85" t="s">
        <v>1800</v>
      </c>
      <c r="AW85" t="b">
        <f>AND(ckAwdTable[[#This Row],[ILN]]&gt;"M", SUBSTITUTE(ckAwdTable[[#This Row],[prop_titl_txt]]," ","")&lt;&gt;SUBSTITUTE(AV84," ",""))</f>
        <v>0</v>
      </c>
      <c r="AX85" s="8" t="s">
        <v>1801</v>
      </c>
    </row>
    <row r="86" spans="2:50" x14ac:dyDescent="0.4">
      <c r="B86" s="30">
        <v>43005.677777777775</v>
      </c>
      <c r="C86" t="s">
        <v>524</v>
      </c>
      <c r="D86" t="s">
        <v>477</v>
      </c>
      <c r="E86" t="s">
        <v>582</v>
      </c>
      <c r="F86" t="s">
        <v>611</v>
      </c>
      <c r="G86" s="8" t="s">
        <v>171</v>
      </c>
      <c r="H86" s="8" t="s">
        <v>169</v>
      </c>
      <c r="I86" s="8" t="s">
        <v>505</v>
      </c>
      <c r="J86" t="s">
        <v>94</v>
      </c>
      <c r="K86" t="s">
        <v>525</v>
      </c>
      <c r="L86" s="22">
        <v>43082.530243055553</v>
      </c>
      <c r="M86" s="109">
        <f xml:space="preserve"> M85+(ckAwdTable[ILN]&lt;"M")</f>
        <v>71</v>
      </c>
      <c r="N86" t="s">
        <v>493</v>
      </c>
      <c r="O86" t="s">
        <v>1372</v>
      </c>
      <c r="P86" s="15" t="str">
        <f>HYPERLINK("https://www.ejacket.nsf.gov/ej/showProposal.do?ID="&amp;ckAwdTable[[#This Row],[prop_id]],"eJ")</f>
        <v>eJ</v>
      </c>
      <c r="Q86" s="8" t="s">
        <v>478</v>
      </c>
      <c r="R86" t="s">
        <v>1802</v>
      </c>
      <c r="S86" t="s">
        <v>488</v>
      </c>
      <c r="T86" t="s">
        <v>1803</v>
      </c>
      <c r="U86" s="8" t="s">
        <v>1600</v>
      </c>
      <c r="V86" t="s">
        <v>1598</v>
      </c>
      <c r="W86" s="113" t="str">
        <f>HYPERLINK("mailto:"&amp; ckAwdTable[[#This Row],[email]]&amp;"&amp;subject=Your NSF Proposal:  "&amp;ckAwdTable[[#This Row],[prop_id]], ckAwdTable[[#This Row],[email]])</f>
        <v>zhange@eecs.oregonstate.edu</v>
      </c>
      <c r="X86" s="30">
        <v>43221</v>
      </c>
      <c r="Y86">
        <v>48</v>
      </c>
      <c r="AA86" s="21" t="s">
        <v>13</v>
      </c>
      <c r="AB86" s="21" t="s">
        <v>382</v>
      </c>
      <c r="AC86"/>
      <c r="AD86" s="21" t="s">
        <v>13</v>
      </c>
      <c r="AE86" s="21" t="s">
        <v>506</v>
      </c>
      <c r="AF86" s="13">
        <v>600000</v>
      </c>
      <c r="AG86" s="124">
        <v>0</v>
      </c>
      <c r="AH86" s="1">
        <v>600000</v>
      </c>
      <c r="AI86" s="1"/>
      <c r="AJ86" s="1">
        <v>10548</v>
      </c>
      <c r="AL86" s="1">
        <v>7000</v>
      </c>
      <c r="AM86" s="21">
        <v>6</v>
      </c>
      <c r="AN86" s="21">
        <v>8</v>
      </c>
      <c r="AO86" s="21">
        <v>6</v>
      </c>
      <c r="AP86" s="21"/>
      <c r="AQ86" s="21"/>
      <c r="AR86" s="126" t="s">
        <v>172</v>
      </c>
      <c r="AS86" s="21" t="s">
        <v>493</v>
      </c>
      <c r="AT86" s="21" t="str">
        <f>IFERROR(IF(FIND("?",ckAwdTable[abst_narr_txt]),SummarizeQuestMarks(ckAwdTable[abst_narr_txt]),""),"")</f>
        <v/>
      </c>
      <c r="AU86" s="119"/>
      <c r="AV86" t="s">
        <v>1804</v>
      </c>
      <c r="AW86" t="b">
        <f>AND(ckAwdTable[[#This Row],[ILN]]&gt;"M", SUBSTITUTE(ckAwdTable[[#This Row],[prop_titl_txt]]," ","")&lt;&gt;SUBSTITUTE(AV85," ",""))</f>
        <v>0</v>
      </c>
      <c r="AX86" s="8" t="s">
        <v>1805</v>
      </c>
    </row>
    <row r="87" spans="2:50" x14ac:dyDescent="0.4">
      <c r="B87" s="30">
        <v>43005.654861111114</v>
      </c>
      <c r="C87" t="s">
        <v>524</v>
      </c>
      <c r="D87" t="s">
        <v>477</v>
      </c>
      <c r="E87" t="s">
        <v>582</v>
      </c>
      <c r="F87" t="s">
        <v>654</v>
      </c>
      <c r="G87" s="8" t="s">
        <v>171</v>
      </c>
      <c r="H87" s="8" t="s">
        <v>169</v>
      </c>
      <c r="I87" s="8" t="s">
        <v>505</v>
      </c>
      <c r="J87" t="s">
        <v>94</v>
      </c>
      <c r="K87" t="s">
        <v>525</v>
      </c>
      <c r="L87" s="22"/>
      <c r="M87" s="109">
        <f xml:space="preserve"> M86+(ckAwdTable[ILN]&lt;"M")</f>
        <v>72</v>
      </c>
      <c r="N87" t="s">
        <v>95</v>
      </c>
      <c r="O87" t="s">
        <v>1379</v>
      </c>
      <c r="P87" s="15" t="str">
        <f>HYPERLINK("https://www.ejacket.nsf.gov/ej/showProposal.do?ID="&amp;ckAwdTable[[#This Row],[prop_id]],"eJ")</f>
        <v>eJ</v>
      </c>
      <c r="Q87" s="8" t="s">
        <v>478</v>
      </c>
      <c r="R87" t="s">
        <v>1379</v>
      </c>
      <c r="S87" t="s">
        <v>1380</v>
      </c>
      <c r="T87" t="s">
        <v>528</v>
      </c>
      <c r="U87" s="8" t="s">
        <v>497</v>
      </c>
      <c r="V87" t="s">
        <v>496</v>
      </c>
      <c r="W87" s="113" t="str">
        <f>HYPERLINK("mailto:"&amp; ckAwdTable[[#This Row],[email]]&amp;"&amp;subject=Your NSF Proposal:  "&amp;ckAwdTable[[#This Row],[prop_id]], ckAwdTable[[#This Row],[email]])</f>
        <v>dwoodruf@andrew.cmu.edu</v>
      </c>
      <c r="X87" s="30">
        <v>43252</v>
      </c>
      <c r="Y87">
        <v>48</v>
      </c>
      <c r="AA87" s="21" t="s">
        <v>13</v>
      </c>
      <c r="AB87" s="21" t="s">
        <v>382</v>
      </c>
      <c r="AC87"/>
      <c r="AD87" s="21" t="s">
        <v>13</v>
      </c>
      <c r="AE87" s="21" t="s">
        <v>506</v>
      </c>
      <c r="AF87" s="13">
        <v>1191636</v>
      </c>
      <c r="AG87" s="124">
        <v>0</v>
      </c>
      <c r="AH87" s="1">
        <v>1191636</v>
      </c>
      <c r="AI87" s="1"/>
      <c r="AJ87" s="1">
        <v>12777</v>
      </c>
      <c r="AM87" s="21">
        <v>8</v>
      </c>
      <c r="AN87" s="21">
        <v>8</v>
      </c>
      <c r="AO87" s="21">
        <v>8</v>
      </c>
      <c r="AP87" s="21"/>
      <c r="AQ87" s="21"/>
      <c r="AR87" s="126" t="s">
        <v>172</v>
      </c>
      <c r="AS87" s="21" t="s">
        <v>493</v>
      </c>
      <c r="AT87" s="21" t="str">
        <f>IFERROR(IF(FIND("?",ckAwdTable[abst_narr_txt]),SummarizeQuestMarks(ckAwdTable[abst_narr_txt]),""),"")</f>
        <v/>
      </c>
      <c r="AU87" s="119"/>
      <c r="AV87" t="s">
        <v>1807</v>
      </c>
      <c r="AW87" t="b">
        <f>AND(ckAwdTable[[#This Row],[ILN]]&gt;"M", SUBSTITUTE(ckAwdTable[[#This Row],[prop_titl_txt]]," ","")&lt;&gt;SUBSTITUTE(AV86," ",""))</f>
        <v>0</v>
      </c>
      <c r="AX87" s="8" t="s">
        <v>1808</v>
      </c>
    </row>
    <row r="88" spans="2:50" x14ac:dyDescent="0.4">
      <c r="B88" s="30">
        <v>43005.67291666667</v>
      </c>
      <c r="C88" t="s">
        <v>524</v>
      </c>
      <c r="D88" t="s">
        <v>477</v>
      </c>
      <c r="E88" t="s">
        <v>582</v>
      </c>
      <c r="F88" t="s">
        <v>611</v>
      </c>
      <c r="G88" s="8" t="s">
        <v>171</v>
      </c>
      <c r="H88" s="8" t="s">
        <v>169</v>
      </c>
      <c r="I88" s="8" t="s">
        <v>505</v>
      </c>
      <c r="J88" t="s">
        <v>94</v>
      </c>
      <c r="K88" t="s">
        <v>525</v>
      </c>
      <c r="L88" s="22"/>
      <c r="M88" s="109">
        <f xml:space="preserve"> M87+(ckAwdTable[ILN]&lt;"M")</f>
        <v>73</v>
      </c>
      <c r="N88" t="s">
        <v>491</v>
      </c>
      <c r="O88" t="s">
        <v>1387</v>
      </c>
      <c r="P88" s="15" t="str">
        <f>HYPERLINK("https://www.ejacket.nsf.gov/ej/showProposal.do?ID="&amp;ckAwdTable[[#This Row],[prop_id]],"eJ")</f>
        <v>eJ</v>
      </c>
      <c r="Q88" s="8" t="s">
        <v>478</v>
      </c>
      <c r="R88" t="s">
        <v>1387</v>
      </c>
      <c r="S88" t="s">
        <v>1388</v>
      </c>
      <c r="T88" t="s">
        <v>1810</v>
      </c>
      <c r="U88" s="8" t="s">
        <v>1487</v>
      </c>
      <c r="V88" t="s">
        <v>231</v>
      </c>
      <c r="W88" s="113" t="str">
        <f>HYPERLINK("mailto:"&amp; ckAwdTable[[#This Row],[email]]&amp;"&amp;subject=Your NSF Proposal:  "&amp;ckAwdTable[[#This Row],[prop_id]], ckAwdTable[[#This Row],[email]])</f>
        <v>edemaine@mit.edu</v>
      </c>
      <c r="X88" s="30">
        <v>43252</v>
      </c>
      <c r="Y88">
        <v>48</v>
      </c>
      <c r="AA88" s="21" t="s">
        <v>13</v>
      </c>
      <c r="AB88" s="21" t="s">
        <v>382</v>
      </c>
      <c r="AC88"/>
      <c r="AD88" s="21" t="s">
        <v>13</v>
      </c>
      <c r="AF88" s="13">
        <v>600000</v>
      </c>
      <c r="AG88" s="124">
        <v>0</v>
      </c>
      <c r="AH88" s="1">
        <v>600000</v>
      </c>
      <c r="AI88" s="1"/>
      <c r="AJ88" s="1"/>
      <c r="AM88" s="21">
        <v>8</v>
      </c>
      <c r="AN88" s="21">
        <v>4</v>
      </c>
      <c r="AO88" s="21">
        <v>2</v>
      </c>
      <c r="AP88" s="21"/>
      <c r="AQ88" s="21"/>
      <c r="AR88" s="126" t="s">
        <v>172</v>
      </c>
      <c r="AS88" s="21" t="s">
        <v>493</v>
      </c>
      <c r="AT88" s="21" t="str">
        <f>IFERROR(IF(FIND("?",ckAwdTable[abst_narr_txt]),SummarizeQuestMarks(ckAwdTable[abst_narr_txt]),""),"")</f>
        <v/>
      </c>
      <c r="AU88" s="119"/>
      <c r="AV88" t="s">
        <v>1811</v>
      </c>
      <c r="AW88" t="b">
        <f>AND(ckAwdTable[[#This Row],[ILN]]&gt;"M", SUBSTITUTE(ckAwdTable[[#This Row],[prop_titl_txt]]," ","")&lt;&gt;SUBSTITUTE(AV87," ",""))</f>
        <v>0</v>
      </c>
      <c r="AX88" s="8" t="s">
        <v>1812</v>
      </c>
    </row>
    <row r="89" spans="2:50" x14ac:dyDescent="0.4">
      <c r="B89" s="30">
        <v>43005.448611111111</v>
      </c>
      <c r="C89" t="s">
        <v>524</v>
      </c>
      <c r="D89" t="s">
        <v>477</v>
      </c>
      <c r="E89" t="s">
        <v>582</v>
      </c>
      <c r="F89" t="s">
        <v>611</v>
      </c>
      <c r="G89" s="8" t="s">
        <v>171</v>
      </c>
      <c r="H89" s="8" t="s">
        <v>169</v>
      </c>
      <c r="I89" s="8" t="s">
        <v>505</v>
      </c>
      <c r="J89" t="s">
        <v>94</v>
      </c>
      <c r="K89" t="s">
        <v>525</v>
      </c>
      <c r="L89" s="22"/>
      <c r="M89" s="109">
        <f xml:space="preserve"> M88+(ckAwdTable[ILN]&lt;"M")</f>
        <v>73</v>
      </c>
      <c r="N89" t="s">
        <v>493</v>
      </c>
      <c r="O89" t="s">
        <v>1387</v>
      </c>
      <c r="P89" s="15" t="str">
        <f>HYPERLINK("https://www.ejacket.nsf.gov/ej/showProposal.do?ID="&amp;ckAwdTable[[#This Row],[prop_id]],"eJ")</f>
        <v>eJ</v>
      </c>
      <c r="Q89" s="8" t="s">
        <v>478</v>
      </c>
      <c r="R89" t="s">
        <v>1813</v>
      </c>
      <c r="S89" t="s">
        <v>1814</v>
      </c>
      <c r="T89" t="s">
        <v>1815</v>
      </c>
      <c r="U89" s="8" t="s">
        <v>500</v>
      </c>
      <c r="V89" t="s">
        <v>490</v>
      </c>
      <c r="W89" s="113" t="str">
        <f>HYPERLINK("mailto:"&amp; ckAwdTable[[#This Row],[email]]&amp;"&amp;subject=Your NSF Proposal:  "&amp;ckAwdTable[[#This Row],[prop_id]], ckAwdTable[[#This Row],[email]])</f>
        <v>hajiagha@cs.umd.edu</v>
      </c>
      <c r="X89" s="30">
        <v>43252</v>
      </c>
      <c r="Y89">
        <v>48</v>
      </c>
      <c r="AA89" s="21" t="s">
        <v>13</v>
      </c>
      <c r="AB89" s="21" t="s">
        <v>382</v>
      </c>
      <c r="AC89"/>
      <c r="AD89" s="21" t="s">
        <v>13</v>
      </c>
      <c r="AE89" s="21" t="s">
        <v>506</v>
      </c>
      <c r="AF89" s="13">
        <v>600000</v>
      </c>
      <c r="AG89" s="124">
        <v>0</v>
      </c>
      <c r="AH89" s="1">
        <v>600000</v>
      </c>
      <c r="AI89" s="1"/>
      <c r="AJ89" s="1">
        <v>12000</v>
      </c>
      <c r="AM89" s="21">
        <v>8</v>
      </c>
      <c r="AN89" s="21">
        <v>4</v>
      </c>
      <c r="AO89" s="21"/>
      <c r="AP89" s="21"/>
      <c r="AQ89" s="21">
        <v>4</v>
      </c>
      <c r="AR89" s="126" t="s">
        <v>172</v>
      </c>
      <c r="AS89" s="21" t="s">
        <v>493</v>
      </c>
      <c r="AT89" s="21" t="str">
        <f>IFERROR(IF(FIND("?",ckAwdTable[abst_narr_txt]),SummarizeQuestMarks(ckAwdTable[abst_narr_txt]),""),"")</f>
        <v/>
      </c>
      <c r="AU89" s="119"/>
      <c r="AV89" t="s">
        <v>1811</v>
      </c>
      <c r="AW89" t="b">
        <f>AND(ckAwdTable[[#This Row],[ILN]]&gt;"M", SUBSTITUTE(ckAwdTable[[#This Row],[prop_titl_txt]]," ","")&lt;&gt;SUBSTITUTE(AV88," ",""))</f>
        <v>0</v>
      </c>
      <c r="AX89" s="8" t="s">
        <v>1816</v>
      </c>
    </row>
    <row r="90" spans="2:50" x14ac:dyDescent="0.4">
      <c r="B90" s="30">
        <v>43005.686805555553</v>
      </c>
      <c r="C90" t="s">
        <v>524</v>
      </c>
      <c r="D90" t="s">
        <v>477</v>
      </c>
      <c r="E90" t="s">
        <v>582</v>
      </c>
      <c r="F90" t="s">
        <v>654</v>
      </c>
      <c r="G90" s="8" t="s">
        <v>171</v>
      </c>
      <c r="H90" s="8" t="s">
        <v>169</v>
      </c>
      <c r="I90" s="8" t="s">
        <v>505</v>
      </c>
      <c r="J90" t="s">
        <v>94</v>
      </c>
      <c r="K90" t="s">
        <v>525</v>
      </c>
      <c r="L90" s="22"/>
      <c r="M90" s="109">
        <f xml:space="preserve"> M89+(ckAwdTable[ILN]&lt;"M")</f>
        <v>74</v>
      </c>
      <c r="N90" t="s">
        <v>95</v>
      </c>
      <c r="O90" t="s">
        <v>1395</v>
      </c>
      <c r="P90" s="15" t="str">
        <f>HYPERLINK("https://www.ejacket.nsf.gov/ej/showProposal.do?ID="&amp;ckAwdTable[[#This Row],[prop_id]],"eJ")</f>
        <v>eJ</v>
      </c>
      <c r="Q90" s="8" t="s">
        <v>478</v>
      </c>
      <c r="R90" t="s">
        <v>1395</v>
      </c>
      <c r="S90" t="s">
        <v>1396</v>
      </c>
      <c r="T90" t="s">
        <v>1818</v>
      </c>
      <c r="U90" s="8" t="s">
        <v>1472</v>
      </c>
      <c r="V90" t="s">
        <v>1470</v>
      </c>
      <c r="W90" s="113" t="str">
        <f>HYPERLINK("mailto:"&amp; ckAwdTable[[#This Row],[email]]&amp;"&amp;subject=Your NSF Proposal:  "&amp;ckAwdTable[[#This Row],[prop_id]], ckAwdTable[[#This Row],[email]])</f>
        <v>christos@cs.berkeley.edu</v>
      </c>
      <c r="X90" s="30">
        <v>43221</v>
      </c>
      <c r="Y90">
        <v>48</v>
      </c>
      <c r="AA90" s="21" t="s">
        <v>13</v>
      </c>
      <c r="AB90" s="21" t="s">
        <v>382</v>
      </c>
      <c r="AC90"/>
      <c r="AD90" s="21" t="s">
        <v>13</v>
      </c>
      <c r="AF90" s="13">
        <v>1200000</v>
      </c>
      <c r="AG90" s="124">
        <v>0</v>
      </c>
      <c r="AH90" s="1">
        <v>1200000</v>
      </c>
      <c r="AI90" s="1"/>
      <c r="AJ90" s="1"/>
      <c r="AM90" s="21">
        <v>8</v>
      </c>
      <c r="AN90" s="21">
        <v>8</v>
      </c>
      <c r="AO90" s="21"/>
      <c r="AP90" s="21"/>
      <c r="AQ90" s="21">
        <v>10.1</v>
      </c>
      <c r="AR90" s="126" t="s">
        <v>172</v>
      </c>
      <c r="AS90" s="21" t="s">
        <v>493</v>
      </c>
      <c r="AT90" s="21" t="str">
        <f>IFERROR(IF(FIND("?",ckAwdTable[abst_narr_txt]),SummarizeQuestMarks(ckAwdTable[abst_narr_txt]),""),"")</f>
        <v/>
      </c>
      <c r="AU90" s="119"/>
      <c r="AV90" t="s">
        <v>1820</v>
      </c>
      <c r="AW90" t="b">
        <f>AND(ckAwdTable[[#This Row],[ILN]]&gt;"M", SUBSTITUTE(ckAwdTable[[#This Row],[prop_titl_txt]]," ","")&lt;&gt;SUBSTITUTE(AV89," ",""))</f>
        <v>0</v>
      </c>
      <c r="AX90" s="8" t="s">
        <v>1821</v>
      </c>
    </row>
    <row r="91" spans="2:50" x14ac:dyDescent="0.4">
      <c r="B91" s="30">
        <v>43005.713194444441</v>
      </c>
      <c r="C91" t="s">
        <v>524</v>
      </c>
      <c r="D91" t="s">
        <v>477</v>
      </c>
      <c r="E91" t="s">
        <v>582</v>
      </c>
      <c r="F91" t="s">
        <v>654</v>
      </c>
      <c r="G91" s="8" t="s">
        <v>171</v>
      </c>
      <c r="H91" s="8" t="s">
        <v>169</v>
      </c>
      <c r="I91" s="8" t="s">
        <v>505</v>
      </c>
      <c r="J91" t="s">
        <v>94</v>
      </c>
      <c r="K91" t="s">
        <v>525</v>
      </c>
      <c r="L91" s="22"/>
      <c r="M91" s="109">
        <f xml:space="preserve"> M90+(ckAwdTable[ILN]&lt;"M")</f>
        <v>75</v>
      </c>
      <c r="N91" t="s">
        <v>491</v>
      </c>
      <c r="O91" t="s">
        <v>1403</v>
      </c>
      <c r="P91" s="15" t="str">
        <f>HYPERLINK("https://www.ejacket.nsf.gov/ej/showProposal.do?ID="&amp;ckAwdTable[[#This Row],[prop_id]],"eJ")</f>
        <v>eJ</v>
      </c>
      <c r="Q91" s="8" t="s">
        <v>478</v>
      </c>
      <c r="R91" t="s">
        <v>1403</v>
      </c>
      <c r="S91" t="s">
        <v>1404</v>
      </c>
      <c r="T91" t="s">
        <v>1822</v>
      </c>
      <c r="U91" s="8" t="s">
        <v>1823</v>
      </c>
      <c r="V91" t="s">
        <v>306</v>
      </c>
      <c r="W91" s="113" t="str">
        <f>HYPERLINK("mailto:"&amp; ckAwdTable[[#This Row],[email]]&amp;"&amp;subject=Your NSF Proposal:  "&amp;ckAwdTable[[#This Row],[prop_id]], ckAwdTable[[#This Row],[email]])</f>
        <v>nati@ttic.edu</v>
      </c>
      <c r="X91" s="30">
        <v>43313</v>
      </c>
      <c r="Y91">
        <v>36</v>
      </c>
      <c r="AA91" s="21" t="s">
        <v>13</v>
      </c>
      <c r="AB91" s="21" t="s">
        <v>382</v>
      </c>
      <c r="AC91"/>
      <c r="AD91" s="21" t="s">
        <v>13</v>
      </c>
      <c r="AE91" s="21" t="s">
        <v>506</v>
      </c>
      <c r="AF91" s="13">
        <v>541101</v>
      </c>
      <c r="AG91" s="124">
        <v>0</v>
      </c>
      <c r="AH91" s="1">
        <v>541101</v>
      </c>
      <c r="AI91" s="1"/>
      <c r="AJ91" s="1">
        <v>24727</v>
      </c>
      <c r="AK91" s="1">
        <v>92000</v>
      </c>
      <c r="AM91" s="21">
        <v>3</v>
      </c>
      <c r="AN91" s="21">
        <v>6</v>
      </c>
      <c r="AO91" s="21">
        <v>5</v>
      </c>
      <c r="AP91" s="21"/>
      <c r="AQ91" s="21"/>
      <c r="AR91" s="126" t="s">
        <v>172</v>
      </c>
      <c r="AS91" s="21" t="s">
        <v>493</v>
      </c>
      <c r="AT91" s="21" t="str">
        <f>IFERROR(IF(FIND("?",ckAwdTable[abst_narr_txt]),SummarizeQuestMarks(ckAwdTable[abst_narr_txt]),""),"")</f>
        <v/>
      </c>
      <c r="AU91" s="119"/>
      <c r="AV91" t="s">
        <v>1824</v>
      </c>
      <c r="AW91" t="b">
        <f>AND(ckAwdTable[[#This Row],[ILN]]&gt;"M", SUBSTITUTE(ckAwdTable[[#This Row],[prop_titl_txt]]," ","")&lt;&gt;SUBSTITUTE(AV90," ",""))</f>
        <v>0</v>
      </c>
      <c r="AX91" s="8" t="s">
        <v>1825</v>
      </c>
    </row>
    <row r="92" spans="2:50" x14ac:dyDescent="0.4">
      <c r="B92" s="30">
        <v>43005.481944444444</v>
      </c>
      <c r="C92" t="s">
        <v>524</v>
      </c>
      <c r="D92" t="s">
        <v>477</v>
      </c>
      <c r="E92" t="s">
        <v>582</v>
      </c>
      <c r="F92" t="s">
        <v>654</v>
      </c>
      <c r="G92" s="8" t="s">
        <v>171</v>
      </c>
      <c r="H92" s="8" t="s">
        <v>169</v>
      </c>
      <c r="I92" s="8" t="s">
        <v>505</v>
      </c>
      <c r="J92" t="s">
        <v>94</v>
      </c>
      <c r="K92" t="s">
        <v>525</v>
      </c>
      <c r="L92" s="22"/>
      <c r="M92" s="109">
        <f xml:space="preserve"> M91+(ckAwdTable[ILN]&lt;"M")</f>
        <v>75</v>
      </c>
      <c r="N92" t="s">
        <v>493</v>
      </c>
      <c r="O92" t="s">
        <v>1403</v>
      </c>
      <c r="P92" s="15" t="str">
        <f>HYPERLINK("https://www.ejacket.nsf.gov/ej/showProposal.do?ID="&amp;ckAwdTable[[#This Row],[prop_id]],"eJ")</f>
        <v>eJ</v>
      </c>
      <c r="Q92" s="8" t="s">
        <v>478</v>
      </c>
      <c r="R92" t="s">
        <v>1826</v>
      </c>
      <c r="S92" t="s">
        <v>1827</v>
      </c>
      <c r="T92" t="s">
        <v>1828</v>
      </c>
      <c r="U92" s="8" t="s">
        <v>497</v>
      </c>
      <c r="V92" t="s">
        <v>496</v>
      </c>
      <c r="W92" s="113" t="str">
        <f>HYPERLINK("mailto:"&amp; ckAwdTable[[#This Row],[email]]&amp;"&amp;subject=Your NSF Proposal:  "&amp;ckAwdTable[[#This Row],[prop_id]], ckAwdTable[[#This Row],[email]])</f>
        <v>rsalakhu@cs.cmu.edu</v>
      </c>
      <c r="X92" s="30">
        <v>43313</v>
      </c>
      <c r="Y92">
        <v>36</v>
      </c>
      <c r="AA92" s="21" t="s">
        <v>13</v>
      </c>
      <c r="AB92" s="21" t="s">
        <v>382</v>
      </c>
      <c r="AC92"/>
      <c r="AD92" s="21" t="s">
        <v>13</v>
      </c>
      <c r="AE92" s="21" t="s">
        <v>506</v>
      </c>
      <c r="AF92" s="13">
        <v>329074</v>
      </c>
      <c r="AG92" s="124">
        <v>0</v>
      </c>
      <c r="AH92" s="1">
        <v>329074</v>
      </c>
      <c r="AI92" s="1"/>
      <c r="AJ92" s="1">
        <v>16345</v>
      </c>
      <c r="AM92" s="21">
        <v>3</v>
      </c>
      <c r="AN92" s="21">
        <v>3</v>
      </c>
      <c r="AO92" s="21">
        <v>2.1</v>
      </c>
      <c r="AP92" s="21"/>
      <c r="AQ92" s="21"/>
      <c r="AR92" s="126" t="s">
        <v>172</v>
      </c>
      <c r="AS92" s="21" t="s">
        <v>493</v>
      </c>
      <c r="AT92" s="21" t="str">
        <f>IFERROR(IF(FIND("?",ckAwdTable[abst_narr_txt]),SummarizeQuestMarks(ckAwdTable[abst_narr_txt]),""),"")</f>
        <v/>
      </c>
      <c r="AU92" s="119"/>
      <c r="AV92" t="s">
        <v>1824</v>
      </c>
      <c r="AW92" t="b">
        <f>AND(ckAwdTable[[#This Row],[ILN]]&gt;"M", SUBSTITUTE(ckAwdTable[[#This Row],[prop_titl_txt]]," ","")&lt;&gt;SUBSTITUTE(AV91," ",""))</f>
        <v>0</v>
      </c>
      <c r="AX92" s="8" t="s">
        <v>1829</v>
      </c>
    </row>
    <row r="93" spans="2:50" x14ac:dyDescent="0.4">
      <c r="B93" s="30">
        <v>43005.713888888888</v>
      </c>
      <c r="C93" t="s">
        <v>524</v>
      </c>
      <c r="D93" t="s">
        <v>477</v>
      </c>
      <c r="E93" t="s">
        <v>582</v>
      </c>
      <c r="F93" t="s">
        <v>654</v>
      </c>
      <c r="G93" s="8" t="s">
        <v>171</v>
      </c>
      <c r="H93" s="8" t="s">
        <v>169</v>
      </c>
      <c r="I93" s="8" t="s">
        <v>505</v>
      </c>
      <c r="J93" t="s">
        <v>94</v>
      </c>
      <c r="K93" t="s">
        <v>525</v>
      </c>
      <c r="L93" s="22"/>
      <c r="M93" s="109">
        <f xml:space="preserve"> M92+(ckAwdTable[ILN]&lt;"M")</f>
        <v>75</v>
      </c>
      <c r="N93" t="s">
        <v>493</v>
      </c>
      <c r="O93" t="s">
        <v>1403</v>
      </c>
      <c r="P93" s="15" t="str">
        <f>HYPERLINK("https://www.ejacket.nsf.gov/ej/showProposal.do?ID="&amp;ckAwdTable[[#This Row],[prop_id]],"eJ")</f>
        <v>eJ</v>
      </c>
      <c r="Q93" s="8" t="s">
        <v>478</v>
      </c>
      <c r="R93" t="s">
        <v>1830</v>
      </c>
      <c r="S93" t="s">
        <v>937</v>
      </c>
      <c r="T93" t="s">
        <v>1554</v>
      </c>
      <c r="U93" s="8" t="s">
        <v>501</v>
      </c>
      <c r="V93" t="s">
        <v>230</v>
      </c>
      <c r="W93" s="113" t="str">
        <f>HYPERLINK("mailto:"&amp; ckAwdTable[[#This Row],[email]]&amp;"&amp;subject=Your NSF Proposal:  "&amp;ckAwdTable[[#This Row],[prop_id]], ckAwdTable[[#This Row],[email]])</f>
        <v xml:space="preserve"> hardt@eecs.berkeley.edu</v>
      </c>
      <c r="X93" s="30">
        <v>43313</v>
      </c>
      <c r="Y93">
        <v>36</v>
      </c>
      <c r="AA93" s="21" t="s">
        <v>13</v>
      </c>
      <c r="AB93" s="21" t="s">
        <v>382</v>
      </c>
      <c r="AC93"/>
      <c r="AD93" s="21" t="s">
        <v>13</v>
      </c>
      <c r="AF93" s="13">
        <v>328204</v>
      </c>
      <c r="AG93" s="124">
        <v>0</v>
      </c>
      <c r="AH93" s="1">
        <v>328204</v>
      </c>
      <c r="AI93" s="1"/>
      <c r="AJ93" s="1"/>
      <c r="AM93" s="21">
        <v>3</v>
      </c>
      <c r="AN93" s="21">
        <v>3</v>
      </c>
      <c r="AO93" s="21">
        <v>1.5</v>
      </c>
      <c r="AP93" s="21"/>
      <c r="AQ93" s="21"/>
      <c r="AR93" s="126" t="s">
        <v>172</v>
      </c>
      <c r="AS93" s="21" t="s">
        <v>493</v>
      </c>
      <c r="AT93" s="21" t="str">
        <f>IFERROR(IF(FIND("?",ckAwdTable[abst_narr_txt]),SummarizeQuestMarks(ckAwdTable[abst_narr_txt]),""),"")</f>
        <v/>
      </c>
      <c r="AU93" s="119"/>
      <c r="AV93" t="s">
        <v>1824</v>
      </c>
      <c r="AW93" t="b">
        <f>AND(ckAwdTable[[#This Row],[ILN]]&gt;"M", SUBSTITUTE(ckAwdTable[[#This Row],[prop_titl_txt]]," ","")&lt;&gt;SUBSTITUTE(AV92," ",""))</f>
        <v>0</v>
      </c>
      <c r="AX93" s="8" t="s">
        <v>1557</v>
      </c>
    </row>
    <row r="94" spans="2:50" x14ac:dyDescent="0.4">
      <c r="B94" s="30">
        <v>43005.740277777775</v>
      </c>
      <c r="C94" t="s">
        <v>1831</v>
      </c>
      <c r="D94" t="s">
        <v>1622</v>
      </c>
      <c r="E94" t="s">
        <v>580</v>
      </c>
      <c r="F94" t="s">
        <v>1166</v>
      </c>
      <c r="G94" s="8" t="s">
        <v>171</v>
      </c>
      <c r="H94" s="8" t="s">
        <v>169</v>
      </c>
      <c r="I94" s="8" t="s">
        <v>505</v>
      </c>
      <c r="J94" t="s">
        <v>94</v>
      </c>
      <c r="K94" t="s">
        <v>1832</v>
      </c>
      <c r="L94" s="22"/>
      <c r="M94" s="109">
        <f xml:space="preserve"> M93+(ckAwdTable[ILN]&lt;"M")</f>
        <v>76</v>
      </c>
      <c r="N94" t="s">
        <v>95</v>
      </c>
      <c r="O94" t="s">
        <v>1411</v>
      </c>
      <c r="P94" s="15" t="str">
        <f>HYPERLINK("https://www.ejacket.nsf.gov/ej/showProposal.do?ID="&amp;ckAwdTable[[#This Row],[prop_id]],"eJ")</f>
        <v>eJ</v>
      </c>
      <c r="Q94" s="8" t="s">
        <v>1625</v>
      </c>
      <c r="R94" t="s">
        <v>1411</v>
      </c>
      <c r="S94" t="s">
        <v>1412</v>
      </c>
      <c r="T94" t="s">
        <v>1524</v>
      </c>
      <c r="U94" s="8" t="s">
        <v>1834</v>
      </c>
      <c r="V94" t="s">
        <v>230</v>
      </c>
      <c r="W94" s="113" t="str">
        <f>HYPERLINK("mailto:"&amp; ckAwdTable[[#This Row],[email]]&amp;"&amp;subject=Your NSF Proposal:  "&amp;ckAwdTable[[#This Row],[prop_id]], ckAwdTable[[#This Row],[email]])</f>
        <v>mmahoney@icsi.berkeley.edu</v>
      </c>
      <c r="X94" s="30">
        <v>43160</v>
      </c>
      <c r="Y94">
        <v>48</v>
      </c>
      <c r="AA94" s="21" t="s">
        <v>13</v>
      </c>
      <c r="AB94" s="21" t="s">
        <v>382</v>
      </c>
      <c r="AC94"/>
      <c r="AD94" s="21" t="s">
        <v>13</v>
      </c>
      <c r="AE94" s="21" t="s">
        <v>2011</v>
      </c>
      <c r="AF94" s="13">
        <v>1200000</v>
      </c>
      <c r="AG94" s="124">
        <v>0</v>
      </c>
      <c r="AH94" s="1">
        <v>1200000</v>
      </c>
      <c r="AI94" s="1"/>
      <c r="AJ94" s="1">
        <v>48000</v>
      </c>
      <c r="AM94" s="21">
        <v>16</v>
      </c>
      <c r="AN94" s="21">
        <v>4</v>
      </c>
      <c r="AO94" s="21"/>
      <c r="AP94" s="21"/>
      <c r="AQ94" s="21">
        <v>4</v>
      </c>
      <c r="AR94" s="126" t="s">
        <v>172</v>
      </c>
      <c r="AS94" s="21" t="s">
        <v>493</v>
      </c>
      <c r="AT94" s="21" t="str">
        <f>IFERROR(IF(FIND("?",ckAwdTable[abst_narr_txt]),SummarizeQuestMarks(ckAwdTable[abst_narr_txt]),""),"")</f>
        <v/>
      </c>
      <c r="AU94" s="119"/>
      <c r="AV94" t="s">
        <v>1836</v>
      </c>
      <c r="AW94" t="b">
        <f>AND(ckAwdTable[[#This Row],[ILN]]&gt;"M", SUBSTITUTE(ckAwdTable[[#This Row],[prop_titl_txt]]," ","")&lt;&gt;SUBSTITUTE(AV93," ",""))</f>
        <v>0</v>
      </c>
      <c r="AX94" s="8" t="s">
        <v>1837</v>
      </c>
    </row>
    <row r="95" spans="2:50" x14ac:dyDescent="0.4">
      <c r="B95" s="30">
        <v>43005.743750000001</v>
      </c>
      <c r="C95" t="s">
        <v>524</v>
      </c>
      <c r="D95" t="s">
        <v>477</v>
      </c>
      <c r="E95" t="s">
        <v>582</v>
      </c>
      <c r="F95" t="s">
        <v>611</v>
      </c>
      <c r="G95" s="8" t="s">
        <v>171</v>
      </c>
      <c r="H95" s="8" t="s">
        <v>169</v>
      </c>
      <c r="I95" s="8" t="s">
        <v>505</v>
      </c>
      <c r="J95" t="s">
        <v>94</v>
      </c>
      <c r="K95" t="s">
        <v>525</v>
      </c>
      <c r="L95" s="22">
        <v>43082.530312499999</v>
      </c>
      <c r="M95" s="109">
        <f xml:space="preserve"> M94+(ckAwdTable[ILN]&lt;"M")</f>
        <v>77</v>
      </c>
      <c r="N95" t="s">
        <v>491</v>
      </c>
      <c r="O95" t="s">
        <v>1420</v>
      </c>
      <c r="P95" s="15" t="str">
        <f>HYPERLINK("https://www.ejacket.nsf.gov/ej/showProposal.do?ID="&amp;ckAwdTable[[#This Row],[prop_id]],"eJ")</f>
        <v>eJ</v>
      </c>
      <c r="Q95" s="8" t="s">
        <v>478</v>
      </c>
      <c r="R95" t="s">
        <v>1420</v>
      </c>
      <c r="S95" t="s">
        <v>1421</v>
      </c>
      <c r="T95" t="s">
        <v>1838</v>
      </c>
      <c r="U95" s="8" t="s">
        <v>1839</v>
      </c>
      <c r="V95" t="s">
        <v>306</v>
      </c>
      <c r="W95" s="113" t="str">
        <f>HYPERLINK("mailto:"&amp; ckAwdTable[[#This Row],[email]]&amp;"&amp;subject=Your NSF Proposal:  "&amp;ckAwdTable[[#This Row],[prop_id]], ckAwdTable[[#This Row],[email]])</f>
        <v>wbwu@galton.uchicago.edu</v>
      </c>
      <c r="X95" s="30">
        <v>43282</v>
      </c>
      <c r="Y95">
        <v>48</v>
      </c>
      <c r="AA95" s="21" t="s">
        <v>13</v>
      </c>
      <c r="AB95" s="21" t="s">
        <v>382</v>
      </c>
      <c r="AC95"/>
      <c r="AD95" s="21" t="s">
        <v>13</v>
      </c>
      <c r="AE95" s="21" t="s">
        <v>506</v>
      </c>
      <c r="AF95" s="13">
        <v>399414</v>
      </c>
      <c r="AG95" s="124">
        <v>0</v>
      </c>
      <c r="AH95" s="1">
        <v>399414</v>
      </c>
      <c r="AI95" s="1"/>
      <c r="AJ95" s="1">
        <v>12551</v>
      </c>
      <c r="AM95" s="21">
        <v>8</v>
      </c>
      <c r="AN95" s="21">
        <v>4</v>
      </c>
      <c r="AO95" s="21">
        <v>6.5</v>
      </c>
      <c r="AP95" s="21"/>
      <c r="AQ95" s="21"/>
      <c r="AR95" s="126" t="s">
        <v>172</v>
      </c>
      <c r="AS95" s="21" t="s">
        <v>493</v>
      </c>
      <c r="AT95" s="21" t="str">
        <f>IFERROR(IF(FIND("?",ckAwdTable[abst_narr_txt]),SummarizeQuestMarks(ckAwdTable[abst_narr_txt]),""),"")</f>
        <v/>
      </c>
      <c r="AU95" s="119"/>
      <c r="AV95" t="s">
        <v>1841</v>
      </c>
      <c r="AW95" t="b">
        <f>AND(ckAwdTable[[#This Row],[ILN]]&gt;"M", SUBSTITUTE(ckAwdTable[[#This Row],[prop_titl_txt]]," ","")&lt;&gt;SUBSTITUTE(AV94," ",""))</f>
        <v>0</v>
      </c>
      <c r="AX95" s="8" t="s">
        <v>1842</v>
      </c>
    </row>
    <row r="96" spans="2:50" x14ac:dyDescent="0.4">
      <c r="B96" s="30">
        <v>43005.654166666667</v>
      </c>
      <c r="C96" t="s">
        <v>524</v>
      </c>
      <c r="D96" t="s">
        <v>477</v>
      </c>
      <c r="E96" t="s">
        <v>582</v>
      </c>
      <c r="F96" t="s">
        <v>611</v>
      </c>
      <c r="G96" s="8" t="s">
        <v>171</v>
      </c>
      <c r="H96" s="8" t="s">
        <v>169</v>
      </c>
      <c r="I96" s="8" t="s">
        <v>505</v>
      </c>
      <c r="J96" t="s">
        <v>94</v>
      </c>
      <c r="K96" t="s">
        <v>525</v>
      </c>
      <c r="L96" s="22">
        <v>43082.530312499999</v>
      </c>
      <c r="M96" s="109">
        <f xml:space="preserve"> M95+(ckAwdTable[ILN]&lt;"M")</f>
        <v>77</v>
      </c>
      <c r="N96" t="s">
        <v>493</v>
      </c>
      <c r="O96" t="s">
        <v>1420</v>
      </c>
      <c r="P96" s="15" t="str">
        <f>HYPERLINK("https://www.ejacket.nsf.gov/ej/showProposal.do?ID="&amp;ckAwdTable[[#This Row],[prop_id]],"eJ")</f>
        <v>eJ</v>
      </c>
      <c r="Q96" s="8" t="s">
        <v>478</v>
      </c>
      <c r="R96" t="s">
        <v>1843</v>
      </c>
      <c r="S96" t="s">
        <v>1352</v>
      </c>
      <c r="T96" t="s">
        <v>1844</v>
      </c>
      <c r="U96" s="8" t="s">
        <v>1845</v>
      </c>
      <c r="V96" t="s">
        <v>498</v>
      </c>
      <c r="W96" s="113" t="str">
        <f>HYPERLINK("mailto:"&amp; ckAwdTable[[#This Row],[email]]&amp;"&amp;subject=Your NSF Proposal:  "&amp;ckAwdTable[[#This Row],[prop_id]], ckAwdTable[[#This Row],[email]])</f>
        <v>maggie.cheng@njit.edu</v>
      </c>
      <c r="X96" s="30">
        <v>43282</v>
      </c>
      <c r="Y96">
        <v>48</v>
      </c>
      <c r="AA96" s="21" t="s">
        <v>13</v>
      </c>
      <c r="AB96" s="21" t="s">
        <v>382</v>
      </c>
      <c r="AC96"/>
      <c r="AD96" s="21" t="s">
        <v>13</v>
      </c>
      <c r="AE96" s="21" t="s">
        <v>506</v>
      </c>
      <c r="AF96" s="13">
        <v>398685</v>
      </c>
      <c r="AG96" s="124">
        <v>0</v>
      </c>
      <c r="AH96" s="1">
        <v>398685</v>
      </c>
      <c r="AI96" s="1"/>
      <c r="AJ96" s="1">
        <v>8000</v>
      </c>
      <c r="AM96" s="21">
        <v>4</v>
      </c>
      <c r="AN96" s="21">
        <v>4</v>
      </c>
      <c r="AO96" s="21">
        <v>4</v>
      </c>
      <c r="AP96" s="21"/>
      <c r="AQ96" s="21"/>
      <c r="AR96" s="126" t="s">
        <v>172</v>
      </c>
      <c r="AS96" s="21" t="s">
        <v>493</v>
      </c>
      <c r="AT96" s="21" t="str">
        <f>IFERROR(IF(FIND("?",ckAwdTable[abst_narr_txt]),SummarizeQuestMarks(ckAwdTable[abst_narr_txt]),""),"")</f>
        <v/>
      </c>
      <c r="AU96" s="119"/>
      <c r="AV96" t="s">
        <v>1841</v>
      </c>
      <c r="AW96" t="b">
        <f>AND(ckAwdTable[[#This Row],[ILN]]&gt;"M", SUBSTITUTE(ckAwdTable[[#This Row],[prop_titl_txt]]," ","")&lt;&gt;SUBSTITUTE(AV95," ",""))</f>
        <v>0</v>
      </c>
      <c r="AX96" s="8" t="s">
        <v>1846</v>
      </c>
    </row>
  </sheetData>
  <conditionalFormatting sqref="A2:AX96">
    <cfRule type="expression" dxfId="28" priority="4">
      <formula>MOD($M2,2)</formula>
    </cfRule>
  </conditionalFormatting>
  <conditionalFormatting sqref="C2:K96">
    <cfRule type="expression" dxfId="27" priority="3">
      <formula>AND($N2="N",C2&lt;&gt;C1)</formula>
    </cfRule>
  </conditionalFormatting>
  <conditionalFormatting sqref="X2:AE96">
    <cfRule type="expression" dxfId="26" priority="2">
      <formula>AND($N2="N",TRIM(X2)&lt;&gt;TRIM(X1))</formula>
    </cfRule>
  </conditionalFormatting>
  <conditionalFormatting sqref="AV2:AV96">
    <cfRule type="expression" dxfId="25"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473"/>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436</v>
      </c>
      <c r="K2" s="12" t="e">
        <f>LOWER(#REF!)</f>
        <v>#REF!</v>
      </c>
      <c r="L2" s="101" t="s">
        <v>14</v>
      </c>
      <c r="M2" s="103">
        <f ca="1">YEAR(NOW())+(MONTH(NOW())&gt;9)-2000</f>
        <v>18</v>
      </c>
      <c r="Q2" s="100" t="s">
        <v>127</v>
      </c>
      <c r="R2" s="100"/>
      <c r="S2" s="102"/>
      <c r="U2" s="99" t="s">
        <v>128</v>
      </c>
      <c r="Y2" s="99" t="s">
        <v>437</v>
      </c>
    </row>
    <row r="3" spans="1:30" ht="33" customHeight="1" x14ac:dyDescent="0.4">
      <c r="A3" s="6" t="s">
        <v>0</v>
      </c>
      <c r="B3" t="s">
        <v>88</v>
      </c>
      <c r="C3" t="s">
        <v>355</v>
      </c>
      <c r="D3" t="s">
        <v>101</v>
      </c>
      <c r="E3" s="30" t="s">
        <v>7</v>
      </c>
      <c r="F3" t="s">
        <v>8</v>
      </c>
      <c r="G3" t="s">
        <v>5</v>
      </c>
      <c r="H3" t="s">
        <v>4</v>
      </c>
      <c r="I3" t="s">
        <v>91</v>
      </c>
      <c r="J3" t="s">
        <v>379</v>
      </c>
      <c r="K3" t="s">
        <v>9</v>
      </c>
      <c r="L3" t="s">
        <v>1</v>
      </c>
      <c r="M3" s="21" t="s">
        <v>2</v>
      </c>
      <c r="N3" t="s">
        <v>10</v>
      </c>
      <c r="O3" s="14" t="s">
        <v>416</v>
      </c>
      <c r="P3" t="s">
        <v>11</v>
      </c>
      <c r="Q3" t="s">
        <v>356</v>
      </c>
      <c r="R3" t="s">
        <v>357</v>
      </c>
      <c r="S3" s="13" t="s">
        <v>358</v>
      </c>
      <c r="T3" t="s">
        <v>359</v>
      </c>
      <c r="U3" t="s">
        <v>360</v>
      </c>
      <c r="V3" s="6" t="s">
        <v>361</v>
      </c>
      <c r="W3" t="s">
        <v>362</v>
      </c>
      <c r="X3" t="s">
        <v>363</v>
      </c>
      <c r="Y3" t="s">
        <v>6</v>
      </c>
      <c r="Z3" t="s">
        <v>364</v>
      </c>
      <c r="AA3" t="s">
        <v>365</v>
      </c>
      <c r="AB3" t="s">
        <v>366</v>
      </c>
      <c r="AC3" t="s">
        <v>453</v>
      </c>
      <c r="AD3" t="s">
        <v>12</v>
      </c>
    </row>
    <row r="4" spans="1:30" x14ac:dyDescent="0.4">
      <c r="A4" s="10" t="s">
        <v>602</v>
      </c>
      <c r="B4" s="77" t="s">
        <v>95</v>
      </c>
      <c r="C4" s="77">
        <f>C3+(BudgetsTable[[#This Row],[lead]]&lt;&gt;K3)</f>
        <v>11</v>
      </c>
      <c r="D4" s="77">
        <f>D3*(BudgetsTable[[#This Row],[lead]]=K3)+(BudgetsTable[[#This Row],[prop_id]]&lt;&gt;A3)</f>
        <v>1</v>
      </c>
      <c r="E4" s="78">
        <v>42930.554166666669</v>
      </c>
      <c r="F4" s="79" t="s">
        <v>1430</v>
      </c>
      <c r="G4" s="79" t="s">
        <v>477</v>
      </c>
      <c r="H4" s="79" t="s">
        <v>582</v>
      </c>
      <c r="I4" s="77" t="s">
        <v>604</v>
      </c>
      <c r="J4" s="77" t="s">
        <v>1438</v>
      </c>
      <c r="K4" s="79" t="s">
        <v>602</v>
      </c>
      <c r="L4" s="7" t="str">
        <f>IF(BudgetsTable[[#This Row],[pi_last_name]]=" ","",HYPERLINK("https://www.ejacket.nsf.gov/ej/showProposal.do?Continue=Y&amp;ID="&amp;BudgetsTable[[#This Row],[prop_id]],BudgetsTable[[#This Row],[prop_id]]))</f>
        <v>1749173</v>
      </c>
      <c r="M4" s="15" t="e">
        <f>IF(BudgetsTable[[#This Row],[pi_last_name]]=" ","",HYPERLINK("https://www.ejacket.nsf.gov/ej/processReviewAnalysis.do?dispatch=add&amp;uniqId="&amp;BudgetsTable[[#This Row],[prop_id]]&amp;PO_id,"&gt;ra"))</f>
        <v>#REF!</v>
      </c>
      <c r="N4" s="79" t="s">
        <v>603</v>
      </c>
      <c r="O4" s="7" t="str">
        <f>IF(BudgetsTable[[#This Row],[pi_last_name]]=" ","",HYPERLINK("mailto:"&amp;BudgetsTable[[#This Row],[pi_email]]&amp;"&amp;subject=Your NSF Proposal:  "&amp;BudgetsTable[[#This Row],[prop_id]],BudgetsTable[[#This Row],[pi_email]]))</f>
        <v>steffen.borgwardt@ucdenver.edu</v>
      </c>
      <c r="P4" s="79" t="s">
        <v>1435</v>
      </c>
      <c r="Q4" s="79"/>
      <c r="R4" s="79"/>
      <c r="S4" s="80"/>
      <c r="T4" s="80"/>
      <c r="U4" s="80"/>
      <c r="V4" s="81"/>
      <c r="W4" s="79">
        <v>0</v>
      </c>
      <c r="X4" s="79"/>
      <c r="Y4" s="11" t="str">
        <f ca="1">IF(ISBLANK(BudgetsTable[[#This Row],[budg_seq_yr]]),"FY"&amp;fiscalyear,"FY"&amp;fiscalyear-1+BudgetsTable[[#This Row],[budg_seq_yr]])</f>
        <v>FY18</v>
      </c>
      <c r="Z4" s="80">
        <v>470400</v>
      </c>
      <c r="AA4" s="79" t="s">
        <v>477</v>
      </c>
      <c r="AB4" s="79" t="s">
        <v>582</v>
      </c>
      <c r="AC4" s="104" t="s">
        <v>94</v>
      </c>
      <c r="AD4" s="79" t="s">
        <v>1432</v>
      </c>
    </row>
    <row r="5" spans="1:30" x14ac:dyDescent="0.4">
      <c r="A5" s="10" t="s">
        <v>602</v>
      </c>
      <c r="B5" s="77" t="s">
        <v>95</v>
      </c>
      <c r="C5" s="77">
        <f>C4+(BudgetsTable[[#This Row],[lead]]&lt;&gt;K4)</f>
        <v>11</v>
      </c>
      <c r="D5" s="77">
        <f>D4*(BudgetsTable[[#This Row],[lead]]=K4)+(BudgetsTable[[#This Row],[prop_id]]&lt;&gt;A4)</f>
        <v>1</v>
      </c>
      <c r="E5" s="78">
        <v>42930.554166666669</v>
      </c>
      <c r="F5" s="79" t="s">
        <v>1430</v>
      </c>
      <c r="G5" s="79" t="s">
        <v>477</v>
      </c>
      <c r="H5" s="79" t="s">
        <v>582</v>
      </c>
      <c r="I5" s="77" t="s">
        <v>604</v>
      </c>
      <c r="J5" s="77" t="s">
        <v>13</v>
      </c>
      <c r="K5" s="79" t="s">
        <v>602</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1</v>
      </c>
      <c r="R5" s="79">
        <v>1.5</v>
      </c>
      <c r="S5" s="80">
        <v>0</v>
      </c>
      <c r="T5" s="80">
        <v>1920</v>
      </c>
      <c r="U5" s="80">
        <v>0</v>
      </c>
      <c r="V5" s="81">
        <v>87855</v>
      </c>
      <c r="W5" s="79">
        <v>0</v>
      </c>
      <c r="X5" s="79">
        <v>1</v>
      </c>
      <c r="Y5" s="11" t="str">
        <f ca="1">IF(ISBLANK(BudgetsTable[[#This Row],[budg_seq_yr]]),"FY"&amp;fiscalyear,"FY"&amp;fiscalyear-1+BudgetsTable[[#This Row],[budg_seq_yr]])</f>
        <v>FY18</v>
      </c>
      <c r="Z5" s="80">
        <v>87855</v>
      </c>
      <c r="AA5" s="79" t="s">
        <v>477</v>
      </c>
      <c r="AB5" s="79" t="s">
        <v>582</v>
      </c>
      <c r="AC5" s="77" t="s">
        <v>94</v>
      </c>
      <c r="AD5" s="79" t="s">
        <v>1432</v>
      </c>
    </row>
    <row r="6" spans="1:30" x14ac:dyDescent="0.4">
      <c r="A6" s="10" t="s">
        <v>602</v>
      </c>
      <c r="B6" s="77" t="s">
        <v>95</v>
      </c>
      <c r="C6" s="77">
        <f>C5+(BudgetsTable[[#This Row],[lead]]&lt;&gt;K5)</f>
        <v>11</v>
      </c>
      <c r="D6" s="77">
        <f>D5*(BudgetsTable[[#This Row],[lead]]=K5)+(BudgetsTable[[#This Row],[prop_id]]&lt;&gt;A5)</f>
        <v>1</v>
      </c>
      <c r="E6" s="78">
        <v>42930.554166666669</v>
      </c>
      <c r="F6" s="79" t="s">
        <v>1430</v>
      </c>
      <c r="G6" s="79" t="s">
        <v>477</v>
      </c>
      <c r="H6" s="79" t="s">
        <v>582</v>
      </c>
      <c r="I6" s="77" t="s">
        <v>604</v>
      </c>
      <c r="J6" s="77" t="s">
        <v>13</v>
      </c>
      <c r="K6" s="79" t="s">
        <v>602</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1</v>
      </c>
      <c r="R6" s="79">
        <v>1.5</v>
      </c>
      <c r="S6" s="80">
        <v>0</v>
      </c>
      <c r="T6" s="80">
        <v>1920</v>
      </c>
      <c r="U6" s="80">
        <v>0</v>
      </c>
      <c r="V6" s="81">
        <v>90367</v>
      </c>
      <c r="W6" s="79">
        <v>0</v>
      </c>
      <c r="X6" s="79">
        <v>2</v>
      </c>
      <c r="Y6" s="11" t="str">
        <f ca="1">IF(ISBLANK(BudgetsTable[[#This Row],[budg_seq_yr]]),"FY"&amp;fiscalyear,"FY"&amp;fiscalyear-1+BudgetsTable[[#This Row],[budg_seq_yr]])</f>
        <v>FY19</v>
      </c>
      <c r="Z6" s="80">
        <v>90367</v>
      </c>
      <c r="AA6" s="79" t="s">
        <v>477</v>
      </c>
      <c r="AB6" s="79" t="s">
        <v>582</v>
      </c>
      <c r="AC6" s="77" t="s">
        <v>94</v>
      </c>
      <c r="AD6" s="79" t="s">
        <v>1432</v>
      </c>
    </row>
    <row r="7" spans="1:30" x14ac:dyDescent="0.4">
      <c r="A7" s="10" t="s">
        <v>602</v>
      </c>
      <c r="B7" s="77" t="s">
        <v>95</v>
      </c>
      <c r="C7" s="77">
        <f>C6+(BudgetsTable[[#This Row],[lead]]&lt;&gt;K6)</f>
        <v>11</v>
      </c>
      <c r="D7" s="77">
        <f>D6*(BudgetsTable[[#This Row],[lead]]=K6)+(BudgetsTable[[#This Row],[prop_id]]&lt;&gt;A6)</f>
        <v>1</v>
      </c>
      <c r="E7" s="78">
        <v>42930.554166666669</v>
      </c>
      <c r="F7" s="79" t="s">
        <v>1430</v>
      </c>
      <c r="G7" s="79" t="s">
        <v>477</v>
      </c>
      <c r="H7" s="79" t="s">
        <v>582</v>
      </c>
      <c r="I7" s="77" t="s">
        <v>604</v>
      </c>
      <c r="J7" s="77" t="s">
        <v>13</v>
      </c>
      <c r="K7" s="79" t="s">
        <v>602</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1</v>
      </c>
      <c r="R7" s="79">
        <v>1.5</v>
      </c>
      <c r="S7" s="80">
        <v>0</v>
      </c>
      <c r="T7" s="80">
        <v>1920</v>
      </c>
      <c r="U7" s="80">
        <v>0</v>
      </c>
      <c r="V7" s="81">
        <v>94608</v>
      </c>
      <c r="W7" s="79">
        <v>0</v>
      </c>
      <c r="X7" s="79">
        <v>3</v>
      </c>
      <c r="Y7" s="11" t="str">
        <f ca="1">IF(ISBLANK(BudgetsTable[[#This Row],[budg_seq_yr]]),"FY"&amp;fiscalyear,"FY"&amp;fiscalyear-1+BudgetsTable[[#This Row],[budg_seq_yr]])</f>
        <v>FY20</v>
      </c>
      <c r="Z7" s="80">
        <v>94608</v>
      </c>
      <c r="AA7" s="79" t="s">
        <v>477</v>
      </c>
      <c r="AB7" s="79" t="s">
        <v>582</v>
      </c>
      <c r="AC7" s="77" t="s">
        <v>94</v>
      </c>
      <c r="AD7" s="79" t="s">
        <v>1432</v>
      </c>
    </row>
    <row r="8" spans="1:30" x14ac:dyDescent="0.4">
      <c r="A8" s="10" t="s">
        <v>602</v>
      </c>
      <c r="B8" s="77" t="s">
        <v>95</v>
      </c>
      <c r="C8" s="77">
        <f>C7+(BudgetsTable[[#This Row],[lead]]&lt;&gt;K7)</f>
        <v>11</v>
      </c>
      <c r="D8" s="77">
        <f>D7*(BudgetsTable[[#This Row],[lead]]=K7)+(BudgetsTable[[#This Row],[prop_id]]&lt;&gt;A7)</f>
        <v>1</v>
      </c>
      <c r="E8" s="78">
        <v>42930.554166666669</v>
      </c>
      <c r="F8" s="79" t="s">
        <v>1430</v>
      </c>
      <c r="G8" s="79" t="s">
        <v>477</v>
      </c>
      <c r="H8" s="79" t="s">
        <v>582</v>
      </c>
      <c r="I8" s="77" t="s">
        <v>604</v>
      </c>
      <c r="J8" s="77" t="s">
        <v>13</v>
      </c>
      <c r="K8" s="79" t="s">
        <v>602</v>
      </c>
      <c r="L8" s="7" t="str">
        <f>IF(BudgetsTable[[#This Row],[pi_last_name]]=" ","",HYPERLINK("https://www.ejacket.nsf.gov/ej/showProposal.do?Continue=Y&amp;ID="&amp;BudgetsTable[[#This Row],[prop_id]],BudgetsTable[[#This Row],[prop_id]]))</f>
        <v/>
      </c>
      <c r="M8" s="15" t="str">
        <f>IF(BudgetsTable[[#This Row],[pi_last_name]]=" ","",HYPERLINK("https://www.ejacket.nsf.gov/ej/processReviewAnalysis.do?dispatch=add&amp;uniqId="&amp;BudgetsTable[[#This Row],[prop_id]]&amp;PO_id,"&gt;ra"))</f>
        <v/>
      </c>
      <c r="N8" s="79" t="s">
        <v>13</v>
      </c>
      <c r="O8" s="7" t="str">
        <f>IF(BudgetsTable[[#This Row],[pi_last_name]]=" ","",HYPERLINK("mailto:"&amp;BudgetsTable[[#This Row],[pi_email]]&amp;"&amp;subject=Your NSF Proposal:  "&amp;BudgetsTable[[#This Row],[prop_id]],BudgetsTable[[#This Row],[pi_email]]))</f>
        <v/>
      </c>
      <c r="P8" s="79" t="s">
        <v>13</v>
      </c>
      <c r="Q8" s="79">
        <v>1</v>
      </c>
      <c r="R8" s="79">
        <v>1.5</v>
      </c>
      <c r="S8" s="80">
        <v>0</v>
      </c>
      <c r="T8" s="80">
        <v>1920</v>
      </c>
      <c r="U8" s="80">
        <v>0</v>
      </c>
      <c r="V8" s="81">
        <v>97358</v>
      </c>
      <c r="W8" s="79">
        <v>0</v>
      </c>
      <c r="X8" s="79">
        <v>4</v>
      </c>
      <c r="Y8" s="11" t="str">
        <f ca="1">IF(ISBLANK(BudgetsTable[[#This Row],[budg_seq_yr]]),"FY"&amp;fiscalyear,"FY"&amp;fiscalyear-1+BudgetsTable[[#This Row],[budg_seq_yr]])</f>
        <v>FY21</v>
      </c>
      <c r="Z8" s="80">
        <v>97358</v>
      </c>
      <c r="AA8" s="79" t="s">
        <v>477</v>
      </c>
      <c r="AB8" s="79" t="s">
        <v>582</v>
      </c>
      <c r="AC8" s="77" t="s">
        <v>94</v>
      </c>
      <c r="AD8" s="79" t="s">
        <v>1432</v>
      </c>
    </row>
    <row r="9" spans="1:30" x14ac:dyDescent="0.4">
      <c r="A9" s="10" t="s">
        <v>602</v>
      </c>
      <c r="B9" s="77" t="s">
        <v>95</v>
      </c>
      <c r="C9" s="77">
        <f>C8+(BudgetsTable[[#This Row],[lead]]&lt;&gt;K8)</f>
        <v>11</v>
      </c>
      <c r="D9" s="77">
        <f>D8*(BudgetsTable[[#This Row],[lead]]=K8)+(BudgetsTable[[#This Row],[prop_id]]&lt;&gt;A8)</f>
        <v>1</v>
      </c>
      <c r="E9" s="78">
        <v>42930.554166666669</v>
      </c>
      <c r="F9" s="79" t="s">
        <v>1430</v>
      </c>
      <c r="G9" s="79" t="s">
        <v>477</v>
      </c>
      <c r="H9" s="79" t="s">
        <v>582</v>
      </c>
      <c r="I9" s="77" t="s">
        <v>604</v>
      </c>
      <c r="J9" s="77" t="s">
        <v>13</v>
      </c>
      <c r="K9" s="79" t="s">
        <v>602</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1</v>
      </c>
      <c r="R9" s="79">
        <v>1.5</v>
      </c>
      <c r="S9" s="80">
        <v>0</v>
      </c>
      <c r="T9" s="80">
        <v>1920</v>
      </c>
      <c r="U9" s="80">
        <v>0</v>
      </c>
      <c r="V9" s="81">
        <v>100212</v>
      </c>
      <c r="W9" s="79">
        <v>0</v>
      </c>
      <c r="X9" s="79">
        <v>5</v>
      </c>
      <c r="Y9" s="11" t="str">
        <f ca="1">IF(ISBLANK(BudgetsTable[[#This Row],[budg_seq_yr]]),"FY"&amp;fiscalyear,"FY"&amp;fiscalyear-1+BudgetsTable[[#This Row],[budg_seq_yr]])</f>
        <v>FY22</v>
      </c>
      <c r="Z9" s="80">
        <v>100212</v>
      </c>
      <c r="AA9" s="79" t="s">
        <v>477</v>
      </c>
      <c r="AB9" s="79" t="s">
        <v>582</v>
      </c>
      <c r="AC9" s="77" t="s">
        <v>94</v>
      </c>
      <c r="AD9" s="79" t="s">
        <v>1432</v>
      </c>
    </row>
    <row r="10" spans="1:30" x14ac:dyDescent="0.4">
      <c r="A10" s="10" t="s">
        <v>2015</v>
      </c>
      <c r="B10" s="77" t="s">
        <v>95</v>
      </c>
      <c r="C10" s="77">
        <f>C9+(BudgetsTable[[#This Row],[lead]]&lt;&gt;K9)</f>
        <v>12</v>
      </c>
      <c r="D10" s="77">
        <f>D9*(BudgetsTable[[#This Row],[lead]]=K9)+(BudgetsTable[[#This Row],[prop_id]]&lt;&gt;A9)</f>
        <v>1</v>
      </c>
      <c r="E10" s="78">
        <v>42933.444444444445</v>
      </c>
      <c r="F10" s="79" t="s">
        <v>1430</v>
      </c>
      <c r="G10" s="79" t="s">
        <v>1622</v>
      </c>
      <c r="H10" s="79" t="s">
        <v>580</v>
      </c>
      <c r="I10" s="77" t="s">
        <v>1166</v>
      </c>
      <c r="J10" s="77" t="s">
        <v>2072</v>
      </c>
      <c r="K10" s="79" t="s">
        <v>2015</v>
      </c>
      <c r="L10" s="7" t="str">
        <f>IF(BudgetsTable[[#This Row],[pi_last_name]]=" ","",HYPERLINK("https://www.ejacket.nsf.gov/ej/showProposal.do?Continue=Y&amp;ID="&amp;BudgetsTable[[#This Row],[prop_id]],BudgetsTable[[#This Row],[prop_id]]))</f>
        <v>1749315</v>
      </c>
      <c r="M10" s="15" t="e">
        <f>IF(BudgetsTable[[#This Row],[pi_last_name]]=" ","",HYPERLINK("https://www.ejacket.nsf.gov/ej/processReviewAnalysis.do?dispatch=add&amp;uniqId="&amp;BudgetsTable[[#This Row],[prop_id]]&amp;PO_id,"&gt;ra"))</f>
        <v>#REF!</v>
      </c>
      <c r="N10" s="79" t="s">
        <v>2016</v>
      </c>
      <c r="O10" s="7" t="str">
        <f>IF(BudgetsTable[[#This Row],[pi_last_name]]=" ","",HYPERLINK("mailto:"&amp;BudgetsTable[[#This Row],[pi_email]]&amp;"&amp;subject=Your NSF Proposal:  "&amp;BudgetsTable[[#This Row],[prop_id]],BudgetsTable[[#This Row],[pi_email]]))</f>
        <v>tianbao-yang@uiowa.edu</v>
      </c>
      <c r="P10" s="79" t="s">
        <v>2068</v>
      </c>
      <c r="Q10" s="79"/>
      <c r="R10" s="79"/>
      <c r="S10" s="80"/>
      <c r="T10" s="80"/>
      <c r="U10" s="80"/>
      <c r="V10" s="81"/>
      <c r="W10" s="79">
        <v>0</v>
      </c>
      <c r="X10" s="79"/>
      <c r="Y10" s="11" t="str">
        <f ca="1">IF(ISBLANK(BudgetsTable[[#This Row],[budg_seq_yr]]),"FY"&amp;fiscalyear,"FY"&amp;fiscalyear-1+BudgetsTable[[#This Row],[budg_seq_yr]])</f>
        <v>FY18</v>
      </c>
      <c r="Z10" s="80">
        <v>543913</v>
      </c>
      <c r="AA10" s="79" t="s">
        <v>1622</v>
      </c>
      <c r="AB10" s="79" t="s">
        <v>580</v>
      </c>
      <c r="AC10" s="77" t="s">
        <v>94</v>
      </c>
      <c r="AD10" s="79" t="s">
        <v>2066</v>
      </c>
    </row>
    <row r="11" spans="1:30" x14ac:dyDescent="0.4">
      <c r="A11" s="10" t="s">
        <v>2015</v>
      </c>
      <c r="B11" s="77" t="s">
        <v>95</v>
      </c>
      <c r="C11" s="77">
        <f>C10+(BudgetsTable[[#This Row],[lead]]&lt;&gt;K10)</f>
        <v>12</v>
      </c>
      <c r="D11" s="77">
        <f>D10*(BudgetsTable[[#This Row],[lead]]=K10)+(BudgetsTable[[#This Row],[prop_id]]&lt;&gt;A10)</f>
        <v>1</v>
      </c>
      <c r="E11" s="78">
        <v>42933.444444444445</v>
      </c>
      <c r="F11" s="79" t="s">
        <v>1430</v>
      </c>
      <c r="G11" s="79" t="s">
        <v>1622</v>
      </c>
      <c r="H11" s="79" t="s">
        <v>580</v>
      </c>
      <c r="I11" s="77" t="s">
        <v>1166</v>
      </c>
      <c r="J11" s="77" t="s">
        <v>13</v>
      </c>
      <c r="K11" s="79" t="s">
        <v>2015</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1</v>
      </c>
      <c r="R11" s="79">
        <v>1</v>
      </c>
      <c r="S11" s="80">
        <v>0</v>
      </c>
      <c r="T11" s="80">
        <v>3100</v>
      </c>
      <c r="U11" s="80">
        <v>0</v>
      </c>
      <c r="V11" s="81">
        <v>106662</v>
      </c>
      <c r="W11" s="79">
        <v>0</v>
      </c>
      <c r="X11" s="79">
        <v>1</v>
      </c>
      <c r="Y11" s="11" t="str">
        <f ca="1">IF(ISBLANK(BudgetsTable[[#This Row],[budg_seq_yr]]),"FY"&amp;fiscalyear,"FY"&amp;fiscalyear-1+BudgetsTable[[#This Row],[budg_seq_yr]])</f>
        <v>FY18</v>
      </c>
      <c r="Z11" s="80">
        <v>106662</v>
      </c>
      <c r="AA11" s="79" t="s">
        <v>1622</v>
      </c>
      <c r="AB11" s="79" t="s">
        <v>580</v>
      </c>
      <c r="AC11" s="77" t="s">
        <v>94</v>
      </c>
      <c r="AD11" s="79" t="s">
        <v>2066</v>
      </c>
    </row>
    <row r="12" spans="1:30" x14ac:dyDescent="0.4">
      <c r="A12" s="10" t="s">
        <v>2015</v>
      </c>
      <c r="B12" s="77" t="s">
        <v>95</v>
      </c>
      <c r="C12" s="77">
        <f>C11+(BudgetsTable[[#This Row],[lead]]&lt;&gt;K11)</f>
        <v>12</v>
      </c>
      <c r="D12" s="77">
        <f>D11*(BudgetsTable[[#This Row],[lead]]=K11)+(BudgetsTable[[#This Row],[prop_id]]&lt;&gt;A11)</f>
        <v>1</v>
      </c>
      <c r="E12" s="78">
        <v>42933.444444444445</v>
      </c>
      <c r="F12" s="79" t="s">
        <v>1430</v>
      </c>
      <c r="G12" s="79" t="s">
        <v>1622</v>
      </c>
      <c r="H12" s="79" t="s">
        <v>580</v>
      </c>
      <c r="I12" s="77" t="s">
        <v>1166</v>
      </c>
      <c r="J12" s="77" t="s">
        <v>13</v>
      </c>
      <c r="K12" s="79" t="s">
        <v>2015</v>
      </c>
      <c r="L12" s="7" t="str">
        <f>IF(BudgetsTable[[#This Row],[pi_last_name]]=" ","",HYPERLINK("https://www.ejacket.nsf.gov/ej/showProposal.do?Continue=Y&amp;ID="&amp;BudgetsTable[[#This Row],[prop_id]],BudgetsTable[[#This Row],[prop_id]]))</f>
        <v/>
      </c>
      <c r="M12" s="15" t="str">
        <f>IF(BudgetsTable[[#This Row],[pi_last_name]]=" ","",HYPERLINK("https://www.ejacket.nsf.gov/ej/processReviewAnalysis.do?dispatch=add&amp;uniqId="&amp;BudgetsTable[[#This Row],[prop_id]]&amp;PO_id,"&gt;ra"))</f>
        <v/>
      </c>
      <c r="N12" s="79" t="s">
        <v>13</v>
      </c>
      <c r="O12" s="7" t="str">
        <f>IF(BudgetsTable[[#This Row],[pi_last_name]]=" ","",HYPERLINK("mailto:"&amp;BudgetsTable[[#This Row],[pi_email]]&amp;"&amp;subject=Your NSF Proposal:  "&amp;BudgetsTable[[#This Row],[prop_id]],BudgetsTable[[#This Row],[pi_email]]))</f>
        <v/>
      </c>
      <c r="P12" s="79" t="s">
        <v>13</v>
      </c>
      <c r="Q12" s="79">
        <v>1</v>
      </c>
      <c r="R12" s="79">
        <v>1</v>
      </c>
      <c r="S12" s="80">
        <v>0</v>
      </c>
      <c r="T12" s="80">
        <v>3100</v>
      </c>
      <c r="U12" s="80">
        <v>0</v>
      </c>
      <c r="V12" s="81">
        <v>103956</v>
      </c>
      <c r="W12" s="79">
        <v>0</v>
      </c>
      <c r="X12" s="79">
        <v>2</v>
      </c>
      <c r="Y12" s="11" t="str">
        <f ca="1">IF(ISBLANK(BudgetsTable[[#This Row],[budg_seq_yr]]),"FY"&amp;fiscalyear,"FY"&amp;fiscalyear-1+BudgetsTable[[#This Row],[budg_seq_yr]])</f>
        <v>FY19</v>
      </c>
      <c r="Z12" s="80">
        <v>103956</v>
      </c>
      <c r="AA12" s="79" t="s">
        <v>1622</v>
      </c>
      <c r="AB12" s="79" t="s">
        <v>580</v>
      </c>
      <c r="AC12" s="77" t="s">
        <v>94</v>
      </c>
      <c r="AD12" s="79" t="s">
        <v>2066</v>
      </c>
    </row>
    <row r="13" spans="1:30" x14ac:dyDescent="0.4">
      <c r="A13" s="10" t="s">
        <v>2015</v>
      </c>
      <c r="B13" s="77" t="s">
        <v>95</v>
      </c>
      <c r="C13" s="77">
        <f>C12+(BudgetsTable[[#This Row],[lead]]&lt;&gt;K12)</f>
        <v>12</v>
      </c>
      <c r="D13" s="77">
        <f>D12*(BudgetsTable[[#This Row],[lead]]=K12)+(BudgetsTable[[#This Row],[prop_id]]&lt;&gt;A12)</f>
        <v>1</v>
      </c>
      <c r="E13" s="78">
        <v>42933.444444444445</v>
      </c>
      <c r="F13" s="79" t="s">
        <v>1430</v>
      </c>
      <c r="G13" s="79" t="s">
        <v>1622</v>
      </c>
      <c r="H13" s="79" t="s">
        <v>580</v>
      </c>
      <c r="I13" s="77" t="s">
        <v>1166</v>
      </c>
      <c r="J13" s="77" t="s">
        <v>13</v>
      </c>
      <c r="K13" s="79" t="s">
        <v>2015</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3100</v>
      </c>
      <c r="U13" s="80">
        <v>0</v>
      </c>
      <c r="V13" s="81">
        <v>108740</v>
      </c>
      <c r="W13" s="79">
        <v>0</v>
      </c>
      <c r="X13" s="79">
        <v>3</v>
      </c>
      <c r="Y13" s="11" t="str">
        <f ca="1">IF(ISBLANK(BudgetsTable[[#This Row],[budg_seq_yr]]),"FY"&amp;fiscalyear,"FY"&amp;fiscalyear-1+BudgetsTable[[#This Row],[budg_seq_yr]])</f>
        <v>FY20</v>
      </c>
      <c r="Z13" s="80">
        <v>108740</v>
      </c>
      <c r="AA13" s="79" t="s">
        <v>1622</v>
      </c>
      <c r="AB13" s="79" t="s">
        <v>580</v>
      </c>
      <c r="AC13" s="77" t="s">
        <v>94</v>
      </c>
      <c r="AD13" s="79" t="s">
        <v>2066</v>
      </c>
    </row>
    <row r="14" spans="1:30" x14ac:dyDescent="0.4">
      <c r="A14" s="10" t="s">
        <v>2015</v>
      </c>
      <c r="B14" s="77" t="s">
        <v>95</v>
      </c>
      <c r="C14" s="77">
        <f>C13+(BudgetsTable[[#This Row],[lead]]&lt;&gt;K13)</f>
        <v>12</v>
      </c>
      <c r="D14" s="77">
        <f>D13*(BudgetsTable[[#This Row],[lead]]=K13)+(BudgetsTable[[#This Row],[prop_id]]&lt;&gt;A13)</f>
        <v>1</v>
      </c>
      <c r="E14" s="78">
        <v>42933.444444444445</v>
      </c>
      <c r="F14" s="79" t="s">
        <v>1430</v>
      </c>
      <c r="G14" s="79" t="s">
        <v>1622</v>
      </c>
      <c r="H14" s="79" t="s">
        <v>580</v>
      </c>
      <c r="I14" s="77" t="s">
        <v>1166</v>
      </c>
      <c r="J14" s="77" t="s">
        <v>13</v>
      </c>
      <c r="K14" s="79" t="s">
        <v>2015</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3100</v>
      </c>
      <c r="U14" s="80">
        <v>0</v>
      </c>
      <c r="V14" s="81">
        <v>111704</v>
      </c>
      <c r="W14" s="79">
        <v>0</v>
      </c>
      <c r="X14" s="79">
        <v>4</v>
      </c>
      <c r="Y14" s="11" t="str">
        <f ca="1">IF(ISBLANK(BudgetsTable[[#This Row],[budg_seq_yr]]),"FY"&amp;fiscalyear,"FY"&amp;fiscalyear-1+BudgetsTable[[#This Row],[budg_seq_yr]])</f>
        <v>FY21</v>
      </c>
      <c r="Z14" s="80">
        <v>111704</v>
      </c>
      <c r="AA14" s="79" t="s">
        <v>1622</v>
      </c>
      <c r="AB14" s="79" t="s">
        <v>580</v>
      </c>
      <c r="AC14" s="77" t="s">
        <v>94</v>
      </c>
      <c r="AD14" s="79" t="s">
        <v>2066</v>
      </c>
    </row>
    <row r="15" spans="1:30" x14ac:dyDescent="0.4">
      <c r="A15" s="10" t="s">
        <v>2015</v>
      </c>
      <c r="B15" s="77" t="s">
        <v>95</v>
      </c>
      <c r="C15" s="77">
        <f>C14+(BudgetsTable[[#This Row],[lead]]&lt;&gt;K14)</f>
        <v>12</v>
      </c>
      <c r="D15" s="77">
        <f>D14*(BudgetsTable[[#This Row],[lead]]=K14)+(BudgetsTable[[#This Row],[prop_id]]&lt;&gt;A14)</f>
        <v>1</v>
      </c>
      <c r="E15" s="78">
        <v>42933.444444444445</v>
      </c>
      <c r="F15" s="79" t="s">
        <v>1430</v>
      </c>
      <c r="G15" s="79" t="s">
        <v>1622</v>
      </c>
      <c r="H15" s="79" t="s">
        <v>580</v>
      </c>
      <c r="I15" s="77" t="s">
        <v>1166</v>
      </c>
      <c r="J15" s="77" t="s">
        <v>13</v>
      </c>
      <c r="K15" s="79" t="s">
        <v>2015</v>
      </c>
      <c r="L15" s="7" t="str">
        <f>IF(BudgetsTable[[#This Row],[pi_last_name]]=" ","",HYPERLINK("https://www.ejacket.nsf.gov/ej/showProposal.do?Continue=Y&amp;ID="&amp;BudgetsTable[[#This Row],[prop_id]],BudgetsTable[[#This Row],[prop_id]]))</f>
        <v/>
      </c>
      <c r="M15" s="15" t="str">
        <f>IF(BudgetsTable[[#This Row],[pi_last_name]]=" ","",HYPERLINK("https://www.ejacket.nsf.gov/ej/processReviewAnalysis.do?dispatch=add&amp;uniqId="&amp;BudgetsTable[[#This Row],[prop_id]]&amp;PO_id,"&gt;ra"))</f>
        <v/>
      </c>
      <c r="N15" s="79" t="s">
        <v>13</v>
      </c>
      <c r="O15" s="7" t="str">
        <f>IF(BudgetsTable[[#This Row],[pi_last_name]]=" ","",HYPERLINK("mailto:"&amp;BudgetsTable[[#This Row],[pi_email]]&amp;"&amp;subject=Your NSF Proposal:  "&amp;BudgetsTable[[#This Row],[prop_id]],BudgetsTable[[#This Row],[pi_email]]))</f>
        <v/>
      </c>
      <c r="P15" s="79" t="s">
        <v>13</v>
      </c>
      <c r="Q15" s="79">
        <v>1</v>
      </c>
      <c r="R15" s="79">
        <v>1</v>
      </c>
      <c r="S15" s="80">
        <v>0</v>
      </c>
      <c r="T15" s="80">
        <v>3100</v>
      </c>
      <c r="U15" s="80">
        <v>0</v>
      </c>
      <c r="V15" s="81">
        <v>112851</v>
      </c>
      <c r="W15" s="79">
        <v>0</v>
      </c>
      <c r="X15" s="79">
        <v>5</v>
      </c>
      <c r="Y15" s="11" t="str">
        <f ca="1">IF(ISBLANK(BudgetsTable[[#This Row],[budg_seq_yr]]),"FY"&amp;fiscalyear,"FY"&amp;fiscalyear-1+BudgetsTable[[#This Row],[budg_seq_yr]])</f>
        <v>FY22</v>
      </c>
      <c r="Z15" s="80">
        <v>112851</v>
      </c>
      <c r="AA15" s="79" t="s">
        <v>1622</v>
      </c>
      <c r="AB15" s="79" t="s">
        <v>580</v>
      </c>
      <c r="AC15" s="77" t="s">
        <v>94</v>
      </c>
      <c r="AD15" s="79" t="s">
        <v>2066</v>
      </c>
    </row>
    <row r="16" spans="1:30" x14ac:dyDescent="0.4">
      <c r="A16" s="10" t="s">
        <v>630</v>
      </c>
      <c r="B16" s="77" t="s">
        <v>95</v>
      </c>
      <c r="C16" s="77">
        <f>C15+(BudgetsTable[[#This Row],[lead]]&lt;&gt;K15)</f>
        <v>13</v>
      </c>
      <c r="D16" s="77">
        <f>D15*(BudgetsTable[[#This Row],[lead]]=K15)+(BudgetsTable[[#This Row],[prop_id]]&lt;&gt;A15)</f>
        <v>1</v>
      </c>
      <c r="E16" s="78">
        <v>42933.547222222223</v>
      </c>
      <c r="F16" s="79" t="s">
        <v>1430</v>
      </c>
      <c r="G16" s="79" t="s">
        <v>477</v>
      </c>
      <c r="H16" s="79" t="s">
        <v>582</v>
      </c>
      <c r="I16" s="77" t="s">
        <v>604</v>
      </c>
      <c r="J16" s="77" t="s">
        <v>1443</v>
      </c>
      <c r="K16" s="79" t="s">
        <v>630</v>
      </c>
      <c r="L16" s="7" t="str">
        <f>IF(BudgetsTable[[#This Row],[pi_last_name]]=" ","",HYPERLINK("https://www.ejacket.nsf.gov/ej/showProposal.do?Continue=Y&amp;ID="&amp;BudgetsTable[[#This Row],[prop_id]],BudgetsTable[[#This Row],[prop_id]]))</f>
        <v>1749385</v>
      </c>
      <c r="M16" s="15" t="e">
        <f>IF(BudgetsTable[[#This Row],[pi_last_name]]=" ","",HYPERLINK("https://www.ejacket.nsf.gov/ej/processReviewAnalysis.do?dispatch=add&amp;uniqId="&amp;BudgetsTable[[#This Row],[prop_id]]&amp;PO_id,"&gt;ra"))</f>
        <v>#REF!</v>
      </c>
      <c r="N16" s="79" t="s">
        <v>631</v>
      </c>
      <c r="O16" s="7" t="str">
        <f>IF(BudgetsTable[[#This Row],[pi_last_name]]=" ","",HYPERLINK("mailto:"&amp;BudgetsTable[[#This Row],[pi_email]]&amp;"&amp;subject=Your NSF Proposal:  "&amp;BudgetsTable[[#This Row],[prop_id]],BudgetsTable[[#This Row],[pi_email]]))</f>
        <v>haitao.wang@usu.edu</v>
      </c>
      <c r="P16" s="79" t="s">
        <v>559</v>
      </c>
      <c r="Q16" s="79"/>
      <c r="R16" s="79"/>
      <c r="S16" s="80"/>
      <c r="T16" s="80"/>
      <c r="U16" s="80"/>
      <c r="V16" s="81"/>
      <c r="W16" s="79">
        <v>0</v>
      </c>
      <c r="X16" s="79"/>
      <c r="Y16" s="11" t="str">
        <f ca="1">IF(ISBLANK(BudgetsTable[[#This Row],[budg_seq_yr]]),"FY"&amp;fiscalyear,"FY"&amp;fiscalyear-1+BudgetsTable[[#This Row],[budg_seq_yr]])</f>
        <v>FY18</v>
      </c>
      <c r="Z16" s="80">
        <v>524898</v>
      </c>
      <c r="AA16" s="79" t="s">
        <v>477</v>
      </c>
      <c r="AB16" s="79" t="s">
        <v>582</v>
      </c>
      <c r="AC16" s="77" t="s">
        <v>94</v>
      </c>
      <c r="AD16" s="79" t="s">
        <v>1439</v>
      </c>
    </row>
    <row r="17" spans="1:30" x14ac:dyDescent="0.4">
      <c r="A17" s="10" t="s">
        <v>630</v>
      </c>
      <c r="B17" s="77" t="s">
        <v>95</v>
      </c>
      <c r="C17" s="77">
        <f>C16+(BudgetsTable[[#This Row],[lead]]&lt;&gt;K16)</f>
        <v>13</v>
      </c>
      <c r="D17" s="77">
        <f>D16*(BudgetsTable[[#This Row],[lead]]=K16)+(BudgetsTable[[#This Row],[prop_id]]&lt;&gt;A16)</f>
        <v>1</v>
      </c>
      <c r="E17" s="78">
        <v>42933.547222222223</v>
      </c>
      <c r="F17" s="79" t="s">
        <v>1430</v>
      </c>
      <c r="G17" s="79" t="s">
        <v>477</v>
      </c>
      <c r="H17" s="79" t="s">
        <v>582</v>
      </c>
      <c r="I17" s="77" t="s">
        <v>604</v>
      </c>
      <c r="J17" s="77" t="s">
        <v>13</v>
      </c>
      <c r="K17" s="79" t="s">
        <v>630</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0</v>
      </c>
      <c r="T17" s="80">
        <v>3000</v>
      </c>
      <c r="U17" s="80">
        <v>0</v>
      </c>
      <c r="V17" s="81">
        <v>101597</v>
      </c>
      <c r="W17" s="79">
        <v>0</v>
      </c>
      <c r="X17" s="79">
        <v>1</v>
      </c>
      <c r="Y17" s="11" t="str">
        <f ca="1">IF(ISBLANK(BudgetsTable[[#This Row],[budg_seq_yr]]),"FY"&amp;fiscalyear,"FY"&amp;fiscalyear-1+BudgetsTable[[#This Row],[budg_seq_yr]])</f>
        <v>FY18</v>
      </c>
      <c r="Z17" s="80">
        <v>101597</v>
      </c>
      <c r="AA17" s="79" t="s">
        <v>477</v>
      </c>
      <c r="AB17" s="79" t="s">
        <v>582</v>
      </c>
      <c r="AC17" s="77" t="s">
        <v>94</v>
      </c>
      <c r="AD17" s="79" t="s">
        <v>1439</v>
      </c>
    </row>
    <row r="18" spans="1:30" x14ac:dyDescent="0.4">
      <c r="A18" s="10" t="s">
        <v>630</v>
      </c>
      <c r="B18" s="77" t="s">
        <v>95</v>
      </c>
      <c r="C18" s="77">
        <f>C17+(BudgetsTable[[#This Row],[lead]]&lt;&gt;K17)</f>
        <v>13</v>
      </c>
      <c r="D18" s="77">
        <f>D17*(BudgetsTable[[#This Row],[lead]]=K17)+(BudgetsTable[[#This Row],[prop_id]]&lt;&gt;A17)</f>
        <v>1</v>
      </c>
      <c r="E18" s="78">
        <v>42933.547222222223</v>
      </c>
      <c r="F18" s="79" t="s">
        <v>1430</v>
      </c>
      <c r="G18" s="79" t="s">
        <v>477</v>
      </c>
      <c r="H18" s="79" t="s">
        <v>582</v>
      </c>
      <c r="I18" s="77" t="s">
        <v>604</v>
      </c>
      <c r="J18" s="77" t="s">
        <v>13</v>
      </c>
      <c r="K18" s="79" t="s">
        <v>630</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3000</v>
      </c>
      <c r="U18" s="80">
        <v>0</v>
      </c>
      <c r="V18" s="81">
        <v>103235</v>
      </c>
      <c r="W18" s="79">
        <v>0</v>
      </c>
      <c r="X18" s="79">
        <v>2</v>
      </c>
      <c r="Y18" s="11" t="str">
        <f ca="1">IF(ISBLANK(BudgetsTable[[#This Row],[budg_seq_yr]]),"FY"&amp;fiscalyear,"FY"&amp;fiscalyear-1+BudgetsTable[[#This Row],[budg_seq_yr]])</f>
        <v>FY19</v>
      </c>
      <c r="Z18" s="80">
        <v>103235</v>
      </c>
      <c r="AA18" s="79" t="s">
        <v>477</v>
      </c>
      <c r="AB18" s="79" t="s">
        <v>582</v>
      </c>
      <c r="AC18" s="77" t="s">
        <v>94</v>
      </c>
      <c r="AD18" s="79" t="s">
        <v>1439</v>
      </c>
    </row>
    <row r="19" spans="1:30" x14ac:dyDescent="0.4">
      <c r="A19" s="10" t="s">
        <v>630</v>
      </c>
      <c r="B19" s="77" t="s">
        <v>95</v>
      </c>
      <c r="C19" s="77">
        <f>C18+(BudgetsTable[[#This Row],[lead]]&lt;&gt;K18)</f>
        <v>13</v>
      </c>
      <c r="D19" s="77">
        <f>D18*(BudgetsTable[[#This Row],[lead]]=K18)+(BudgetsTable[[#This Row],[prop_id]]&lt;&gt;A18)</f>
        <v>1</v>
      </c>
      <c r="E19" s="78">
        <v>42933.547222222223</v>
      </c>
      <c r="F19" s="79" t="s">
        <v>1430</v>
      </c>
      <c r="G19" s="79" t="s">
        <v>477</v>
      </c>
      <c r="H19" s="79" t="s">
        <v>582</v>
      </c>
      <c r="I19" s="77" t="s">
        <v>604</v>
      </c>
      <c r="J19" s="77" t="s">
        <v>13</v>
      </c>
      <c r="K19" s="79" t="s">
        <v>630</v>
      </c>
      <c r="L19" s="7" t="str">
        <f>IF(BudgetsTable[[#This Row],[pi_last_name]]=" ","",HYPERLINK("https://www.ejacket.nsf.gov/ej/showProposal.do?Continue=Y&amp;ID="&amp;BudgetsTable[[#This Row],[prop_id]],BudgetsTable[[#This Row],[prop_id]]))</f>
        <v/>
      </c>
      <c r="M19" s="15" t="str">
        <f>IF(BudgetsTable[[#This Row],[pi_last_name]]=" ","",HYPERLINK("https://www.ejacket.nsf.gov/ej/processReviewAnalysis.do?dispatch=add&amp;uniqId="&amp;BudgetsTable[[#This Row],[prop_id]]&amp;PO_id,"&gt;ra"))</f>
        <v/>
      </c>
      <c r="N19" s="79" t="s">
        <v>13</v>
      </c>
      <c r="O19" s="7" t="str">
        <f>IF(BudgetsTable[[#This Row],[pi_last_name]]=" ","",HYPERLINK("mailto:"&amp;BudgetsTable[[#This Row],[pi_email]]&amp;"&amp;subject=Your NSF Proposal:  "&amp;BudgetsTable[[#This Row],[prop_id]],BudgetsTable[[#This Row],[pi_email]]))</f>
        <v/>
      </c>
      <c r="P19" s="79" t="s">
        <v>13</v>
      </c>
      <c r="Q19" s="79">
        <v>1</v>
      </c>
      <c r="R19" s="79">
        <v>1</v>
      </c>
      <c r="S19" s="80">
        <v>0</v>
      </c>
      <c r="T19" s="80">
        <v>3000</v>
      </c>
      <c r="U19" s="80">
        <v>0</v>
      </c>
      <c r="V19" s="81">
        <v>104944</v>
      </c>
      <c r="W19" s="79">
        <v>0</v>
      </c>
      <c r="X19" s="79">
        <v>3</v>
      </c>
      <c r="Y19" s="11" t="str">
        <f ca="1">IF(ISBLANK(BudgetsTable[[#This Row],[budg_seq_yr]]),"FY"&amp;fiscalyear,"FY"&amp;fiscalyear-1+BudgetsTable[[#This Row],[budg_seq_yr]])</f>
        <v>FY20</v>
      </c>
      <c r="Z19" s="80">
        <v>104944</v>
      </c>
      <c r="AA19" s="79" t="s">
        <v>477</v>
      </c>
      <c r="AB19" s="79" t="s">
        <v>582</v>
      </c>
      <c r="AC19" s="77" t="s">
        <v>94</v>
      </c>
      <c r="AD19" s="79" t="s">
        <v>1439</v>
      </c>
    </row>
    <row r="20" spans="1:30" x14ac:dyDescent="0.4">
      <c r="A20" s="10" t="s">
        <v>630</v>
      </c>
      <c r="B20" s="77" t="s">
        <v>95</v>
      </c>
      <c r="C20" s="77">
        <f>C19+(BudgetsTable[[#This Row],[lead]]&lt;&gt;K19)</f>
        <v>13</v>
      </c>
      <c r="D20" s="77">
        <f>D19*(BudgetsTable[[#This Row],[lead]]=K19)+(BudgetsTable[[#This Row],[prop_id]]&lt;&gt;A19)</f>
        <v>1</v>
      </c>
      <c r="E20" s="78">
        <v>42933.547222222223</v>
      </c>
      <c r="F20" s="79" t="s">
        <v>1430</v>
      </c>
      <c r="G20" s="79" t="s">
        <v>477</v>
      </c>
      <c r="H20" s="79" t="s">
        <v>582</v>
      </c>
      <c r="I20" s="77" t="s">
        <v>604</v>
      </c>
      <c r="J20" s="77" t="s">
        <v>13</v>
      </c>
      <c r="K20" s="79" t="s">
        <v>630</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1</v>
      </c>
      <c r="S20" s="80">
        <v>0</v>
      </c>
      <c r="T20" s="80">
        <v>3000</v>
      </c>
      <c r="U20" s="80">
        <v>0</v>
      </c>
      <c r="V20" s="81">
        <v>106666</v>
      </c>
      <c r="W20" s="79">
        <v>0</v>
      </c>
      <c r="X20" s="79">
        <v>4</v>
      </c>
      <c r="Y20" s="11" t="str">
        <f ca="1">IF(ISBLANK(BudgetsTable[[#This Row],[budg_seq_yr]]),"FY"&amp;fiscalyear,"FY"&amp;fiscalyear-1+BudgetsTable[[#This Row],[budg_seq_yr]])</f>
        <v>FY21</v>
      </c>
      <c r="Z20" s="80">
        <v>106666</v>
      </c>
      <c r="AA20" s="79" t="s">
        <v>477</v>
      </c>
      <c r="AB20" s="79" t="s">
        <v>582</v>
      </c>
      <c r="AC20" s="77" t="s">
        <v>94</v>
      </c>
      <c r="AD20" s="79" t="s">
        <v>1439</v>
      </c>
    </row>
    <row r="21" spans="1:30" x14ac:dyDescent="0.4">
      <c r="A21" s="10" t="s">
        <v>630</v>
      </c>
      <c r="B21" s="77" t="s">
        <v>95</v>
      </c>
      <c r="C21" s="77">
        <f>C20+(BudgetsTable[[#This Row],[lead]]&lt;&gt;K20)</f>
        <v>13</v>
      </c>
      <c r="D21" s="77">
        <f>D20*(BudgetsTable[[#This Row],[lead]]=K20)+(BudgetsTable[[#This Row],[prop_id]]&lt;&gt;A20)</f>
        <v>1</v>
      </c>
      <c r="E21" s="78">
        <v>42933.547222222223</v>
      </c>
      <c r="F21" s="79" t="s">
        <v>1430</v>
      </c>
      <c r="G21" s="79" t="s">
        <v>477</v>
      </c>
      <c r="H21" s="79" t="s">
        <v>582</v>
      </c>
      <c r="I21" s="77" t="s">
        <v>604</v>
      </c>
      <c r="J21" s="77" t="s">
        <v>13</v>
      </c>
      <c r="K21" s="79" t="s">
        <v>630</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1</v>
      </c>
      <c r="S21" s="80">
        <v>0</v>
      </c>
      <c r="T21" s="80">
        <v>3000</v>
      </c>
      <c r="U21" s="80">
        <v>0</v>
      </c>
      <c r="V21" s="81">
        <v>108456</v>
      </c>
      <c r="W21" s="79">
        <v>0</v>
      </c>
      <c r="X21" s="79">
        <v>5</v>
      </c>
      <c r="Y21" s="11" t="str">
        <f ca="1">IF(ISBLANK(BudgetsTable[[#This Row],[budg_seq_yr]]),"FY"&amp;fiscalyear,"FY"&amp;fiscalyear-1+BudgetsTable[[#This Row],[budg_seq_yr]])</f>
        <v>FY22</v>
      </c>
      <c r="Z21" s="80">
        <v>108456</v>
      </c>
      <c r="AA21" s="79" t="s">
        <v>477</v>
      </c>
      <c r="AB21" s="79" t="s">
        <v>582</v>
      </c>
      <c r="AC21" s="77" t="s">
        <v>94</v>
      </c>
      <c r="AD21" s="79" t="s">
        <v>1439</v>
      </c>
    </row>
    <row r="22" spans="1:30" x14ac:dyDescent="0.4">
      <c r="A22" s="10" t="s">
        <v>652</v>
      </c>
      <c r="B22" s="77" t="s">
        <v>95</v>
      </c>
      <c r="C22" s="77">
        <f>C21+(BudgetsTable[[#This Row],[lead]]&lt;&gt;K21)</f>
        <v>14</v>
      </c>
      <c r="D22" s="77">
        <f>D21*(BudgetsTable[[#This Row],[lead]]=K21)+(BudgetsTable[[#This Row],[prop_id]]&lt;&gt;A21)</f>
        <v>1</v>
      </c>
      <c r="E22" s="78">
        <v>42933.579861111109</v>
      </c>
      <c r="F22" s="79" t="s">
        <v>1430</v>
      </c>
      <c r="G22" s="79" t="s">
        <v>477</v>
      </c>
      <c r="H22" s="79" t="s">
        <v>582</v>
      </c>
      <c r="I22" s="77" t="s">
        <v>654</v>
      </c>
      <c r="J22" s="77" t="s">
        <v>1448</v>
      </c>
      <c r="K22" s="79" t="s">
        <v>652</v>
      </c>
      <c r="L22" s="7" t="str">
        <f>IF(BudgetsTable[[#This Row],[pi_last_name]]=" ","",HYPERLINK("https://www.ejacket.nsf.gov/ej/showProposal.do?Continue=Y&amp;ID="&amp;BudgetsTable[[#This Row],[prop_id]],BudgetsTable[[#This Row],[prop_id]]))</f>
        <v>1749414</v>
      </c>
      <c r="M22" s="15" t="e">
        <f>IF(BudgetsTable[[#This Row],[pi_last_name]]=" ","",HYPERLINK("https://www.ejacket.nsf.gov/ej/processReviewAnalysis.do?dispatch=add&amp;uniqId="&amp;BudgetsTable[[#This Row],[prop_id]]&amp;PO_id,"&gt;ra"))</f>
        <v>#REF!</v>
      </c>
      <c r="N22" s="79" t="s">
        <v>653</v>
      </c>
      <c r="O22" s="7" t="str">
        <f>IF(BudgetsTable[[#This Row],[pi_last_name]]=" ","",HYPERLINK("mailto:"&amp;BudgetsTable[[#This Row],[pi_email]]&amp;"&amp;subject=Your NSF Proposal:  "&amp;BudgetsTable[[#This Row],[prop_id]],BudgetsTable[[#This Row],[pi_email]]))</f>
        <v>bmoseley@seas.wustl.edu</v>
      </c>
      <c r="P22" s="79" t="s">
        <v>497</v>
      </c>
      <c r="Q22" s="79"/>
      <c r="R22" s="79"/>
      <c r="S22" s="80"/>
      <c r="T22" s="80"/>
      <c r="U22" s="80"/>
      <c r="V22" s="81"/>
      <c r="W22" s="79">
        <v>0</v>
      </c>
      <c r="X22" s="79"/>
      <c r="Y22" s="11" t="str">
        <f ca="1">IF(ISBLANK(BudgetsTable[[#This Row],[budg_seq_yr]]),"FY"&amp;fiscalyear,"FY"&amp;fiscalyear-1+BudgetsTable[[#This Row],[budg_seq_yr]])</f>
        <v>FY18</v>
      </c>
      <c r="Z22" s="80">
        <v>545000</v>
      </c>
      <c r="AA22" s="79" t="s">
        <v>477</v>
      </c>
      <c r="AB22" s="79" t="s">
        <v>582</v>
      </c>
      <c r="AC22" s="77" t="s">
        <v>94</v>
      </c>
      <c r="AD22" s="79" t="s">
        <v>1444</v>
      </c>
    </row>
    <row r="23" spans="1:30" x14ac:dyDescent="0.4">
      <c r="A23" s="10" t="s">
        <v>652</v>
      </c>
      <c r="B23" s="77" t="s">
        <v>95</v>
      </c>
      <c r="C23" s="77">
        <f>C22+(BudgetsTable[[#This Row],[lead]]&lt;&gt;K22)</f>
        <v>14</v>
      </c>
      <c r="D23" s="77">
        <f>D22*(BudgetsTable[[#This Row],[lead]]=K22)+(BudgetsTable[[#This Row],[prop_id]]&lt;&gt;A22)</f>
        <v>1</v>
      </c>
      <c r="E23" s="78">
        <v>42933.579861111109</v>
      </c>
      <c r="F23" s="79" t="s">
        <v>1430</v>
      </c>
      <c r="G23" s="79" t="s">
        <v>477</v>
      </c>
      <c r="H23" s="79" t="s">
        <v>582</v>
      </c>
      <c r="I23" s="77" t="s">
        <v>654</v>
      </c>
      <c r="J23" s="77" t="s">
        <v>13</v>
      </c>
      <c r="K23" s="79" t="s">
        <v>652</v>
      </c>
      <c r="L23" s="7" t="str">
        <f>IF(BudgetsTable[[#This Row],[pi_last_name]]=" ","",HYPERLINK("https://www.ejacket.nsf.gov/ej/showProposal.do?Continue=Y&amp;ID="&amp;BudgetsTable[[#This Row],[prop_id]],BudgetsTable[[#This Row],[prop_id]]))</f>
        <v/>
      </c>
      <c r="M23" s="15" t="str">
        <f>IF(BudgetsTable[[#This Row],[pi_last_name]]=" ","",HYPERLINK("https://www.ejacket.nsf.gov/ej/processReviewAnalysis.do?dispatch=add&amp;uniqId="&amp;BudgetsTable[[#This Row],[prop_id]]&amp;PO_id,"&gt;ra"))</f>
        <v/>
      </c>
      <c r="N23" s="79" t="s">
        <v>13</v>
      </c>
      <c r="O23" s="7" t="str">
        <f>IF(BudgetsTable[[#This Row],[pi_last_name]]=" ","",HYPERLINK("mailto:"&amp;BudgetsTable[[#This Row],[pi_email]]&amp;"&amp;subject=Your NSF Proposal:  "&amp;BudgetsTable[[#This Row],[prop_id]],BudgetsTable[[#This Row],[pi_email]]))</f>
        <v/>
      </c>
      <c r="P23" s="79" t="s">
        <v>13</v>
      </c>
      <c r="Q23" s="79">
        <v>1</v>
      </c>
      <c r="R23" s="79">
        <v>1.3</v>
      </c>
      <c r="S23" s="80">
        <v>0</v>
      </c>
      <c r="T23" s="80">
        <v>0</v>
      </c>
      <c r="U23" s="80">
        <v>8000</v>
      </c>
      <c r="V23" s="81">
        <v>118096</v>
      </c>
      <c r="W23" s="79">
        <v>0</v>
      </c>
      <c r="X23" s="79">
        <v>1</v>
      </c>
      <c r="Y23" s="11" t="str">
        <f ca="1">IF(ISBLANK(BudgetsTable[[#This Row],[budg_seq_yr]]),"FY"&amp;fiscalyear,"FY"&amp;fiscalyear-1+BudgetsTable[[#This Row],[budg_seq_yr]])</f>
        <v>FY18</v>
      </c>
      <c r="Z23" s="80">
        <v>118096</v>
      </c>
      <c r="AA23" s="79" t="s">
        <v>477</v>
      </c>
      <c r="AB23" s="79" t="s">
        <v>582</v>
      </c>
      <c r="AC23" s="77" t="s">
        <v>94</v>
      </c>
      <c r="AD23" s="79" t="s">
        <v>1444</v>
      </c>
    </row>
    <row r="24" spans="1:30" x14ac:dyDescent="0.4">
      <c r="A24" s="10" t="s">
        <v>652</v>
      </c>
      <c r="B24" s="77" t="s">
        <v>95</v>
      </c>
      <c r="C24" s="77">
        <f>C23+(BudgetsTable[[#This Row],[lead]]&lt;&gt;K23)</f>
        <v>14</v>
      </c>
      <c r="D24" s="77">
        <f>D23*(BudgetsTable[[#This Row],[lead]]=K23)+(BudgetsTable[[#This Row],[prop_id]]&lt;&gt;A23)</f>
        <v>1</v>
      </c>
      <c r="E24" s="78">
        <v>42933.579861111109</v>
      </c>
      <c r="F24" s="79" t="s">
        <v>1430</v>
      </c>
      <c r="G24" s="79" t="s">
        <v>477</v>
      </c>
      <c r="H24" s="79" t="s">
        <v>582</v>
      </c>
      <c r="I24" s="77" t="s">
        <v>654</v>
      </c>
      <c r="J24" s="77" t="s">
        <v>13</v>
      </c>
      <c r="K24" s="79" t="s">
        <v>652</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1.3</v>
      </c>
      <c r="S24" s="80">
        <v>0</v>
      </c>
      <c r="T24" s="80">
        <v>0</v>
      </c>
      <c r="U24" s="80">
        <v>0</v>
      </c>
      <c r="V24" s="81">
        <v>103981</v>
      </c>
      <c r="W24" s="79">
        <v>0</v>
      </c>
      <c r="X24" s="79">
        <v>2</v>
      </c>
      <c r="Y24" s="11" t="str">
        <f ca="1">IF(ISBLANK(BudgetsTable[[#This Row],[budg_seq_yr]]),"FY"&amp;fiscalyear,"FY"&amp;fiscalyear-1+BudgetsTable[[#This Row],[budg_seq_yr]])</f>
        <v>FY19</v>
      </c>
      <c r="Z24" s="80">
        <v>103981</v>
      </c>
      <c r="AA24" s="79" t="s">
        <v>477</v>
      </c>
      <c r="AB24" s="79" t="s">
        <v>582</v>
      </c>
      <c r="AC24" s="77" t="s">
        <v>94</v>
      </c>
      <c r="AD24" s="79" t="s">
        <v>1444</v>
      </c>
    </row>
    <row r="25" spans="1:30" x14ac:dyDescent="0.4">
      <c r="A25" s="10" t="s">
        <v>652</v>
      </c>
      <c r="B25" s="77" t="s">
        <v>95</v>
      </c>
      <c r="C25" s="77">
        <f>C24+(BudgetsTable[[#This Row],[lead]]&lt;&gt;K24)</f>
        <v>14</v>
      </c>
      <c r="D25" s="77">
        <f>D24*(BudgetsTable[[#This Row],[lead]]=K24)+(BudgetsTable[[#This Row],[prop_id]]&lt;&gt;A24)</f>
        <v>1</v>
      </c>
      <c r="E25" s="78">
        <v>42933.579861111109</v>
      </c>
      <c r="F25" s="79" t="s">
        <v>1430</v>
      </c>
      <c r="G25" s="79" t="s">
        <v>477</v>
      </c>
      <c r="H25" s="79" t="s">
        <v>582</v>
      </c>
      <c r="I25" s="77" t="s">
        <v>654</v>
      </c>
      <c r="J25" s="77" t="s">
        <v>13</v>
      </c>
      <c r="K25" s="79" t="s">
        <v>652</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1.3</v>
      </c>
      <c r="S25" s="80">
        <v>0</v>
      </c>
      <c r="T25" s="80">
        <v>0</v>
      </c>
      <c r="U25" s="80">
        <v>0</v>
      </c>
      <c r="V25" s="81">
        <v>105714</v>
      </c>
      <c r="W25" s="79">
        <v>0</v>
      </c>
      <c r="X25" s="79">
        <v>3</v>
      </c>
      <c r="Y25" s="11" t="str">
        <f ca="1">IF(ISBLANK(BudgetsTable[[#This Row],[budg_seq_yr]]),"FY"&amp;fiscalyear,"FY"&amp;fiscalyear-1+BudgetsTable[[#This Row],[budg_seq_yr]])</f>
        <v>FY20</v>
      </c>
      <c r="Z25" s="80">
        <v>105714</v>
      </c>
      <c r="AA25" s="79" t="s">
        <v>477</v>
      </c>
      <c r="AB25" s="79" t="s">
        <v>582</v>
      </c>
      <c r="AC25" s="77" t="s">
        <v>94</v>
      </c>
      <c r="AD25" s="79" t="s">
        <v>1444</v>
      </c>
    </row>
    <row r="26" spans="1:30" x14ac:dyDescent="0.4">
      <c r="A26" s="10" t="s">
        <v>652</v>
      </c>
      <c r="B26" s="77" t="s">
        <v>95</v>
      </c>
      <c r="C26" s="77">
        <f>C25+(BudgetsTable[[#This Row],[lead]]&lt;&gt;K25)</f>
        <v>14</v>
      </c>
      <c r="D26" s="77">
        <f>D25*(BudgetsTable[[#This Row],[lead]]=K25)+(BudgetsTable[[#This Row],[prop_id]]&lt;&gt;A25)</f>
        <v>1</v>
      </c>
      <c r="E26" s="78">
        <v>42933.579861111109</v>
      </c>
      <c r="F26" s="79" t="s">
        <v>1430</v>
      </c>
      <c r="G26" s="79" t="s">
        <v>477</v>
      </c>
      <c r="H26" s="79" t="s">
        <v>582</v>
      </c>
      <c r="I26" s="77" t="s">
        <v>654</v>
      </c>
      <c r="J26" s="77" t="s">
        <v>13</v>
      </c>
      <c r="K26" s="79" t="s">
        <v>652</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1.3</v>
      </c>
      <c r="S26" s="80">
        <v>0</v>
      </c>
      <c r="T26" s="80">
        <v>0</v>
      </c>
      <c r="U26" s="80">
        <v>0</v>
      </c>
      <c r="V26" s="81">
        <v>107658</v>
      </c>
      <c r="W26" s="79">
        <v>0</v>
      </c>
      <c r="X26" s="79">
        <v>4</v>
      </c>
      <c r="Y26" s="11" t="str">
        <f ca="1">IF(ISBLANK(BudgetsTable[[#This Row],[budg_seq_yr]]),"FY"&amp;fiscalyear,"FY"&amp;fiscalyear-1+BudgetsTable[[#This Row],[budg_seq_yr]])</f>
        <v>FY21</v>
      </c>
      <c r="Z26" s="80">
        <v>107658</v>
      </c>
      <c r="AA26" s="79" t="s">
        <v>477</v>
      </c>
      <c r="AB26" s="79" t="s">
        <v>582</v>
      </c>
      <c r="AC26" s="77" t="s">
        <v>94</v>
      </c>
      <c r="AD26" s="79" t="s">
        <v>1444</v>
      </c>
    </row>
    <row r="27" spans="1:30" x14ac:dyDescent="0.4">
      <c r="A27" s="10" t="s">
        <v>652</v>
      </c>
      <c r="B27" s="77" t="s">
        <v>95</v>
      </c>
      <c r="C27" s="77">
        <f>C26+(BudgetsTable[[#This Row],[lead]]&lt;&gt;K26)</f>
        <v>14</v>
      </c>
      <c r="D27" s="77">
        <f>D26*(BudgetsTable[[#This Row],[lead]]=K26)+(BudgetsTable[[#This Row],[prop_id]]&lt;&gt;A26)</f>
        <v>1</v>
      </c>
      <c r="E27" s="78">
        <v>42933.579861111109</v>
      </c>
      <c r="F27" s="79" t="s">
        <v>1430</v>
      </c>
      <c r="G27" s="79" t="s">
        <v>477</v>
      </c>
      <c r="H27" s="79" t="s">
        <v>582</v>
      </c>
      <c r="I27" s="77" t="s">
        <v>654</v>
      </c>
      <c r="J27" s="77" t="s">
        <v>13</v>
      </c>
      <c r="K27" s="79" t="s">
        <v>652</v>
      </c>
      <c r="L27" s="7" t="str">
        <f>IF(BudgetsTable[[#This Row],[pi_last_name]]=" ","",HYPERLINK("https://www.ejacket.nsf.gov/ej/showProposal.do?Continue=Y&amp;ID="&amp;BudgetsTable[[#This Row],[prop_id]],BudgetsTable[[#This Row],[prop_id]]))</f>
        <v/>
      </c>
      <c r="M27" s="15" t="str">
        <f>IF(BudgetsTable[[#This Row],[pi_last_name]]=" ","",HYPERLINK("https://www.ejacket.nsf.gov/ej/processReviewAnalysis.do?dispatch=add&amp;uniqId="&amp;BudgetsTable[[#This Row],[prop_id]]&amp;PO_id,"&gt;ra"))</f>
        <v/>
      </c>
      <c r="N27" s="79" t="s">
        <v>13</v>
      </c>
      <c r="O27" s="7" t="str">
        <f>IF(BudgetsTable[[#This Row],[pi_last_name]]=" ","",HYPERLINK("mailto:"&amp;BudgetsTable[[#This Row],[pi_email]]&amp;"&amp;subject=Your NSF Proposal:  "&amp;BudgetsTable[[#This Row],[prop_id]],BudgetsTable[[#This Row],[pi_email]]))</f>
        <v/>
      </c>
      <c r="P27" s="79" t="s">
        <v>13</v>
      </c>
      <c r="Q27" s="79">
        <v>1</v>
      </c>
      <c r="R27" s="79">
        <v>1.3</v>
      </c>
      <c r="S27" s="80">
        <v>0</v>
      </c>
      <c r="T27" s="80">
        <v>0</v>
      </c>
      <c r="U27" s="80">
        <v>0</v>
      </c>
      <c r="V27" s="81">
        <v>109551</v>
      </c>
      <c r="W27" s="79">
        <v>0</v>
      </c>
      <c r="X27" s="79">
        <v>5</v>
      </c>
      <c r="Y27" s="11" t="str">
        <f ca="1">IF(ISBLANK(BudgetsTable[[#This Row],[budg_seq_yr]]),"FY"&amp;fiscalyear,"FY"&amp;fiscalyear-1+BudgetsTable[[#This Row],[budg_seq_yr]])</f>
        <v>FY22</v>
      </c>
      <c r="Z27" s="80">
        <v>109551</v>
      </c>
      <c r="AA27" s="79" t="s">
        <v>477</v>
      </c>
      <c r="AB27" s="79" t="s">
        <v>582</v>
      </c>
      <c r="AC27" s="77" t="s">
        <v>94</v>
      </c>
      <c r="AD27" s="79" t="s">
        <v>1444</v>
      </c>
    </row>
    <row r="28" spans="1:30" x14ac:dyDescent="0.4">
      <c r="A28" s="10" t="s">
        <v>669</v>
      </c>
      <c r="B28" s="77" t="s">
        <v>95</v>
      </c>
      <c r="C28" s="77">
        <f>C27+(BudgetsTable[[#This Row],[lead]]&lt;&gt;K27)</f>
        <v>15</v>
      </c>
      <c r="D28" s="77">
        <f>D27*(BudgetsTable[[#This Row],[lead]]=K27)+(BudgetsTable[[#This Row],[prop_id]]&lt;&gt;A27)</f>
        <v>1</v>
      </c>
      <c r="E28" s="78">
        <v>42933.713888888888</v>
      </c>
      <c r="F28" s="79" t="s">
        <v>1430</v>
      </c>
      <c r="G28" s="79" t="s">
        <v>477</v>
      </c>
      <c r="H28" s="79" t="s">
        <v>582</v>
      </c>
      <c r="I28" s="77" t="s">
        <v>604</v>
      </c>
      <c r="J28" s="77" t="s">
        <v>1452</v>
      </c>
      <c r="K28" s="79" t="s">
        <v>669</v>
      </c>
      <c r="L28" s="7" t="str">
        <f>IF(BudgetsTable[[#This Row],[pi_last_name]]=" ","",HYPERLINK("https://www.ejacket.nsf.gov/ej/showProposal.do?Continue=Y&amp;ID="&amp;BudgetsTable[[#This Row],[prop_id]],BudgetsTable[[#This Row],[prop_id]]))</f>
        <v>1749563</v>
      </c>
      <c r="M28" s="15" t="e">
        <f>IF(BudgetsTable[[#This Row],[pi_last_name]]=" ","",HYPERLINK("https://www.ejacket.nsf.gov/ej/processReviewAnalysis.do?dispatch=add&amp;uniqId="&amp;BudgetsTable[[#This Row],[prop_id]]&amp;PO_id,"&gt;ra"))</f>
        <v>#REF!</v>
      </c>
      <c r="N28" s="79" t="s">
        <v>670</v>
      </c>
      <c r="O28" s="7" t="str">
        <f>IF(BudgetsTable[[#This Row],[pi_last_name]]=" ","",HYPERLINK("mailto:"&amp;BudgetsTable[[#This Row],[pi_email]]&amp;"&amp;subject=Your NSF Proposal:  "&amp;BudgetsTable[[#This Row],[prop_id]],BudgetsTable[[#This Row],[pi_email]]))</f>
        <v>delpia@wisc.edu</v>
      </c>
      <c r="P28" s="79" t="s">
        <v>554</v>
      </c>
      <c r="Q28" s="79"/>
      <c r="R28" s="79"/>
      <c r="S28" s="80"/>
      <c r="T28" s="80"/>
      <c r="U28" s="80"/>
      <c r="V28" s="81"/>
      <c r="W28" s="79">
        <v>0</v>
      </c>
      <c r="X28" s="79"/>
      <c r="Y28" s="11" t="str">
        <f ca="1">IF(ISBLANK(BudgetsTable[[#This Row],[budg_seq_yr]]),"FY"&amp;fiscalyear,"FY"&amp;fiscalyear-1+BudgetsTable[[#This Row],[budg_seq_yr]])</f>
        <v>FY18</v>
      </c>
      <c r="Z28" s="80">
        <v>500000</v>
      </c>
      <c r="AA28" s="79" t="s">
        <v>477</v>
      </c>
      <c r="AB28" s="79" t="s">
        <v>582</v>
      </c>
      <c r="AC28" s="77" t="s">
        <v>94</v>
      </c>
      <c r="AD28" s="79" t="s">
        <v>1432</v>
      </c>
    </row>
    <row r="29" spans="1:30" x14ac:dyDescent="0.4">
      <c r="A29" s="10" t="s">
        <v>669</v>
      </c>
      <c r="B29" s="77" t="s">
        <v>95</v>
      </c>
      <c r="C29" s="77">
        <f>C28+(BudgetsTable[[#This Row],[lead]]&lt;&gt;K28)</f>
        <v>15</v>
      </c>
      <c r="D29" s="77">
        <f>D28*(BudgetsTable[[#This Row],[lead]]=K28)+(BudgetsTable[[#This Row],[prop_id]]&lt;&gt;A28)</f>
        <v>1</v>
      </c>
      <c r="E29" s="78">
        <v>42933.713888888888</v>
      </c>
      <c r="F29" s="79" t="s">
        <v>1430</v>
      </c>
      <c r="G29" s="79" t="s">
        <v>477</v>
      </c>
      <c r="H29" s="79" t="s">
        <v>582</v>
      </c>
      <c r="I29" s="77" t="s">
        <v>604</v>
      </c>
      <c r="J29" s="77" t="s">
        <v>13</v>
      </c>
      <c r="K29" s="79" t="s">
        <v>669</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1</v>
      </c>
      <c r="S29" s="80">
        <v>0</v>
      </c>
      <c r="T29" s="80">
        <v>2483</v>
      </c>
      <c r="U29" s="80">
        <v>0</v>
      </c>
      <c r="V29" s="81">
        <v>103953</v>
      </c>
      <c r="W29" s="79">
        <v>0</v>
      </c>
      <c r="X29" s="79">
        <v>1</v>
      </c>
      <c r="Y29" s="11" t="str">
        <f ca="1">IF(ISBLANK(BudgetsTable[[#This Row],[budg_seq_yr]]),"FY"&amp;fiscalyear,"FY"&amp;fiscalyear-1+BudgetsTable[[#This Row],[budg_seq_yr]])</f>
        <v>FY18</v>
      </c>
      <c r="Z29" s="80">
        <v>103953</v>
      </c>
      <c r="AA29" s="79" t="s">
        <v>477</v>
      </c>
      <c r="AB29" s="79" t="s">
        <v>582</v>
      </c>
      <c r="AC29" s="77" t="s">
        <v>94</v>
      </c>
      <c r="AD29" s="79" t="s">
        <v>1432</v>
      </c>
    </row>
    <row r="30" spans="1:30" x14ac:dyDescent="0.4">
      <c r="A30" s="10" t="s">
        <v>669</v>
      </c>
      <c r="B30" s="77" t="s">
        <v>95</v>
      </c>
      <c r="C30" s="77">
        <f>C29+(BudgetsTable[[#This Row],[lead]]&lt;&gt;K29)</f>
        <v>15</v>
      </c>
      <c r="D30" s="77">
        <f>D29*(BudgetsTable[[#This Row],[lead]]=K29)+(BudgetsTable[[#This Row],[prop_id]]&lt;&gt;A29)</f>
        <v>1</v>
      </c>
      <c r="E30" s="78">
        <v>42933.713888888888</v>
      </c>
      <c r="F30" s="79" t="s">
        <v>1430</v>
      </c>
      <c r="G30" s="79" t="s">
        <v>477</v>
      </c>
      <c r="H30" s="79" t="s">
        <v>582</v>
      </c>
      <c r="I30" s="77" t="s">
        <v>604</v>
      </c>
      <c r="J30" s="77" t="s">
        <v>13</v>
      </c>
      <c r="K30" s="79" t="s">
        <v>669</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1</v>
      </c>
      <c r="S30" s="80">
        <v>0</v>
      </c>
      <c r="T30" s="80">
        <v>2483</v>
      </c>
      <c r="U30" s="80">
        <v>0</v>
      </c>
      <c r="V30" s="81">
        <v>95986</v>
      </c>
      <c r="W30" s="79">
        <v>0</v>
      </c>
      <c r="X30" s="79">
        <v>2</v>
      </c>
      <c r="Y30" s="11" t="str">
        <f ca="1">IF(ISBLANK(BudgetsTable[[#This Row],[budg_seq_yr]]),"FY"&amp;fiscalyear,"FY"&amp;fiscalyear-1+BudgetsTable[[#This Row],[budg_seq_yr]])</f>
        <v>FY19</v>
      </c>
      <c r="Z30" s="80">
        <v>95986</v>
      </c>
      <c r="AA30" s="79" t="s">
        <v>477</v>
      </c>
      <c r="AB30" s="79" t="s">
        <v>582</v>
      </c>
      <c r="AC30" s="77" t="s">
        <v>94</v>
      </c>
      <c r="AD30" s="79" t="s">
        <v>1432</v>
      </c>
    </row>
    <row r="31" spans="1:30" x14ac:dyDescent="0.4">
      <c r="A31" s="10" t="s">
        <v>669</v>
      </c>
      <c r="B31" s="77" t="s">
        <v>95</v>
      </c>
      <c r="C31" s="77">
        <f>C30+(BudgetsTable[[#This Row],[lead]]&lt;&gt;K30)</f>
        <v>15</v>
      </c>
      <c r="D31" s="77">
        <f>D30*(BudgetsTable[[#This Row],[lead]]=K30)+(BudgetsTable[[#This Row],[prop_id]]&lt;&gt;A30)</f>
        <v>1</v>
      </c>
      <c r="E31" s="78">
        <v>42933.713888888888</v>
      </c>
      <c r="F31" s="79" t="s">
        <v>1430</v>
      </c>
      <c r="G31" s="79" t="s">
        <v>477</v>
      </c>
      <c r="H31" s="79" t="s">
        <v>582</v>
      </c>
      <c r="I31" s="77" t="s">
        <v>604</v>
      </c>
      <c r="J31" s="77" t="s">
        <v>13</v>
      </c>
      <c r="K31" s="79" t="s">
        <v>669</v>
      </c>
      <c r="L31" s="7" t="str">
        <f>IF(BudgetsTable[[#This Row],[pi_last_name]]=" ","",HYPERLINK("https://www.ejacket.nsf.gov/ej/showProposal.do?Continue=Y&amp;ID="&amp;BudgetsTable[[#This Row],[prop_id]],BudgetsTable[[#This Row],[prop_id]]))</f>
        <v/>
      </c>
      <c r="M31" s="15" t="str">
        <f>IF(BudgetsTable[[#This Row],[pi_last_name]]=" ","",HYPERLINK("https://www.ejacket.nsf.gov/ej/processReviewAnalysis.do?dispatch=add&amp;uniqId="&amp;BudgetsTable[[#This Row],[prop_id]]&amp;PO_id,"&gt;ra"))</f>
        <v/>
      </c>
      <c r="N31" s="79" t="s">
        <v>13</v>
      </c>
      <c r="O31" s="7" t="str">
        <f>IF(BudgetsTable[[#This Row],[pi_last_name]]=" ","",HYPERLINK("mailto:"&amp;BudgetsTable[[#This Row],[pi_email]]&amp;"&amp;subject=Your NSF Proposal:  "&amp;BudgetsTable[[#This Row],[prop_id]],BudgetsTable[[#This Row],[pi_email]]))</f>
        <v/>
      </c>
      <c r="P31" s="79" t="s">
        <v>13</v>
      </c>
      <c r="Q31" s="79">
        <v>1</v>
      </c>
      <c r="R31" s="79">
        <v>1</v>
      </c>
      <c r="S31" s="80">
        <v>0</v>
      </c>
      <c r="T31" s="80">
        <v>2483</v>
      </c>
      <c r="U31" s="80">
        <v>0</v>
      </c>
      <c r="V31" s="81">
        <v>97655</v>
      </c>
      <c r="W31" s="79">
        <v>0</v>
      </c>
      <c r="X31" s="79">
        <v>3</v>
      </c>
      <c r="Y31" s="11" t="str">
        <f ca="1">IF(ISBLANK(BudgetsTable[[#This Row],[budg_seq_yr]]),"FY"&amp;fiscalyear,"FY"&amp;fiscalyear-1+BudgetsTable[[#This Row],[budg_seq_yr]])</f>
        <v>FY20</v>
      </c>
      <c r="Z31" s="80">
        <v>97655</v>
      </c>
      <c r="AA31" s="79" t="s">
        <v>477</v>
      </c>
      <c r="AB31" s="79" t="s">
        <v>582</v>
      </c>
      <c r="AC31" s="77" t="s">
        <v>94</v>
      </c>
      <c r="AD31" s="79" t="s">
        <v>1432</v>
      </c>
    </row>
    <row r="32" spans="1:30" x14ac:dyDescent="0.4">
      <c r="A32" s="10" t="s">
        <v>669</v>
      </c>
      <c r="B32" s="77" t="s">
        <v>95</v>
      </c>
      <c r="C32" s="77">
        <f>C31+(BudgetsTable[[#This Row],[lead]]&lt;&gt;K31)</f>
        <v>15</v>
      </c>
      <c r="D32" s="77">
        <f>D31*(BudgetsTable[[#This Row],[lead]]=K31)+(BudgetsTable[[#This Row],[prop_id]]&lt;&gt;A31)</f>
        <v>1</v>
      </c>
      <c r="E32" s="78">
        <v>42933.713888888888</v>
      </c>
      <c r="F32" s="79" t="s">
        <v>1430</v>
      </c>
      <c r="G32" s="79" t="s">
        <v>477</v>
      </c>
      <c r="H32" s="79" t="s">
        <v>582</v>
      </c>
      <c r="I32" s="77" t="s">
        <v>604</v>
      </c>
      <c r="J32" s="77" t="s">
        <v>13</v>
      </c>
      <c r="K32" s="79" t="s">
        <v>669</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1</v>
      </c>
      <c r="R32" s="79">
        <v>1</v>
      </c>
      <c r="S32" s="80">
        <v>0</v>
      </c>
      <c r="T32" s="80">
        <v>2483</v>
      </c>
      <c r="U32" s="80">
        <v>0</v>
      </c>
      <c r="V32" s="81">
        <v>99915</v>
      </c>
      <c r="W32" s="79">
        <v>0</v>
      </c>
      <c r="X32" s="79">
        <v>4</v>
      </c>
      <c r="Y32" s="11" t="str">
        <f ca="1">IF(ISBLANK(BudgetsTable[[#This Row],[budg_seq_yr]]),"FY"&amp;fiscalyear,"FY"&amp;fiscalyear-1+BudgetsTable[[#This Row],[budg_seq_yr]])</f>
        <v>FY21</v>
      </c>
      <c r="Z32" s="80">
        <v>99915</v>
      </c>
      <c r="AA32" s="79" t="s">
        <v>477</v>
      </c>
      <c r="AB32" s="79" t="s">
        <v>582</v>
      </c>
      <c r="AC32" s="77" t="s">
        <v>94</v>
      </c>
      <c r="AD32" s="79" t="s">
        <v>1432</v>
      </c>
    </row>
    <row r="33" spans="1:30" x14ac:dyDescent="0.4">
      <c r="A33" s="10" t="s">
        <v>669</v>
      </c>
      <c r="B33" s="77" t="s">
        <v>95</v>
      </c>
      <c r="C33" s="77">
        <f>C32+(BudgetsTable[[#This Row],[lead]]&lt;&gt;K32)</f>
        <v>15</v>
      </c>
      <c r="D33" s="77">
        <f>D32*(BudgetsTable[[#This Row],[lead]]=K32)+(BudgetsTable[[#This Row],[prop_id]]&lt;&gt;A32)</f>
        <v>1</v>
      </c>
      <c r="E33" s="78">
        <v>42933.713888888888</v>
      </c>
      <c r="F33" s="79" t="s">
        <v>1430</v>
      </c>
      <c r="G33" s="79" t="s">
        <v>477</v>
      </c>
      <c r="H33" s="79" t="s">
        <v>582</v>
      </c>
      <c r="I33" s="77" t="s">
        <v>604</v>
      </c>
      <c r="J33" s="77" t="s">
        <v>13</v>
      </c>
      <c r="K33" s="79" t="s">
        <v>669</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1</v>
      </c>
      <c r="R33" s="79">
        <v>1</v>
      </c>
      <c r="S33" s="80">
        <v>0</v>
      </c>
      <c r="T33" s="80">
        <v>2484</v>
      </c>
      <c r="U33" s="80">
        <v>0</v>
      </c>
      <c r="V33" s="81">
        <v>102491</v>
      </c>
      <c r="W33" s="79">
        <v>0</v>
      </c>
      <c r="X33" s="79">
        <v>5</v>
      </c>
      <c r="Y33" s="11" t="str">
        <f ca="1">IF(ISBLANK(BudgetsTable[[#This Row],[budg_seq_yr]]),"FY"&amp;fiscalyear,"FY"&amp;fiscalyear-1+BudgetsTable[[#This Row],[budg_seq_yr]])</f>
        <v>FY22</v>
      </c>
      <c r="Z33" s="80">
        <v>102491</v>
      </c>
      <c r="AA33" s="79" t="s">
        <v>477</v>
      </c>
      <c r="AB33" s="79" t="s">
        <v>582</v>
      </c>
      <c r="AC33" s="77" t="s">
        <v>94</v>
      </c>
      <c r="AD33" s="79" t="s">
        <v>1432</v>
      </c>
    </row>
    <row r="34" spans="1:30" x14ac:dyDescent="0.4">
      <c r="A34" s="10" t="s">
        <v>677</v>
      </c>
      <c r="B34" s="77" t="s">
        <v>95</v>
      </c>
      <c r="C34" s="77">
        <f>C33+(BudgetsTable[[#This Row],[lead]]&lt;&gt;K33)</f>
        <v>16</v>
      </c>
      <c r="D34" s="77">
        <f>D33*(BudgetsTable[[#This Row],[lead]]=K33)+(BudgetsTable[[#This Row],[prop_id]]&lt;&gt;A33)</f>
        <v>1</v>
      </c>
      <c r="E34" s="78">
        <v>42933.820138888892</v>
      </c>
      <c r="F34" s="79" t="s">
        <v>1430</v>
      </c>
      <c r="G34" s="79" t="s">
        <v>477</v>
      </c>
      <c r="H34" s="79" t="s">
        <v>582</v>
      </c>
      <c r="I34" s="77" t="s">
        <v>604</v>
      </c>
      <c r="J34" s="77" t="s">
        <v>1458</v>
      </c>
      <c r="K34" s="79" t="s">
        <v>677</v>
      </c>
      <c r="L34" s="7" t="str">
        <f>IF(BudgetsTable[[#This Row],[pi_last_name]]=" ","",HYPERLINK("https://www.ejacket.nsf.gov/ej/showProposal.do?Continue=Y&amp;ID="&amp;BudgetsTable[[#This Row],[prop_id]],BudgetsTable[[#This Row],[prop_id]]))</f>
        <v>1749609</v>
      </c>
      <c r="M34" s="15" t="e">
        <f>IF(BudgetsTable[[#This Row],[pi_last_name]]=" ","",HYPERLINK("https://www.ejacket.nsf.gov/ej/processReviewAnalysis.do?dispatch=add&amp;uniqId="&amp;BudgetsTable[[#This Row],[prop_id]]&amp;PO_id,"&gt;ra"))</f>
        <v>#REF!</v>
      </c>
      <c r="N34" s="79" t="s">
        <v>678</v>
      </c>
      <c r="O34" s="7" t="str">
        <f>IF(BudgetsTable[[#This Row],[pi_last_name]]=" ","",HYPERLINK("mailto:"&amp;BudgetsTable[[#This Row],[pi_email]]&amp;"&amp;subject=Your NSF Proposal:  "&amp;BudgetsTable[[#This Row],[prop_id]],BudgetsTable[[#This Row],[pi_email]]))</f>
        <v>yintat@uw.edu</v>
      </c>
      <c r="P34" s="79" t="s">
        <v>1455</v>
      </c>
      <c r="Q34" s="79"/>
      <c r="R34" s="79"/>
      <c r="S34" s="80"/>
      <c r="T34" s="80"/>
      <c r="U34" s="80"/>
      <c r="V34" s="81"/>
      <c r="W34" s="79">
        <v>0</v>
      </c>
      <c r="X34" s="79"/>
      <c r="Y34" s="11" t="str">
        <f ca="1">IF(ISBLANK(BudgetsTable[[#This Row],[budg_seq_yr]]),"FY"&amp;fiscalyear,"FY"&amp;fiscalyear-1+BudgetsTable[[#This Row],[budg_seq_yr]])</f>
        <v>FY18</v>
      </c>
      <c r="Z34" s="80">
        <v>549841</v>
      </c>
      <c r="AA34" s="79" t="s">
        <v>477</v>
      </c>
      <c r="AB34" s="79" t="s">
        <v>582</v>
      </c>
      <c r="AC34" s="77" t="s">
        <v>94</v>
      </c>
      <c r="AD34" s="79" t="s">
        <v>1432</v>
      </c>
    </row>
    <row r="35" spans="1:30" x14ac:dyDescent="0.4">
      <c r="A35" s="10" t="s">
        <v>677</v>
      </c>
      <c r="B35" s="77" t="s">
        <v>95</v>
      </c>
      <c r="C35" s="77">
        <f>C34+(BudgetsTable[[#This Row],[lead]]&lt;&gt;K34)</f>
        <v>16</v>
      </c>
      <c r="D35" s="77">
        <f>D34*(BudgetsTable[[#This Row],[lead]]=K34)+(BudgetsTable[[#This Row],[prop_id]]&lt;&gt;A34)</f>
        <v>1</v>
      </c>
      <c r="E35" s="78">
        <v>42933.820138888892</v>
      </c>
      <c r="F35" s="79" t="s">
        <v>1430</v>
      </c>
      <c r="G35" s="79" t="s">
        <v>477</v>
      </c>
      <c r="H35" s="79" t="s">
        <v>582</v>
      </c>
      <c r="I35" s="77" t="s">
        <v>604</v>
      </c>
      <c r="J35" s="77" t="s">
        <v>13</v>
      </c>
      <c r="K35" s="79" t="s">
        <v>677</v>
      </c>
      <c r="L35" s="7" t="str">
        <f>IF(BudgetsTable[[#This Row],[pi_last_name]]=" ","",HYPERLINK("https://www.ejacket.nsf.gov/ej/showProposal.do?Continue=Y&amp;ID="&amp;BudgetsTable[[#This Row],[prop_id]],BudgetsTable[[#This Row],[prop_id]]))</f>
        <v/>
      </c>
      <c r="M35" s="15" t="str">
        <f>IF(BudgetsTable[[#This Row],[pi_last_name]]=" ","",HYPERLINK("https://www.ejacket.nsf.gov/ej/processReviewAnalysis.do?dispatch=add&amp;uniqId="&amp;BudgetsTable[[#This Row],[prop_id]]&amp;PO_id,"&gt;ra"))</f>
        <v/>
      </c>
      <c r="N35" s="79" t="s">
        <v>13</v>
      </c>
      <c r="O35" s="7" t="str">
        <f>IF(BudgetsTable[[#This Row],[pi_last_name]]=" ","",HYPERLINK("mailto:"&amp;BudgetsTable[[#This Row],[pi_email]]&amp;"&amp;subject=Your NSF Proposal:  "&amp;BudgetsTable[[#This Row],[prop_id]],BudgetsTable[[#This Row],[pi_email]]))</f>
        <v/>
      </c>
      <c r="P35" s="79" t="s">
        <v>13</v>
      </c>
      <c r="Q35" s="79">
        <v>1</v>
      </c>
      <c r="R35" s="79">
        <v>0.5</v>
      </c>
      <c r="S35" s="80">
        <v>0</v>
      </c>
      <c r="T35" s="80">
        <v>0</v>
      </c>
      <c r="U35" s="80">
        <v>0</v>
      </c>
      <c r="V35" s="81">
        <v>105589</v>
      </c>
      <c r="W35" s="79">
        <v>0</v>
      </c>
      <c r="X35" s="79">
        <v>1</v>
      </c>
      <c r="Y35" s="11" t="str">
        <f ca="1">IF(ISBLANK(BudgetsTable[[#This Row],[budg_seq_yr]]),"FY"&amp;fiscalyear,"FY"&amp;fiscalyear-1+BudgetsTable[[#This Row],[budg_seq_yr]])</f>
        <v>FY18</v>
      </c>
      <c r="Z35" s="80">
        <v>105589</v>
      </c>
      <c r="AA35" s="79" t="s">
        <v>477</v>
      </c>
      <c r="AB35" s="79" t="s">
        <v>582</v>
      </c>
      <c r="AC35" s="77" t="s">
        <v>94</v>
      </c>
      <c r="AD35" s="79" t="s">
        <v>1432</v>
      </c>
    </row>
    <row r="36" spans="1:30" x14ac:dyDescent="0.4">
      <c r="A36" s="10" t="s">
        <v>677</v>
      </c>
      <c r="B36" s="77" t="s">
        <v>95</v>
      </c>
      <c r="C36" s="77">
        <f>C35+(BudgetsTable[[#This Row],[lead]]&lt;&gt;K35)</f>
        <v>16</v>
      </c>
      <c r="D36" s="77">
        <f>D35*(BudgetsTable[[#This Row],[lead]]=K35)+(BudgetsTable[[#This Row],[prop_id]]&lt;&gt;A35)</f>
        <v>1</v>
      </c>
      <c r="E36" s="78">
        <v>42933.820138888892</v>
      </c>
      <c r="F36" s="79" t="s">
        <v>1430</v>
      </c>
      <c r="G36" s="79" t="s">
        <v>477</v>
      </c>
      <c r="H36" s="79" t="s">
        <v>582</v>
      </c>
      <c r="I36" s="77" t="s">
        <v>604</v>
      </c>
      <c r="J36" s="77" t="s">
        <v>13</v>
      </c>
      <c r="K36" s="79" t="s">
        <v>677</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0.5</v>
      </c>
      <c r="S36" s="80">
        <v>0</v>
      </c>
      <c r="T36" s="80">
        <v>0</v>
      </c>
      <c r="U36" s="80">
        <v>0</v>
      </c>
      <c r="V36" s="81">
        <v>110067</v>
      </c>
      <c r="W36" s="79">
        <v>0</v>
      </c>
      <c r="X36" s="79">
        <v>2</v>
      </c>
      <c r="Y36" s="11" t="str">
        <f ca="1">IF(ISBLANK(BudgetsTable[[#This Row],[budg_seq_yr]]),"FY"&amp;fiscalyear,"FY"&amp;fiscalyear-1+BudgetsTable[[#This Row],[budg_seq_yr]])</f>
        <v>FY19</v>
      </c>
      <c r="Z36" s="80">
        <v>110067</v>
      </c>
      <c r="AA36" s="79" t="s">
        <v>477</v>
      </c>
      <c r="AB36" s="79" t="s">
        <v>582</v>
      </c>
      <c r="AC36" s="77" t="s">
        <v>94</v>
      </c>
      <c r="AD36" s="79" t="s">
        <v>1432</v>
      </c>
    </row>
    <row r="37" spans="1:30" x14ac:dyDescent="0.4">
      <c r="A37" s="10" t="s">
        <v>677</v>
      </c>
      <c r="B37" s="77" t="s">
        <v>95</v>
      </c>
      <c r="C37" s="77">
        <f>C36+(BudgetsTable[[#This Row],[lead]]&lt;&gt;K36)</f>
        <v>16</v>
      </c>
      <c r="D37" s="77">
        <f>D36*(BudgetsTable[[#This Row],[lead]]=K36)+(BudgetsTable[[#This Row],[prop_id]]&lt;&gt;A36)</f>
        <v>1</v>
      </c>
      <c r="E37" s="78">
        <v>42933.820138888892</v>
      </c>
      <c r="F37" s="79" t="s">
        <v>1430</v>
      </c>
      <c r="G37" s="79" t="s">
        <v>477</v>
      </c>
      <c r="H37" s="79" t="s">
        <v>582</v>
      </c>
      <c r="I37" s="77" t="s">
        <v>604</v>
      </c>
      <c r="J37" s="77" t="s">
        <v>13</v>
      </c>
      <c r="K37" s="79" t="s">
        <v>677</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0.5</v>
      </c>
      <c r="S37" s="80">
        <v>0</v>
      </c>
      <c r="T37" s="80">
        <v>0</v>
      </c>
      <c r="U37" s="80">
        <v>0</v>
      </c>
      <c r="V37" s="81">
        <v>114453</v>
      </c>
      <c r="W37" s="79">
        <v>0</v>
      </c>
      <c r="X37" s="79">
        <v>3</v>
      </c>
      <c r="Y37" s="11" t="str">
        <f ca="1">IF(ISBLANK(BudgetsTable[[#This Row],[budg_seq_yr]]),"FY"&amp;fiscalyear,"FY"&amp;fiscalyear-1+BudgetsTable[[#This Row],[budg_seq_yr]])</f>
        <v>FY20</v>
      </c>
      <c r="Z37" s="80">
        <v>114453</v>
      </c>
      <c r="AA37" s="79" t="s">
        <v>477</v>
      </c>
      <c r="AB37" s="79" t="s">
        <v>582</v>
      </c>
      <c r="AC37" s="77" t="s">
        <v>94</v>
      </c>
      <c r="AD37" s="79" t="s">
        <v>1432</v>
      </c>
    </row>
    <row r="38" spans="1:30" x14ac:dyDescent="0.4">
      <c r="A38" s="10" t="s">
        <v>677</v>
      </c>
      <c r="B38" s="77" t="s">
        <v>95</v>
      </c>
      <c r="C38" s="77">
        <f>C37+(BudgetsTable[[#This Row],[lead]]&lt;&gt;K37)</f>
        <v>16</v>
      </c>
      <c r="D38" s="77">
        <f>D37*(BudgetsTable[[#This Row],[lead]]=K37)+(BudgetsTable[[#This Row],[prop_id]]&lt;&gt;A37)</f>
        <v>1</v>
      </c>
      <c r="E38" s="78">
        <v>42933.820138888892</v>
      </c>
      <c r="F38" s="79" t="s">
        <v>1430</v>
      </c>
      <c r="G38" s="79" t="s">
        <v>477</v>
      </c>
      <c r="H38" s="79" t="s">
        <v>582</v>
      </c>
      <c r="I38" s="77" t="s">
        <v>604</v>
      </c>
      <c r="J38" s="77" t="s">
        <v>13</v>
      </c>
      <c r="K38" s="79" t="s">
        <v>677</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0.5</v>
      </c>
      <c r="S38" s="80">
        <v>0</v>
      </c>
      <c r="T38" s="80">
        <v>0</v>
      </c>
      <c r="U38" s="80">
        <v>0</v>
      </c>
      <c r="V38" s="81">
        <v>119025</v>
      </c>
      <c r="W38" s="79">
        <v>0</v>
      </c>
      <c r="X38" s="79">
        <v>4</v>
      </c>
      <c r="Y38" s="11" t="str">
        <f ca="1">IF(ISBLANK(BudgetsTable[[#This Row],[budg_seq_yr]]),"FY"&amp;fiscalyear,"FY"&amp;fiscalyear-1+BudgetsTable[[#This Row],[budg_seq_yr]])</f>
        <v>FY21</v>
      </c>
      <c r="Z38" s="80">
        <v>119025</v>
      </c>
      <c r="AA38" s="79" t="s">
        <v>477</v>
      </c>
      <c r="AB38" s="79" t="s">
        <v>582</v>
      </c>
      <c r="AC38" s="77" t="s">
        <v>94</v>
      </c>
      <c r="AD38" s="79" t="s">
        <v>1432</v>
      </c>
    </row>
    <row r="39" spans="1:30" x14ac:dyDescent="0.4">
      <c r="A39" s="10" t="s">
        <v>677</v>
      </c>
      <c r="B39" s="77" t="s">
        <v>95</v>
      </c>
      <c r="C39" s="77">
        <f>C38+(BudgetsTable[[#This Row],[lead]]&lt;&gt;K38)</f>
        <v>16</v>
      </c>
      <c r="D39" s="77">
        <f>D38*(BudgetsTable[[#This Row],[lead]]=K38)+(BudgetsTable[[#This Row],[prop_id]]&lt;&gt;A38)</f>
        <v>1</v>
      </c>
      <c r="E39" s="78">
        <v>42933.820138888892</v>
      </c>
      <c r="F39" s="79" t="s">
        <v>1430</v>
      </c>
      <c r="G39" s="79" t="s">
        <v>477</v>
      </c>
      <c r="H39" s="79" t="s">
        <v>582</v>
      </c>
      <c r="I39" s="77" t="s">
        <v>604</v>
      </c>
      <c r="J39" s="77" t="s">
        <v>13</v>
      </c>
      <c r="K39" s="79" t="s">
        <v>677</v>
      </c>
      <c r="L39" s="7" t="str">
        <f>IF(BudgetsTable[[#This Row],[pi_last_name]]=" ","",HYPERLINK("https://www.ejacket.nsf.gov/ej/showProposal.do?Continue=Y&amp;ID="&amp;BudgetsTable[[#This Row],[prop_id]],BudgetsTable[[#This Row],[prop_id]]))</f>
        <v/>
      </c>
      <c r="M39" s="15" t="str">
        <f>IF(BudgetsTable[[#This Row],[pi_last_name]]=" ","",HYPERLINK("https://www.ejacket.nsf.gov/ej/processReviewAnalysis.do?dispatch=add&amp;uniqId="&amp;BudgetsTable[[#This Row],[prop_id]]&amp;PO_id,"&gt;ra"))</f>
        <v/>
      </c>
      <c r="N39" s="79" t="s">
        <v>13</v>
      </c>
      <c r="O39" s="7" t="str">
        <f>IF(BudgetsTable[[#This Row],[pi_last_name]]=" ","",HYPERLINK("mailto:"&amp;BudgetsTable[[#This Row],[pi_email]]&amp;"&amp;subject=Your NSF Proposal:  "&amp;BudgetsTable[[#This Row],[prop_id]],BudgetsTable[[#This Row],[pi_email]]))</f>
        <v/>
      </c>
      <c r="P39" s="79" t="s">
        <v>13</v>
      </c>
      <c r="Q39" s="79">
        <v>1</v>
      </c>
      <c r="R39" s="79">
        <v>0.5</v>
      </c>
      <c r="S39" s="80">
        <v>0</v>
      </c>
      <c r="T39" s="80">
        <v>0</v>
      </c>
      <c r="U39" s="80">
        <v>0</v>
      </c>
      <c r="V39" s="81">
        <v>100707</v>
      </c>
      <c r="W39" s="79">
        <v>0</v>
      </c>
      <c r="X39" s="79">
        <v>5</v>
      </c>
      <c r="Y39" s="11" t="str">
        <f ca="1">IF(ISBLANK(BudgetsTable[[#This Row],[budg_seq_yr]]),"FY"&amp;fiscalyear,"FY"&amp;fiscalyear-1+BudgetsTable[[#This Row],[budg_seq_yr]])</f>
        <v>FY22</v>
      </c>
      <c r="Z39" s="80">
        <v>100707</v>
      </c>
      <c r="AA39" s="79" t="s">
        <v>477</v>
      </c>
      <c r="AB39" s="79" t="s">
        <v>582</v>
      </c>
      <c r="AC39" s="77" t="s">
        <v>94</v>
      </c>
      <c r="AD39" s="79" t="s">
        <v>1432</v>
      </c>
    </row>
    <row r="40" spans="1:30" x14ac:dyDescent="0.4">
      <c r="A40" s="10" t="s">
        <v>685</v>
      </c>
      <c r="B40" s="77" t="s">
        <v>95</v>
      </c>
      <c r="C40" s="77">
        <f>C39+(BudgetsTable[[#This Row],[lead]]&lt;&gt;K39)</f>
        <v>17</v>
      </c>
      <c r="D40" s="77">
        <f>D39*(BudgetsTable[[#This Row],[lead]]=K39)+(BudgetsTable[[#This Row],[prop_id]]&lt;&gt;A39)</f>
        <v>1</v>
      </c>
      <c r="E40" s="78">
        <v>42934.453472222223</v>
      </c>
      <c r="F40" s="79" t="s">
        <v>1430</v>
      </c>
      <c r="G40" s="79" t="s">
        <v>477</v>
      </c>
      <c r="H40" s="79" t="s">
        <v>582</v>
      </c>
      <c r="I40" s="77" t="s">
        <v>654</v>
      </c>
      <c r="J40" s="77" t="s">
        <v>1463</v>
      </c>
      <c r="K40" s="79" t="s">
        <v>685</v>
      </c>
      <c r="L40" s="7" t="str">
        <f>IF(BudgetsTable[[#This Row],[pi_last_name]]=" ","",HYPERLINK("https://www.ejacket.nsf.gov/ej/showProposal.do?Continue=Y&amp;ID="&amp;BudgetsTable[[#This Row],[prop_id]],BudgetsTable[[#This Row],[prop_id]]))</f>
        <v>1749678</v>
      </c>
      <c r="M40" s="15" t="e">
        <f>IF(BudgetsTable[[#This Row],[pi_last_name]]=" ","",HYPERLINK("https://www.ejacket.nsf.gov/ej/processReviewAnalysis.do?dispatch=add&amp;uniqId="&amp;BudgetsTable[[#This Row],[prop_id]]&amp;PO_id,"&gt;ra"))</f>
        <v>#REF!</v>
      </c>
      <c r="N40" s="79" t="s">
        <v>686</v>
      </c>
      <c r="O40" s="7" t="str">
        <f>IF(BudgetsTable[[#This Row],[pi_last_name]]=" ","",HYPERLINK("mailto:"&amp;BudgetsTable[[#This Row],[pi_email]]&amp;"&amp;subject=Your NSF Proposal:  "&amp;BudgetsTable[[#This Row],[prop_id]],BudgetsTable[[#This Row],[pi_email]]))</f>
        <v>sim3@ucmerced.edu</v>
      </c>
      <c r="P40" s="79" t="s">
        <v>1460</v>
      </c>
      <c r="Q40" s="79"/>
      <c r="R40" s="79"/>
      <c r="S40" s="80"/>
      <c r="T40" s="80"/>
      <c r="U40" s="80"/>
      <c r="V40" s="81"/>
      <c r="W40" s="79">
        <v>0</v>
      </c>
      <c r="X40" s="79"/>
      <c r="Y40" s="11" t="str">
        <f ca="1">IF(ISBLANK(BudgetsTable[[#This Row],[budg_seq_yr]]),"FY"&amp;fiscalyear,"FY"&amp;fiscalyear-1+BudgetsTable[[#This Row],[budg_seq_yr]])</f>
        <v>FY18</v>
      </c>
      <c r="Z40" s="80">
        <v>514477</v>
      </c>
      <c r="AA40" s="79" t="s">
        <v>477</v>
      </c>
      <c r="AB40" s="79" t="s">
        <v>582</v>
      </c>
      <c r="AC40" s="77" t="s">
        <v>94</v>
      </c>
      <c r="AD40" s="79" t="s">
        <v>1432</v>
      </c>
    </row>
    <row r="41" spans="1:30" x14ac:dyDescent="0.4">
      <c r="A41" s="10" t="s">
        <v>685</v>
      </c>
      <c r="B41" s="77" t="s">
        <v>95</v>
      </c>
      <c r="C41" s="77">
        <f>C40+(BudgetsTable[[#This Row],[lead]]&lt;&gt;K40)</f>
        <v>17</v>
      </c>
      <c r="D41" s="77">
        <f>D40*(BudgetsTable[[#This Row],[lead]]=K40)+(BudgetsTable[[#This Row],[prop_id]]&lt;&gt;A40)</f>
        <v>1</v>
      </c>
      <c r="E41" s="78">
        <v>42934.453472222223</v>
      </c>
      <c r="F41" s="79" t="s">
        <v>1430</v>
      </c>
      <c r="G41" s="79" t="s">
        <v>477</v>
      </c>
      <c r="H41" s="79" t="s">
        <v>582</v>
      </c>
      <c r="I41" s="77" t="s">
        <v>654</v>
      </c>
      <c r="J41" s="77" t="s">
        <v>13</v>
      </c>
      <c r="K41" s="79" t="s">
        <v>685</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0</v>
      </c>
      <c r="R41" s="79">
        <v>0</v>
      </c>
      <c r="S41" s="80">
        <v>0</v>
      </c>
      <c r="T41" s="80">
        <v>0</v>
      </c>
      <c r="U41" s="80">
        <v>0</v>
      </c>
      <c r="V41" s="81">
        <v>91413</v>
      </c>
      <c r="W41" s="79">
        <v>0</v>
      </c>
      <c r="X41" s="79">
        <v>1</v>
      </c>
      <c r="Y41" s="11" t="str">
        <f ca="1">IF(ISBLANK(BudgetsTable[[#This Row],[budg_seq_yr]]),"FY"&amp;fiscalyear,"FY"&amp;fiscalyear-1+BudgetsTable[[#This Row],[budg_seq_yr]])</f>
        <v>FY18</v>
      </c>
      <c r="Z41" s="80">
        <v>91413</v>
      </c>
      <c r="AA41" s="79" t="s">
        <v>477</v>
      </c>
      <c r="AB41" s="79" t="s">
        <v>582</v>
      </c>
      <c r="AC41" s="77" t="s">
        <v>94</v>
      </c>
      <c r="AD41" s="79" t="s">
        <v>1432</v>
      </c>
    </row>
    <row r="42" spans="1:30" x14ac:dyDescent="0.4">
      <c r="A42" s="10" t="s">
        <v>685</v>
      </c>
      <c r="B42" s="77" t="s">
        <v>95</v>
      </c>
      <c r="C42" s="77">
        <f>C41+(BudgetsTable[[#This Row],[lead]]&lt;&gt;K41)</f>
        <v>17</v>
      </c>
      <c r="D42" s="77">
        <f>D41*(BudgetsTable[[#This Row],[lead]]=K41)+(BudgetsTable[[#This Row],[prop_id]]&lt;&gt;A41)</f>
        <v>1</v>
      </c>
      <c r="E42" s="78">
        <v>42934.453472222223</v>
      </c>
      <c r="F42" s="79" t="s">
        <v>1430</v>
      </c>
      <c r="G42" s="79" t="s">
        <v>477</v>
      </c>
      <c r="H42" s="79" t="s">
        <v>582</v>
      </c>
      <c r="I42" s="77" t="s">
        <v>654</v>
      </c>
      <c r="J42" s="77" t="s">
        <v>13</v>
      </c>
      <c r="K42" s="79" t="s">
        <v>685</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0</v>
      </c>
      <c r="T42" s="80">
        <v>0</v>
      </c>
      <c r="U42" s="80">
        <v>0</v>
      </c>
      <c r="V42" s="81">
        <v>113277</v>
      </c>
      <c r="W42" s="79">
        <v>0</v>
      </c>
      <c r="X42" s="79">
        <v>2</v>
      </c>
      <c r="Y42" s="11" t="str">
        <f ca="1">IF(ISBLANK(BudgetsTable[[#This Row],[budg_seq_yr]]),"FY"&amp;fiscalyear,"FY"&amp;fiscalyear-1+BudgetsTable[[#This Row],[budg_seq_yr]])</f>
        <v>FY19</v>
      </c>
      <c r="Z42" s="80">
        <v>113277</v>
      </c>
      <c r="AA42" s="79" t="s">
        <v>477</v>
      </c>
      <c r="AB42" s="79" t="s">
        <v>582</v>
      </c>
      <c r="AC42" s="77" t="s">
        <v>94</v>
      </c>
      <c r="AD42" s="79" t="s">
        <v>1432</v>
      </c>
    </row>
    <row r="43" spans="1:30" x14ac:dyDescent="0.4">
      <c r="A43" s="10" t="s">
        <v>685</v>
      </c>
      <c r="B43" s="77" t="s">
        <v>95</v>
      </c>
      <c r="C43" s="77">
        <f>C42+(BudgetsTable[[#This Row],[lead]]&lt;&gt;K42)</f>
        <v>17</v>
      </c>
      <c r="D43" s="77">
        <f>D42*(BudgetsTable[[#This Row],[lead]]=K42)+(BudgetsTable[[#This Row],[prop_id]]&lt;&gt;A42)</f>
        <v>1</v>
      </c>
      <c r="E43" s="78">
        <v>42934.453472222223</v>
      </c>
      <c r="F43" s="79" t="s">
        <v>1430</v>
      </c>
      <c r="G43" s="79" t="s">
        <v>477</v>
      </c>
      <c r="H43" s="79" t="s">
        <v>582</v>
      </c>
      <c r="I43" s="77" t="s">
        <v>654</v>
      </c>
      <c r="J43" s="77" t="s">
        <v>13</v>
      </c>
      <c r="K43" s="79" t="s">
        <v>685</v>
      </c>
      <c r="L43" s="7" t="str">
        <f>IF(BudgetsTable[[#This Row],[pi_last_name]]=" ","",HYPERLINK("https://www.ejacket.nsf.gov/ej/showProposal.do?Continue=Y&amp;ID="&amp;BudgetsTable[[#This Row],[prop_id]],BudgetsTable[[#This Row],[prop_id]]))</f>
        <v/>
      </c>
      <c r="M43" s="15" t="str">
        <f>IF(BudgetsTable[[#This Row],[pi_last_name]]=" ","",HYPERLINK("https://www.ejacket.nsf.gov/ej/processReviewAnalysis.do?dispatch=add&amp;uniqId="&amp;BudgetsTable[[#This Row],[prop_id]]&amp;PO_id,"&gt;ra"))</f>
        <v/>
      </c>
      <c r="N43" s="79" t="s">
        <v>13</v>
      </c>
      <c r="O43" s="7" t="str">
        <f>IF(BudgetsTable[[#This Row],[pi_last_name]]=" ","",HYPERLINK("mailto:"&amp;BudgetsTable[[#This Row],[pi_email]]&amp;"&amp;subject=Your NSF Proposal:  "&amp;BudgetsTable[[#This Row],[prop_id]],BudgetsTable[[#This Row],[pi_email]]))</f>
        <v/>
      </c>
      <c r="P43" s="79" t="s">
        <v>13</v>
      </c>
      <c r="Q43" s="79">
        <v>1</v>
      </c>
      <c r="R43" s="79">
        <v>2</v>
      </c>
      <c r="S43" s="80">
        <v>0</v>
      </c>
      <c r="T43" s="80">
        <v>0</v>
      </c>
      <c r="U43" s="80">
        <v>0</v>
      </c>
      <c r="V43" s="81">
        <v>100094</v>
      </c>
      <c r="W43" s="79">
        <v>0</v>
      </c>
      <c r="X43" s="79">
        <v>3</v>
      </c>
      <c r="Y43" s="11" t="str">
        <f ca="1">IF(ISBLANK(BudgetsTable[[#This Row],[budg_seq_yr]]),"FY"&amp;fiscalyear,"FY"&amp;fiscalyear-1+BudgetsTable[[#This Row],[budg_seq_yr]])</f>
        <v>FY20</v>
      </c>
      <c r="Z43" s="80">
        <v>100094</v>
      </c>
      <c r="AA43" s="79" t="s">
        <v>477</v>
      </c>
      <c r="AB43" s="79" t="s">
        <v>582</v>
      </c>
      <c r="AC43" s="77" t="s">
        <v>94</v>
      </c>
      <c r="AD43" s="79" t="s">
        <v>1432</v>
      </c>
    </row>
    <row r="44" spans="1:30" x14ac:dyDescent="0.4">
      <c r="A44" s="10" t="s">
        <v>685</v>
      </c>
      <c r="B44" s="77" t="s">
        <v>95</v>
      </c>
      <c r="C44" s="77">
        <f>C43+(BudgetsTable[[#This Row],[lead]]&lt;&gt;K43)</f>
        <v>17</v>
      </c>
      <c r="D44" s="77">
        <f>D43*(BudgetsTable[[#This Row],[lead]]=K43)+(BudgetsTable[[#This Row],[prop_id]]&lt;&gt;A43)</f>
        <v>1</v>
      </c>
      <c r="E44" s="78">
        <v>42934.453472222223</v>
      </c>
      <c r="F44" s="79" t="s">
        <v>1430</v>
      </c>
      <c r="G44" s="79" t="s">
        <v>477</v>
      </c>
      <c r="H44" s="79" t="s">
        <v>582</v>
      </c>
      <c r="I44" s="77" t="s">
        <v>654</v>
      </c>
      <c r="J44" s="77" t="s">
        <v>13</v>
      </c>
      <c r="K44" s="79" t="s">
        <v>685</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1</v>
      </c>
      <c r="R44" s="79">
        <v>2</v>
      </c>
      <c r="S44" s="80">
        <v>0</v>
      </c>
      <c r="T44" s="80">
        <v>0</v>
      </c>
      <c r="U44" s="80">
        <v>0</v>
      </c>
      <c r="V44" s="81">
        <v>103215</v>
      </c>
      <c r="W44" s="79">
        <v>0</v>
      </c>
      <c r="X44" s="79">
        <v>4</v>
      </c>
      <c r="Y44" s="11" t="str">
        <f ca="1">IF(ISBLANK(BudgetsTable[[#This Row],[budg_seq_yr]]),"FY"&amp;fiscalyear,"FY"&amp;fiscalyear-1+BudgetsTable[[#This Row],[budg_seq_yr]])</f>
        <v>FY21</v>
      </c>
      <c r="Z44" s="80">
        <v>103215</v>
      </c>
      <c r="AA44" s="79" t="s">
        <v>477</v>
      </c>
      <c r="AB44" s="79" t="s">
        <v>582</v>
      </c>
      <c r="AC44" s="77" t="s">
        <v>94</v>
      </c>
      <c r="AD44" s="79" t="s">
        <v>1432</v>
      </c>
    </row>
    <row r="45" spans="1:30" x14ac:dyDescent="0.4">
      <c r="A45" s="10" t="s">
        <v>685</v>
      </c>
      <c r="B45" s="77" t="s">
        <v>95</v>
      </c>
      <c r="C45" s="77">
        <f>C44+(BudgetsTable[[#This Row],[lead]]&lt;&gt;K44)</f>
        <v>17</v>
      </c>
      <c r="D45" s="77">
        <f>D44*(BudgetsTable[[#This Row],[lead]]=K44)+(BudgetsTable[[#This Row],[prop_id]]&lt;&gt;A44)</f>
        <v>1</v>
      </c>
      <c r="E45" s="78">
        <v>42934.453472222223</v>
      </c>
      <c r="F45" s="79" t="s">
        <v>1430</v>
      </c>
      <c r="G45" s="79" t="s">
        <v>477</v>
      </c>
      <c r="H45" s="79" t="s">
        <v>582</v>
      </c>
      <c r="I45" s="77" t="s">
        <v>654</v>
      </c>
      <c r="J45" s="77" t="s">
        <v>13</v>
      </c>
      <c r="K45" s="79" t="s">
        <v>685</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1</v>
      </c>
      <c r="R45" s="79">
        <v>2</v>
      </c>
      <c r="S45" s="80">
        <v>0</v>
      </c>
      <c r="T45" s="80">
        <v>0</v>
      </c>
      <c r="U45" s="80">
        <v>0</v>
      </c>
      <c r="V45" s="81">
        <v>106478</v>
      </c>
      <c r="W45" s="79">
        <v>0</v>
      </c>
      <c r="X45" s="79">
        <v>5</v>
      </c>
      <c r="Y45" s="11" t="str">
        <f ca="1">IF(ISBLANK(BudgetsTable[[#This Row],[budg_seq_yr]]),"FY"&amp;fiscalyear,"FY"&amp;fiscalyear-1+BudgetsTable[[#This Row],[budg_seq_yr]])</f>
        <v>FY22</v>
      </c>
      <c r="Z45" s="80">
        <v>106478</v>
      </c>
      <c r="AA45" s="79" t="s">
        <v>477</v>
      </c>
      <c r="AB45" s="79" t="s">
        <v>582</v>
      </c>
      <c r="AC45" s="77" t="s">
        <v>94</v>
      </c>
      <c r="AD45" s="79" t="s">
        <v>1432</v>
      </c>
    </row>
    <row r="46" spans="1:30" x14ac:dyDescent="0.4">
      <c r="A46" s="10" t="s">
        <v>702</v>
      </c>
      <c r="B46" s="77" t="s">
        <v>95</v>
      </c>
      <c r="C46" s="77">
        <f>C45+(BudgetsTable[[#This Row],[lead]]&lt;&gt;K45)</f>
        <v>18</v>
      </c>
      <c r="D46" s="77">
        <f>D45*(BudgetsTable[[#This Row],[lead]]=K45)+(BudgetsTable[[#This Row],[prop_id]]&lt;&gt;A45)</f>
        <v>1</v>
      </c>
      <c r="E46" s="78">
        <v>42934.507638888892</v>
      </c>
      <c r="F46" s="79" t="s">
        <v>1430</v>
      </c>
      <c r="G46" s="79" t="s">
        <v>477</v>
      </c>
      <c r="H46" s="79" t="s">
        <v>582</v>
      </c>
      <c r="I46" s="77" t="s">
        <v>654</v>
      </c>
      <c r="J46" s="77" t="s">
        <v>1468</v>
      </c>
      <c r="K46" s="79" t="s">
        <v>702</v>
      </c>
      <c r="L46" s="7" t="str">
        <f>IF(BudgetsTable[[#This Row],[pi_last_name]]=" ","",HYPERLINK("https://www.ejacket.nsf.gov/ej/showProposal.do?Continue=Y&amp;ID="&amp;BudgetsTable[[#This Row],[prop_id]],BudgetsTable[[#This Row],[prop_id]]))</f>
        <v>1749734</v>
      </c>
      <c r="M46" s="15" t="e">
        <f>IF(BudgetsTable[[#This Row],[pi_last_name]]=" ","",HYPERLINK("https://www.ejacket.nsf.gov/ej/processReviewAnalysis.do?dispatch=add&amp;uniqId="&amp;BudgetsTable[[#This Row],[prop_id]]&amp;PO_id,"&gt;ra"))</f>
        <v>#REF!</v>
      </c>
      <c r="N46" s="79" t="s">
        <v>703</v>
      </c>
      <c r="O46" s="7" t="str">
        <f>IF(BudgetsTable[[#This Row],[pi_last_name]]=" ","",HYPERLINK("mailto:"&amp;BudgetsTable[[#This Row],[pi_email]]&amp;"&amp;subject=Your NSF Proposal:  "&amp;BudgetsTable[[#This Row],[prop_id]],BudgetsTable[[#This Row],[pi_email]]))</f>
        <v>sidford@stanford.edu</v>
      </c>
      <c r="P46" s="79" t="s">
        <v>1465</v>
      </c>
      <c r="Q46" s="79"/>
      <c r="R46" s="79"/>
      <c r="S46" s="80"/>
      <c r="T46" s="80"/>
      <c r="U46" s="80"/>
      <c r="V46" s="81"/>
      <c r="W46" s="79">
        <v>0</v>
      </c>
      <c r="X46" s="79"/>
      <c r="Y46" s="11" t="str">
        <f ca="1">IF(ISBLANK(BudgetsTable[[#This Row],[budg_seq_yr]]),"FY"&amp;fiscalyear,"FY"&amp;fiscalyear-1+BudgetsTable[[#This Row],[budg_seq_yr]])</f>
        <v>FY18</v>
      </c>
      <c r="Z46" s="80">
        <v>500000</v>
      </c>
      <c r="AA46" s="79" t="s">
        <v>477</v>
      </c>
      <c r="AB46" s="79" t="s">
        <v>582</v>
      </c>
      <c r="AC46" s="77" t="s">
        <v>94</v>
      </c>
      <c r="AD46" s="79" t="s">
        <v>584</v>
      </c>
    </row>
    <row r="47" spans="1:30" x14ac:dyDescent="0.4">
      <c r="A47" s="10" t="s">
        <v>702</v>
      </c>
      <c r="B47" s="77" t="s">
        <v>95</v>
      </c>
      <c r="C47" s="77">
        <f>C46+(BudgetsTable[[#This Row],[lead]]&lt;&gt;K46)</f>
        <v>18</v>
      </c>
      <c r="D47" s="77">
        <f>D46*(BudgetsTable[[#This Row],[lead]]=K46)+(BudgetsTable[[#This Row],[prop_id]]&lt;&gt;A46)</f>
        <v>1</v>
      </c>
      <c r="E47" s="78">
        <v>42934.507638888892</v>
      </c>
      <c r="F47" s="79" t="s">
        <v>1430</v>
      </c>
      <c r="G47" s="79" t="s">
        <v>477</v>
      </c>
      <c r="H47" s="79" t="s">
        <v>582</v>
      </c>
      <c r="I47" s="77" t="s">
        <v>654</v>
      </c>
      <c r="J47" s="77" t="s">
        <v>13</v>
      </c>
      <c r="K47" s="79" t="s">
        <v>702</v>
      </c>
      <c r="L47" s="7" t="str">
        <f>IF(BudgetsTable[[#This Row],[pi_last_name]]=" ","",HYPERLINK("https://www.ejacket.nsf.gov/ej/showProposal.do?Continue=Y&amp;ID="&amp;BudgetsTable[[#This Row],[prop_id]],BudgetsTable[[#This Row],[prop_id]]))</f>
        <v/>
      </c>
      <c r="M47" s="15" t="str">
        <f>IF(BudgetsTable[[#This Row],[pi_last_name]]=" ","",HYPERLINK("https://www.ejacket.nsf.gov/ej/processReviewAnalysis.do?dispatch=add&amp;uniqId="&amp;BudgetsTable[[#This Row],[prop_id]]&amp;PO_id,"&gt;ra"))</f>
        <v/>
      </c>
      <c r="N47" s="79" t="s">
        <v>13</v>
      </c>
      <c r="O47" s="7" t="str">
        <f>IF(BudgetsTable[[#This Row],[pi_last_name]]=" ","",HYPERLINK("mailto:"&amp;BudgetsTable[[#This Row],[pi_email]]&amp;"&amp;subject=Your NSF Proposal:  "&amp;BudgetsTable[[#This Row],[prop_id]],BudgetsTable[[#This Row],[pi_email]]))</f>
        <v/>
      </c>
      <c r="P47" s="79" t="s">
        <v>13</v>
      </c>
      <c r="Q47" s="79">
        <v>1</v>
      </c>
      <c r="R47" s="79">
        <v>1.35</v>
      </c>
      <c r="S47" s="80">
        <v>0</v>
      </c>
      <c r="T47" s="80">
        <v>0</v>
      </c>
      <c r="U47" s="80">
        <v>1500</v>
      </c>
      <c r="V47" s="81">
        <v>94388</v>
      </c>
      <c r="W47" s="79">
        <v>0</v>
      </c>
      <c r="X47" s="79">
        <v>1</v>
      </c>
      <c r="Y47" s="11" t="str">
        <f ca="1">IF(ISBLANK(BudgetsTable[[#This Row],[budg_seq_yr]]),"FY"&amp;fiscalyear,"FY"&amp;fiscalyear-1+BudgetsTable[[#This Row],[budg_seq_yr]])</f>
        <v>FY18</v>
      </c>
      <c r="Z47" s="80">
        <v>94388</v>
      </c>
      <c r="AA47" s="79" t="s">
        <v>477</v>
      </c>
      <c r="AB47" s="79" t="s">
        <v>582</v>
      </c>
      <c r="AC47" s="77" t="s">
        <v>94</v>
      </c>
      <c r="AD47" s="79" t="s">
        <v>584</v>
      </c>
    </row>
    <row r="48" spans="1:30" x14ac:dyDescent="0.4">
      <c r="A48" s="10" t="s">
        <v>702</v>
      </c>
      <c r="B48" s="77" t="s">
        <v>95</v>
      </c>
      <c r="C48" s="77">
        <f>C47+(BudgetsTable[[#This Row],[lead]]&lt;&gt;K47)</f>
        <v>18</v>
      </c>
      <c r="D48" s="77">
        <f>D47*(BudgetsTable[[#This Row],[lead]]=K47)+(BudgetsTable[[#This Row],[prop_id]]&lt;&gt;A47)</f>
        <v>1</v>
      </c>
      <c r="E48" s="78">
        <v>42934.507638888892</v>
      </c>
      <c r="F48" s="79" t="s">
        <v>1430</v>
      </c>
      <c r="G48" s="79" t="s">
        <v>477</v>
      </c>
      <c r="H48" s="79" t="s">
        <v>582</v>
      </c>
      <c r="I48" s="77" t="s">
        <v>654</v>
      </c>
      <c r="J48" s="77" t="s">
        <v>13</v>
      </c>
      <c r="K48" s="79" t="s">
        <v>702</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1.35</v>
      </c>
      <c r="S48" s="80">
        <v>0</v>
      </c>
      <c r="T48" s="80">
        <v>0</v>
      </c>
      <c r="U48" s="80">
        <v>1500</v>
      </c>
      <c r="V48" s="81">
        <v>97104</v>
      </c>
      <c r="W48" s="79">
        <v>0</v>
      </c>
      <c r="X48" s="79">
        <v>2</v>
      </c>
      <c r="Y48" s="11" t="str">
        <f ca="1">IF(ISBLANK(BudgetsTable[[#This Row],[budg_seq_yr]]),"FY"&amp;fiscalyear,"FY"&amp;fiscalyear-1+BudgetsTable[[#This Row],[budg_seq_yr]])</f>
        <v>FY19</v>
      </c>
      <c r="Z48" s="80">
        <v>97104</v>
      </c>
      <c r="AA48" s="79" t="s">
        <v>477</v>
      </c>
      <c r="AB48" s="79" t="s">
        <v>582</v>
      </c>
      <c r="AC48" s="77" t="s">
        <v>94</v>
      </c>
      <c r="AD48" s="79" t="s">
        <v>584</v>
      </c>
    </row>
    <row r="49" spans="1:30" x14ac:dyDescent="0.4">
      <c r="A49" s="10" t="s">
        <v>702</v>
      </c>
      <c r="B49" s="77" t="s">
        <v>95</v>
      </c>
      <c r="C49" s="77">
        <f>C48+(BudgetsTable[[#This Row],[lead]]&lt;&gt;K48)</f>
        <v>18</v>
      </c>
      <c r="D49" s="77">
        <f>D48*(BudgetsTable[[#This Row],[lead]]=K48)+(BudgetsTable[[#This Row],[prop_id]]&lt;&gt;A48)</f>
        <v>1</v>
      </c>
      <c r="E49" s="78">
        <v>42934.507638888892</v>
      </c>
      <c r="F49" s="79" t="s">
        <v>1430</v>
      </c>
      <c r="G49" s="79" t="s">
        <v>477</v>
      </c>
      <c r="H49" s="79" t="s">
        <v>582</v>
      </c>
      <c r="I49" s="77" t="s">
        <v>654</v>
      </c>
      <c r="J49" s="77" t="s">
        <v>13</v>
      </c>
      <c r="K49" s="79" t="s">
        <v>702</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1.35</v>
      </c>
      <c r="S49" s="80">
        <v>0</v>
      </c>
      <c r="T49" s="80">
        <v>0</v>
      </c>
      <c r="U49" s="80">
        <v>1500</v>
      </c>
      <c r="V49" s="81">
        <v>99911</v>
      </c>
      <c r="W49" s="79">
        <v>0</v>
      </c>
      <c r="X49" s="79">
        <v>3</v>
      </c>
      <c r="Y49" s="11" t="str">
        <f ca="1">IF(ISBLANK(BudgetsTable[[#This Row],[budg_seq_yr]]),"FY"&amp;fiscalyear,"FY"&amp;fiscalyear-1+BudgetsTable[[#This Row],[budg_seq_yr]])</f>
        <v>FY20</v>
      </c>
      <c r="Z49" s="80">
        <v>99911</v>
      </c>
      <c r="AA49" s="79" t="s">
        <v>477</v>
      </c>
      <c r="AB49" s="79" t="s">
        <v>582</v>
      </c>
      <c r="AC49" s="77" t="s">
        <v>94</v>
      </c>
      <c r="AD49" s="79" t="s">
        <v>584</v>
      </c>
    </row>
    <row r="50" spans="1:30" x14ac:dyDescent="0.4">
      <c r="A50" s="10" t="s">
        <v>702</v>
      </c>
      <c r="B50" s="77" t="s">
        <v>95</v>
      </c>
      <c r="C50" s="77">
        <f>C49+(BudgetsTable[[#This Row],[lead]]&lt;&gt;K49)</f>
        <v>18</v>
      </c>
      <c r="D50" s="77">
        <f>D49*(BudgetsTable[[#This Row],[lead]]=K49)+(BudgetsTable[[#This Row],[prop_id]]&lt;&gt;A49)</f>
        <v>1</v>
      </c>
      <c r="E50" s="78">
        <v>42934.507638888892</v>
      </c>
      <c r="F50" s="79" t="s">
        <v>1430</v>
      </c>
      <c r="G50" s="79" t="s">
        <v>477</v>
      </c>
      <c r="H50" s="79" t="s">
        <v>582</v>
      </c>
      <c r="I50" s="77" t="s">
        <v>654</v>
      </c>
      <c r="J50" s="77" t="s">
        <v>13</v>
      </c>
      <c r="K50" s="79" t="s">
        <v>702</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1.35</v>
      </c>
      <c r="S50" s="80">
        <v>0</v>
      </c>
      <c r="T50" s="80">
        <v>0</v>
      </c>
      <c r="U50" s="80">
        <v>1500</v>
      </c>
      <c r="V50" s="81">
        <v>102803</v>
      </c>
      <c r="W50" s="79">
        <v>0</v>
      </c>
      <c r="X50" s="79">
        <v>4</v>
      </c>
      <c r="Y50" s="11" t="str">
        <f ca="1">IF(ISBLANK(BudgetsTable[[#This Row],[budg_seq_yr]]),"FY"&amp;fiscalyear,"FY"&amp;fiscalyear-1+BudgetsTable[[#This Row],[budg_seq_yr]])</f>
        <v>FY21</v>
      </c>
      <c r="Z50" s="80">
        <v>102803</v>
      </c>
      <c r="AA50" s="79" t="s">
        <v>477</v>
      </c>
      <c r="AB50" s="79" t="s">
        <v>582</v>
      </c>
      <c r="AC50" s="77" t="s">
        <v>94</v>
      </c>
      <c r="AD50" s="79" t="s">
        <v>584</v>
      </c>
    </row>
    <row r="51" spans="1:30" x14ac:dyDescent="0.4">
      <c r="A51" s="10" t="s">
        <v>702</v>
      </c>
      <c r="B51" s="77" t="s">
        <v>95</v>
      </c>
      <c r="C51" s="77">
        <f>C50+(BudgetsTable[[#This Row],[lead]]&lt;&gt;K50)</f>
        <v>18</v>
      </c>
      <c r="D51" s="77">
        <f>D50*(BudgetsTable[[#This Row],[lead]]=K50)+(BudgetsTable[[#This Row],[prop_id]]&lt;&gt;A50)</f>
        <v>1</v>
      </c>
      <c r="E51" s="78">
        <v>42934.507638888892</v>
      </c>
      <c r="F51" s="79" t="s">
        <v>1430</v>
      </c>
      <c r="G51" s="79" t="s">
        <v>477</v>
      </c>
      <c r="H51" s="79" t="s">
        <v>582</v>
      </c>
      <c r="I51" s="77" t="s">
        <v>654</v>
      </c>
      <c r="J51" s="77" t="s">
        <v>13</v>
      </c>
      <c r="K51" s="79" t="s">
        <v>702</v>
      </c>
      <c r="L51" s="7" t="str">
        <f>IF(BudgetsTable[[#This Row],[pi_last_name]]=" ","",HYPERLINK("https://www.ejacket.nsf.gov/ej/showProposal.do?Continue=Y&amp;ID="&amp;BudgetsTable[[#This Row],[prop_id]],BudgetsTable[[#This Row],[prop_id]]))</f>
        <v/>
      </c>
      <c r="M51" s="15" t="str">
        <f>IF(BudgetsTable[[#This Row],[pi_last_name]]=" ","",HYPERLINK("https://www.ejacket.nsf.gov/ej/processReviewAnalysis.do?dispatch=add&amp;uniqId="&amp;BudgetsTable[[#This Row],[prop_id]]&amp;PO_id,"&gt;ra"))</f>
        <v/>
      </c>
      <c r="N51" s="79" t="s">
        <v>13</v>
      </c>
      <c r="O51" s="7" t="str">
        <f>IF(BudgetsTable[[#This Row],[pi_last_name]]=" ","",HYPERLINK("mailto:"&amp;BudgetsTable[[#This Row],[pi_email]]&amp;"&amp;subject=Your NSF Proposal:  "&amp;BudgetsTable[[#This Row],[prop_id]],BudgetsTable[[#This Row],[pi_email]]))</f>
        <v/>
      </c>
      <c r="P51" s="79" t="s">
        <v>13</v>
      </c>
      <c r="Q51" s="79">
        <v>1</v>
      </c>
      <c r="R51" s="79">
        <v>1.35</v>
      </c>
      <c r="S51" s="80">
        <v>0</v>
      </c>
      <c r="T51" s="80">
        <v>0</v>
      </c>
      <c r="U51" s="80">
        <v>1500</v>
      </c>
      <c r="V51" s="81">
        <v>105794</v>
      </c>
      <c r="W51" s="79">
        <v>0</v>
      </c>
      <c r="X51" s="79">
        <v>5</v>
      </c>
      <c r="Y51" s="11" t="str">
        <f ca="1">IF(ISBLANK(BudgetsTable[[#This Row],[budg_seq_yr]]),"FY"&amp;fiscalyear,"FY"&amp;fiscalyear-1+BudgetsTable[[#This Row],[budg_seq_yr]])</f>
        <v>FY22</v>
      </c>
      <c r="Z51" s="80">
        <v>105794</v>
      </c>
      <c r="AA51" s="79" t="s">
        <v>477</v>
      </c>
      <c r="AB51" s="79" t="s">
        <v>582</v>
      </c>
      <c r="AC51" s="77" t="s">
        <v>94</v>
      </c>
      <c r="AD51" s="79" t="s">
        <v>584</v>
      </c>
    </row>
    <row r="52" spans="1:30" x14ac:dyDescent="0.4">
      <c r="A52" s="10" t="s">
        <v>712</v>
      </c>
      <c r="B52" s="77" t="s">
        <v>95</v>
      </c>
      <c r="C52" s="77">
        <f>C51+(BudgetsTable[[#This Row],[lead]]&lt;&gt;K51)</f>
        <v>19</v>
      </c>
      <c r="D52" s="77">
        <f>D51*(BudgetsTable[[#This Row],[lead]]=K51)+(BudgetsTable[[#This Row],[prop_id]]&lt;&gt;A51)</f>
        <v>1</v>
      </c>
      <c r="E52" s="78">
        <v>42934.524305555555</v>
      </c>
      <c r="F52" s="79" t="s">
        <v>1430</v>
      </c>
      <c r="G52" s="79" t="s">
        <v>477</v>
      </c>
      <c r="H52" s="79" t="s">
        <v>582</v>
      </c>
      <c r="I52" s="77" t="s">
        <v>611</v>
      </c>
      <c r="J52" s="77" t="s">
        <v>1475</v>
      </c>
      <c r="K52" s="79" t="s">
        <v>712</v>
      </c>
      <c r="L52" s="7" t="str">
        <f>IF(BudgetsTable[[#This Row],[pi_last_name]]=" ","",HYPERLINK("https://www.ejacket.nsf.gov/ej/showProposal.do?Continue=Y&amp;ID="&amp;BudgetsTable[[#This Row],[prop_id]],BudgetsTable[[#This Row],[prop_id]]))</f>
        <v>1749747</v>
      </c>
      <c r="M52" s="15" t="e">
        <f>IF(BudgetsTable[[#This Row],[pi_last_name]]=" ","",HYPERLINK("https://www.ejacket.nsf.gov/ej/processReviewAnalysis.do?dispatch=add&amp;uniqId="&amp;BudgetsTable[[#This Row],[prop_id]]&amp;PO_id,"&gt;ra"))</f>
        <v>#REF!</v>
      </c>
      <c r="N52" s="79" t="s">
        <v>713</v>
      </c>
      <c r="O52" s="7" t="str">
        <f>IF(BudgetsTable[[#This Row],[pi_last_name]]=" ","",HYPERLINK("mailto:"&amp;BudgetsTable[[#This Row],[pi_email]]&amp;"&amp;subject=Your NSF Proposal:  "&amp;BudgetsTable[[#This Row],[prop_id]],BudgetsTable[[#This Row],[pi_email]]))</f>
        <v>omri@cs.columbia.edu</v>
      </c>
      <c r="P52" s="79" t="s">
        <v>1472</v>
      </c>
      <c r="Q52" s="79"/>
      <c r="R52" s="79"/>
      <c r="S52" s="80"/>
      <c r="T52" s="80"/>
      <c r="U52" s="80"/>
      <c r="V52" s="81"/>
      <c r="W52" s="79">
        <v>0</v>
      </c>
      <c r="X52" s="79"/>
      <c r="Y52" s="11" t="str">
        <f ca="1">IF(ISBLANK(BudgetsTable[[#This Row],[budg_seq_yr]]),"FY"&amp;fiscalyear,"FY"&amp;fiscalyear-1+BudgetsTable[[#This Row],[budg_seq_yr]])</f>
        <v>FY18</v>
      </c>
      <c r="Z52" s="80">
        <v>400000</v>
      </c>
      <c r="AA52" s="79" t="s">
        <v>477</v>
      </c>
      <c r="AB52" s="79" t="s">
        <v>582</v>
      </c>
      <c r="AC52" s="77" t="s">
        <v>94</v>
      </c>
      <c r="AD52" s="79" t="s">
        <v>1469</v>
      </c>
    </row>
    <row r="53" spans="1:30" x14ac:dyDescent="0.4">
      <c r="A53" s="10" t="s">
        <v>712</v>
      </c>
      <c r="B53" s="77" t="s">
        <v>95</v>
      </c>
      <c r="C53" s="77">
        <f>C52+(BudgetsTable[[#This Row],[lead]]&lt;&gt;K52)</f>
        <v>19</v>
      </c>
      <c r="D53" s="77">
        <f>D52*(BudgetsTable[[#This Row],[lead]]=K52)+(BudgetsTable[[#This Row],[prop_id]]&lt;&gt;A52)</f>
        <v>1</v>
      </c>
      <c r="E53" s="78">
        <v>42934.524305555555</v>
      </c>
      <c r="F53" s="79" t="s">
        <v>1430</v>
      </c>
      <c r="G53" s="79" t="s">
        <v>477</v>
      </c>
      <c r="H53" s="79" t="s">
        <v>582</v>
      </c>
      <c r="I53" s="77" t="s">
        <v>611</v>
      </c>
      <c r="J53" s="77" t="s">
        <v>13</v>
      </c>
      <c r="K53" s="79" t="s">
        <v>712</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1</v>
      </c>
      <c r="R53" s="79">
        <v>1</v>
      </c>
      <c r="S53" s="80">
        <v>0</v>
      </c>
      <c r="T53" s="80">
        <v>0</v>
      </c>
      <c r="U53" s="80">
        <v>0</v>
      </c>
      <c r="V53" s="81">
        <v>34924</v>
      </c>
      <c r="W53" s="79">
        <v>0</v>
      </c>
      <c r="X53" s="79">
        <v>1</v>
      </c>
      <c r="Y53" s="11" t="str">
        <f ca="1">IF(ISBLANK(BudgetsTable[[#This Row],[budg_seq_yr]]),"FY"&amp;fiscalyear,"FY"&amp;fiscalyear-1+BudgetsTable[[#This Row],[budg_seq_yr]])</f>
        <v>FY18</v>
      </c>
      <c r="Z53" s="80">
        <v>34924</v>
      </c>
      <c r="AA53" s="79" t="s">
        <v>477</v>
      </c>
      <c r="AB53" s="79" t="s">
        <v>582</v>
      </c>
      <c r="AC53" s="77" t="s">
        <v>94</v>
      </c>
      <c r="AD53" s="79" t="s">
        <v>1469</v>
      </c>
    </row>
    <row r="54" spans="1:30" x14ac:dyDescent="0.4">
      <c r="A54" s="10" t="s">
        <v>712</v>
      </c>
      <c r="B54" s="77" t="s">
        <v>95</v>
      </c>
      <c r="C54" s="77">
        <f>C53+(BudgetsTable[[#This Row],[lead]]&lt;&gt;K53)</f>
        <v>19</v>
      </c>
      <c r="D54" s="77">
        <f>D53*(BudgetsTable[[#This Row],[lead]]=K53)+(BudgetsTable[[#This Row],[prop_id]]&lt;&gt;A53)</f>
        <v>1</v>
      </c>
      <c r="E54" s="78">
        <v>42934.524305555555</v>
      </c>
      <c r="F54" s="79" t="s">
        <v>1430</v>
      </c>
      <c r="G54" s="79" t="s">
        <v>477</v>
      </c>
      <c r="H54" s="79" t="s">
        <v>582</v>
      </c>
      <c r="I54" s="77" t="s">
        <v>611</v>
      </c>
      <c r="J54" s="77" t="s">
        <v>13</v>
      </c>
      <c r="K54" s="79" t="s">
        <v>712</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1</v>
      </c>
      <c r="R54" s="79">
        <v>0</v>
      </c>
      <c r="S54" s="80">
        <v>0</v>
      </c>
      <c r="T54" s="80">
        <v>0</v>
      </c>
      <c r="U54" s="80">
        <v>0</v>
      </c>
      <c r="V54" s="81">
        <v>111068</v>
      </c>
      <c r="W54" s="79">
        <v>0</v>
      </c>
      <c r="X54" s="79">
        <v>2</v>
      </c>
      <c r="Y54" s="11" t="str">
        <f ca="1">IF(ISBLANK(BudgetsTable[[#This Row],[budg_seq_yr]]),"FY"&amp;fiscalyear,"FY"&amp;fiscalyear-1+BudgetsTable[[#This Row],[budg_seq_yr]])</f>
        <v>FY19</v>
      </c>
      <c r="Z54" s="80">
        <v>111068</v>
      </c>
      <c r="AA54" s="79" t="s">
        <v>477</v>
      </c>
      <c r="AB54" s="79" t="s">
        <v>582</v>
      </c>
      <c r="AC54" s="77" t="s">
        <v>94</v>
      </c>
      <c r="AD54" s="79" t="s">
        <v>1469</v>
      </c>
    </row>
    <row r="55" spans="1:30" x14ac:dyDescent="0.4">
      <c r="A55" s="10" t="s">
        <v>712</v>
      </c>
      <c r="B55" s="77" t="s">
        <v>95</v>
      </c>
      <c r="C55" s="77">
        <f>C54+(BudgetsTable[[#This Row],[lead]]&lt;&gt;K54)</f>
        <v>19</v>
      </c>
      <c r="D55" s="77">
        <f>D54*(BudgetsTable[[#This Row],[lead]]=K54)+(BudgetsTable[[#This Row],[prop_id]]&lt;&gt;A54)</f>
        <v>1</v>
      </c>
      <c r="E55" s="78">
        <v>42934.524305555555</v>
      </c>
      <c r="F55" s="79" t="s">
        <v>1430</v>
      </c>
      <c r="G55" s="79" t="s">
        <v>477</v>
      </c>
      <c r="H55" s="79" t="s">
        <v>582</v>
      </c>
      <c r="I55" s="77" t="s">
        <v>611</v>
      </c>
      <c r="J55" s="77" t="s">
        <v>13</v>
      </c>
      <c r="K55" s="79" t="s">
        <v>712</v>
      </c>
      <c r="L55" s="7" t="str">
        <f>IF(BudgetsTable[[#This Row],[pi_last_name]]=" ","",HYPERLINK("https://www.ejacket.nsf.gov/ej/showProposal.do?Continue=Y&amp;ID="&amp;BudgetsTable[[#This Row],[prop_id]],BudgetsTable[[#This Row],[prop_id]]))</f>
        <v/>
      </c>
      <c r="M55" s="15" t="str">
        <f>IF(BudgetsTable[[#This Row],[pi_last_name]]=" ","",HYPERLINK("https://www.ejacket.nsf.gov/ej/processReviewAnalysis.do?dispatch=add&amp;uniqId="&amp;BudgetsTable[[#This Row],[prop_id]]&amp;PO_id,"&gt;ra"))</f>
        <v/>
      </c>
      <c r="N55" s="79" t="s">
        <v>13</v>
      </c>
      <c r="O55" s="7" t="str">
        <f>IF(BudgetsTable[[#This Row],[pi_last_name]]=" ","",HYPERLINK("mailto:"&amp;BudgetsTable[[#This Row],[pi_email]]&amp;"&amp;subject=Your NSF Proposal:  "&amp;BudgetsTable[[#This Row],[prop_id]],BudgetsTable[[#This Row],[pi_email]]))</f>
        <v/>
      </c>
      <c r="P55" s="79" t="s">
        <v>13</v>
      </c>
      <c r="Q55" s="79">
        <v>1</v>
      </c>
      <c r="R55" s="79">
        <v>0</v>
      </c>
      <c r="S55" s="80">
        <v>0</v>
      </c>
      <c r="T55" s="80">
        <v>0</v>
      </c>
      <c r="U55" s="80">
        <v>0</v>
      </c>
      <c r="V55" s="81">
        <v>114521</v>
      </c>
      <c r="W55" s="79">
        <v>0</v>
      </c>
      <c r="X55" s="79">
        <v>3</v>
      </c>
      <c r="Y55" s="11" t="str">
        <f ca="1">IF(ISBLANK(BudgetsTable[[#This Row],[budg_seq_yr]]),"FY"&amp;fiscalyear,"FY"&amp;fiscalyear-1+BudgetsTable[[#This Row],[budg_seq_yr]])</f>
        <v>FY20</v>
      </c>
      <c r="Z55" s="80">
        <v>114521</v>
      </c>
      <c r="AA55" s="79" t="s">
        <v>477</v>
      </c>
      <c r="AB55" s="79" t="s">
        <v>582</v>
      </c>
      <c r="AC55" s="77" t="s">
        <v>94</v>
      </c>
      <c r="AD55" s="79" t="s">
        <v>1469</v>
      </c>
    </row>
    <row r="56" spans="1:30" x14ac:dyDescent="0.4">
      <c r="A56" s="10" t="s">
        <v>712</v>
      </c>
      <c r="B56" s="77" t="s">
        <v>95</v>
      </c>
      <c r="C56" s="77">
        <f>C55+(BudgetsTable[[#This Row],[lead]]&lt;&gt;K55)</f>
        <v>19</v>
      </c>
      <c r="D56" s="77">
        <f>D55*(BudgetsTable[[#This Row],[lead]]=K55)+(BudgetsTable[[#This Row],[prop_id]]&lt;&gt;A55)</f>
        <v>1</v>
      </c>
      <c r="E56" s="78">
        <v>42934.524305555555</v>
      </c>
      <c r="F56" s="79" t="s">
        <v>1430</v>
      </c>
      <c r="G56" s="79" t="s">
        <v>477</v>
      </c>
      <c r="H56" s="79" t="s">
        <v>582</v>
      </c>
      <c r="I56" s="77" t="s">
        <v>611</v>
      </c>
      <c r="J56" s="77" t="s">
        <v>13</v>
      </c>
      <c r="K56" s="79" t="s">
        <v>712</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1</v>
      </c>
      <c r="R56" s="79">
        <v>0</v>
      </c>
      <c r="S56" s="80">
        <v>0</v>
      </c>
      <c r="T56" s="80">
        <v>0</v>
      </c>
      <c r="U56" s="80">
        <v>0</v>
      </c>
      <c r="V56" s="81">
        <v>118710</v>
      </c>
      <c r="W56" s="79">
        <v>0</v>
      </c>
      <c r="X56" s="79">
        <v>4</v>
      </c>
      <c r="Y56" s="11" t="str">
        <f ca="1">IF(ISBLANK(BudgetsTable[[#This Row],[budg_seq_yr]]),"FY"&amp;fiscalyear,"FY"&amp;fiscalyear-1+BudgetsTable[[#This Row],[budg_seq_yr]])</f>
        <v>FY21</v>
      </c>
      <c r="Z56" s="80">
        <v>118710</v>
      </c>
      <c r="AA56" s="79" t="s">
        <v>477</v>
      </c>
      <c r="AB56" s="79" t="s">
        <v>582</v>
      </c>
      <c r="AC56" s="77" t="s">
        <v>94</v>
      </c>
      <c r="AD56" s="79" t="s">
        <v>1469</v>
      </c>
    </row>
    <row r="57" spans="1:30" x14ac:dyDescent="0.4">
      <c r="A57" s="10" t="s">
        <v>712</v>
      </c>
      <c r="B57" s="77" t="s">
        <v>95</v>
      </c>
      <c r="C57" s="77">
        <f>C56+(BudgetsTable[[#This Row],[lead]]&lt;&gt;K56)</f>
        <v>19</v>
      </c>
      <c r="D57" s="77">
        <f>D56*(BudgetsTable[[#This Row],[lead]]=K56)+(BudgetsTable[[#This Row],[prop_id]]&lt;&gt;A56)</f>
        <v>1</v>
      </c>
      <c r="E57" s="78">
        <v>42934.524305555555</v>
      </c>
      <c r="F57" s="79" t="s">
        <v>1430</v>
      </c>
      <c r="G57" s="79" t="s">
        <v>477</v>
      </c>
      <c r="H57" s="79" t="s">
        <v>582</v>
      </c>
      <c r="I57" s="77" t="s">
        <v>611</v>
      </c>
      <c r="J57" s="77" t="s">
        <v>13</v>
      </c>
      <c r="K57" s="79" t="s">
        <v>712</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1</v>
      </c>
      <c r="R57" s="79">
        <v>0</v>
      </c>
      <c r="S57" s="80">
        <v>0</v>
      </c>
      <c r="T57" s="80">
        <v>0</v>
      </c>
      <c r="U57" s="80">
        <v>0</v>
      </c>
      <c r="V57" s="81">
        <v>20777</v>
      </c>
      <c r="W57" s="79">
        <v>0</v>
      </c>
      <c r="X57" s="79">
        <v>5</v>
      </c>
      <c r="Y57" s="11" t="str">
        <f ca="1">IF(ISBLANK(BudgetsTable[[#This Row],[budg_seq_yr]]),"FY"&amp;fiscalyear,"FY"&amp;fiscalyear-1+BudgetsTable[[#This Row],[budg_seq_yr]])</f>
        <v>FY22</v>
      </c>
      <c r="Z57" s="80">
        <v>20777</v>
      </c>
      <c r="AA57" s="79" t="s">
        <v>477</v>
      </c>
      <c r="AB57" s="79" t="s">
        <v>582</v>
      </c>
      <c r="AC57" s="77" t="s">
        <v>94</v>
      </c>
      <c r="AD57" s="79" t="s">
        <v>1469</v>
      </c>
    </row>
    <row r="58" spans="1:30" x14ac:dyDescent="0.4">
      <c r="A58" s="10" t="s">
        <v>733</v>
      </c>
      <c r="B58" s="77" t="s">
        <v>95</v>
      </c>
      <c r="C58" s="77">
        <f>C57+(BudgetsTable[[#This Row],[lead]]&lt;&gt;K57)</f>
        <v>20</v>
      </c>
      <c r="D58" s="77">
        <f>D57*(BudgetsTable[[#This Row],[lead]]=K57)+(BudgetsTable[[#This Row],[prop_id]]&lt;&gt;A57)</f>
        <v>1</v>
      </c>
      <c r="E58" s="78">
        <v>42934.524305555555</v>
      </c>
      <c r="F58" s="79" t="s">
        <v>1430</v>
      </c>
      <c r="G58" s="79" t="s">
        <v>477</v>
      </c>
      <c r="H58" s="79" t="s">
        <v>582</v>
      </c>
      <c r="I58" s="77" t="s">
        <v>611</v>
      </c>
      <c r="J58" s="77" t="s">
        <v>1480</v>
      </c>
      <c r="K58" s="79" t="s">
        <v>733</v>
      </c>
      <c r="L58" s="7" t="str">
        <f>IF(BudgetsTable[[#This Row],[pi_last_name]]=" ","",HYPERLINK("https://www.ejacket.nsf.gov/ej/showProposal.do?Continue=Y&amp;ID="&amp;BudgetsTable[[#This Row],[prop_id]],BudgetsTable[[#This Row],[prop_id]]))</f>
        <v>1749748</v>
      </c>
      <c r="M58" s="15" t="e">
        <f>IF(BudgetsTable[[#This Row],[pi_last_name]]=" ","",HYPERLINK("https://www.ejacket.nsf.gov/ej/processReviewAnalysis.do?dispatch=add&amp;uniqId="&amp;BudgetsTable[[#This Row],[prop_id]]&amp;PO_id,"&gt;ra"))</f>
        <v>#REF!</v>
      </c>
      <c r="N58" s="79" t="s">
        <v>734</v>
      </c>
      <c r="O58" s="7" t="str">
        <f>IF(BudgetsTable[[#This Row],[pi_last_name]]=" ","",HYPERLINK("mailto:"&amp;BudgetsTable[[#This Row],[pi_email]]&amp;"&amp;subject=Your NSF Proposal:  "&amp;BudgetsTable[[#This Row],[prop_id]],BudgetsTable[[#This Row],[pi_email]]))</f>
        <v>karthe@illinois.edu</v>
      </c>
      <c r="P58" s="79" t="s">
        <v>1477</v>
      </c>
      <c r="Q58" s="79"/>
      <c r="R58" s="79"/>
      <c r="S58" s="80"/>
      <c r="T58" s="80"/>
      <c r="U58" s="80"/>
      <c r="V58" s="81"/>
      <c r="W58" s="79">
        <v>0</v>
      </c>
      <c r="X58" s="79"/>
      <c r="Y58" s="11" t="str">
        <f ca="1">IF(ISBLANK(BudgetsTable[[#This Row],[budg_seq_yr]]),"FY"&amp;fiscalyear,"FY"&amp;fiscalyear-1+BudgetsTable[[#This Row],[budg_seq_yr]])</f>
        <v>FY18</v>
      </c>
      <c r="Z58" s="80">
        <v>446040</v>
      </c>
      <c r="AA58" s="79" t="s">
        <v>477</v>
      </c>
      <c r="AB58" s="79" t="s">
        <v>582</v>
      </c>
      <c r="AC58" s="77" t="s">
        <v>94</v>
      </c>
      <c r="AD58" s="79" t="s">
        <v>1432</v>
      </c>
    </row>
    <row r="59" spans="1:30" x14ac:dyDescent="0.4">
      <c r="A59" s="10" t="s">
        <v>733</v>
      </c>
      <c r="B59" s="77" t="s">
        <v>95</v>
      </c>
      <c r="C59" s="77">
        <f>C58+(BudgetsTable[[#This Row],[lead]]&lt;&gt;K58)</f>
        <v>20</v>
      </c>
      <c r="D59" s="77">
        <f>D58*(BudgetsTable[[#This Row],[lead]]=K58)+(BudgetsTable[[#This Row],[prop_id]]&lt;&gt;A58)</f>
        <v>1</v>
      </c>
      <c r="E59" s="78">
        <v>42934.524305555555</v>
      </c>
      <c r="F59" s="79" t="s">
        <v>1430</v>
      </c>
      <c r="G59" s="79" t="s">
        <v>477</v>
      </c>
      <c r="H59" s="79" t="s">
        <v>582</v>
      </c>
      <c r="I59" s="77" t="s">
        <v>611</v>
      </c>
      <c r="J59" s="77" t="s">
        <v>13</v>
      </c>
      <c r="K59" s="79" t="s">
        <v>733</v>
      </c>
      <c r="L59" s="7" t="str">
        <f>IF(BudgetsTable[[#This Row],[pi_last_name]]=" ","",HYPERLINK("https://www.ejacket.nsf.gov/ej/showProposal.do?Continue=Y&amp;ID="&amp;BudgetsTable[[#This Row],[prop_id]],BudgetsTable[[#This Row],[prop_id]]))</f>
        <v/>
      </c>
      <c r="M59" s="15" t="str">
        <f>IF(BudgetsTable[[#This Row],[pi_last_name]]=" ","",HYPERLINK("https://www.ejacket.nsf.gov/ej/processReviewAnalysis.do?dispatch=add&amp;uniqId="&amp;BudgetsTable[[#This Row],[prop_id]]&amp;PO_id,"&gt;ra"))</f>
        <v/>
      </c>
      <c r="N59" s="79" t="s">
        <v>13</v>
      </c>
      <c r="O59" s="7" t="str">
        <f>IF(BudgetsTable[[#This Row],[pi_last_name]]=" ","",HYPERLINK("mailto:"&amp;BudgetsTable[[#This Row],[pi_email]]&amp;"&amp;subject=Your NSF Proposal:  "&amp;BudgetsTable[[#This Row],[prop_id]],BudgetsTable[[#This Row],[pi_email]]))</f>
        <v/>
      </c>
      <c r="P59" s="79" t="s">
        <v>13</v>
      </c>
      <c r="Q59" s="79">
        <v>1</v>
      </c>
      <c r="R59" s="79">
        <v>1</v>
      </c>
      <c r="S59" s="80">
        <v>0</v>
      </c>
      <c r="T59" s="80">
        <v>4000</v>
      </c>
      <c r="U59" s="80">
        <v>0</v>
      </c>
      <c r="V59" s="81">
        <v>86236</v>
      </c>
      <c r="W59" s="79">
        <v>0</v>
      </c>
      <c r="X59" s="79">
        <v>1</v>
      </c>
      <c r="Y59" s="11" t="str">
        <f ca="1">IF(ISBLANK(BudgetsTable[[#This Row],[budg_seq_yr]]),"FY"&amp;fiscalyear,"FY"&amp;fiscalyear-1+BudgetsTable[[#This Row],[budg_seq_yr]])</f>
        <v>FY18</v>
      </c>
      <c r="Z59" s="80">
        <v>86236</v>
      </c>
      <c r="AA59" s="79" t="s">
        <v>477</v>
      </c>
      <c r="AB59" s="79" t="s">
        <v>582</v>
      </c>
      <c r="AC59" s="77" t="s">
        <v>94</v>
      </c>
      <c r="AD59" s="79" t="s">
        <v>1432</v>
      </c>
    </row>
    <row r="60" spans="1:30" x14ac:dyDescent="0.4">
      <c r="A60" s="10" t="s">
        <v>733</v>
      </c>
      <c r="B60" s="77" t="s">
        <v>95</v>
      </c>
      <c r="C60" s="77">
        <f>C59+(BudgetsTable[[#This Row],[lead]]&lt;&gt;K59)</f>
        <v>20</v>
      </c>
      <c r="D60" s="77">
        <f>D59*(BudgetsTable[[#This Row],[lead]]=K59)+(BudgetsTable[[#This Row],[prop_id]]&lt;&gt;A59)</f>
        <v>1</v>
      </c>
      <c r="E60" s="78">
        <v>42934.524305555555</v>
      </c>
      <c r="F60" s="79" t="s">
        <v>1430</v>
      </c>
      <c r="G60" s="79" t="s">
        <v>477</v>
      </c>
      <c r="H60" s="79" t="s">
        <v>582</v>
      </c>
      <c r="I60" s="77" t="s">
        <v>611</v>
      </c>
      <c r="J60" s="77" t="s">
        <v>13</v>
      </c>
      <c r="K60" s="79" t="s">
        <v>733</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1</v>
      </c>
      <c r="R60" s="79">
        <v>1</v>
      </c>
      <c r="S60" s="80">
        <v>0</v>
      </c>
      <c r="T60" s="80">
        <v>4000</v>
      </c>
      <c r="U60" s="80">
        <v>0</v>
      </c>
      <c r="V60" s="81">
        <v>88371</v>
      </c>
      <c r="W60" s="79">
        <v>0</v>
      </c>
      <c r="X60" s="79">
        <v>2</v>
      </c>
      <c r="Y60" s="11" t="str">
        <f ca="1">IF(ISBLANK(BudgetsTable[[#This Row],[budg_seq_yr]]),"FY"&amp;fiscalyear,"FY"&amp;fiscalyear-1+BudgetsTable[[#This Row],[budg_seq_yr]])</f>
        <v>FY19</v>
      </c>
      <c r="Z60" s="80">
        <v>88371</v>
      </c>
      <c r="AA60" s="79" t="s">
        <v>477</v>
      </c>
      <c r="AB60" s="79" t="s">
        <v>582</v>
      </c>
      <c r="AC60" s="77" t="s">
        <v>94</v>
      </c>
      <c r="AD60" s="79" t="s">
        <v>1432</v>
      </c>
    </row>
    <row r="61" spans="1:30" x14ac:dyDescent="0.4">
      <c r="A61" s="10" t="s">
        <v>733</v>
      </c>
      <c r="B61" s="77" t="s">
        <v>95</v>
      </c>
      <c r="C61" s="77">
        <f>C60+(BudgetsTable[[#This Row],[lead]]&lt;&gt;K60)</f>
        <v>20</v>
      </c>
      <c r="D61" s="77">
        <f>D60*(BudgetsTable[[#This Row],[lead]]=K60)+(BudgetsTable[[#This Row],[prop_id]]&lt;&gt;A60)</f>
        <v>1</v>
      </c>
      <c r="E61" s="78">
        <v>42934.524305555555</v>
      </c>
      <c r="F61" s="79" t="s">
        <v>1430</v>
      </c>
      <c r="G61" s="79" t="s">
        <v>477</v>
      </c>
      <c r="H61" s="79" t="s">
        <v>582</v>
      </c>
      <c r="I61" s="77" t="s">
        <v>611</v>
      </c>
      <c r="J61" s="77" t="s">
        <v>13</v>
      </c>
      <c r="K61" s="79" t="s">
        <v>733</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1</v>
      </c>
      <c r="R61" s="79">
        <v>1</v>
      </c>
      <c r="S61" s="80">
        <v>0</v>
      </c>
      <c r="T61" s="80">
        <v>4000</v>
      </c>
      <c r="U61" s="80">
        <v>0</v>
      </c>
      <c r="V61" s="81">
        <v>88191</v>
      </c>
      <c r="W61" s="79">
        <v>0</v>
      </c>
      <c r="X61" s="79">
        <v>3</v>
      </c>
      <c r="Y61" s="11" t="str">
        <f ca="1">IF(ISBLANK(BudgetsTable[[#This Row],[budg_seq_yr]]),"FY"&amp;fiscalyear,"FY"&amp;fiscalyear-1+BudgetsTable[[#This Row],[budg_seq_yr]])</f>
        <v>FY20</v>
      </c>
      <c r="Z61" s="80">
        <v>88191</v>
      </c>
      <c r="AA61" s="79" t="s">
        <v>477</v>
      </c>
      <c r="AB61" s="79" t="s">
        <v>582</v>
      </c>
      <c r="AC61" s="77" t="s">
        <v>94</v>
      </c>
      <c r="AD61" s="79" t="s">
        <v>1432</v>
      </c>
    </row>
    <row r="62" spans="1:30" x14ac:dyDescent="0.4">
      <c r="A62" s="10" t="s">
        <v>733</v>
      </c>
      <c r="B62" s="77" t="s">
        <v>95</v>
      </c>
      <c r="C62" s="77">
        <f>C61+(BudgetsTable[[#This Row],[lead]]&lt;&gt;K61)</f>
        <v>20</v>
      </c>
      <c r="D62" s="77">
        <f>D61*(BudgetsTable[[#This Row],[lead]]=K61)+(BudgetsTable[[#This Row],[prop_id]]&lt;&gt;A61)</f>
        <v>1</v>
      </c>
      <c r="E62" s="78">
        <v>42934.524305555555</v>
      </c>
      <c r="F62" s="79" t="s">
        <v>1430</v>
      </c>
      <c r="G62" s="79" t="s">
        <v>477</v>
      </c>
      <c r="H62" s="79" t="s">
        <v>582</v>
      </c>
      <c r="I62" s="77" t="s">
        <v>611</v>
      </c>
      <c r="J62" s="77" t="s">
        <v>13</v>
      </c>
      <c r="K62" s="79" t="s">
        <v>733</v>
      </c>
      <c r="L62" s="7" t="str">
        <f>IF(BudgetsTable[[#This Row],[pi_last_name]]=" ","",HYPERLINK("https://www.ejacket.nsf.gov/ej/showProposal.do?Continue=Y&amp;ID="&amp;BudgetsTable[[#This Row],[prop_id]],BudgetsTable[[#This Row],[prop_id]]))</f>
        <v/>
      </c>
      <c r="M62" s="15" t="str">
        <f>IF(BudgetsTable[[#This Row],[pi_last_name]]=" ","",HYPERLINK("https://www.ejacket.nsf.gov/ej/processReviewAnalysis.do?dispatch=add&amp;uniqId="&amp;BudgetsTable[[#This Row],[prop_id]]&amp;PO_id,"&gt;ra"))</f>
        <v/>
      </c>
      <c r="N62" s="79" t="s">
        <v>13</v>
      </c>
      <c r="O62" s="7" t="str">
        <f>IF(BudgetsTable[[#This Row],[pi_last_name]]=" ","",HYPERLINK("mailto:"&amp;BudgetsTable[[#This Row],[pi_email]]&amp;"&amp;subject=Your NSF Proposal:  "&amp;BudgetsTable[[#This Row],[prop_id]],BudgetsTable[[#This Row],[pi_email]]))</f>
        <v/>
      </c>
      <c r="P62" s="79" t="s">
        <v>13</v>
      </c>
      <c r="Q62" s="79">
        <v>1</v>
      </c>
      <c r="R62" s="79">
        <v>1</v>
      </c>
      <c r="S62" s="80">
        <v>0</v>
      </c>
      <c r="T62" s="80">
        <v>4000</v>
      </c>
      <c r="U62" s="80">
        <v>0</v>
      </c>
      <c r="V62" s="81">
        <v>90454</v>
      </c>
      <c r="W62" s="79">
        <v>0</v>
      </c>
      <c r="X62" s="79">
        <v>4</v>
      </c>
      <c r="Y62" s="11" t="str">
        <f ca="1">IF(ISBLANK(BudgetsTable[[#This Row],[budg_seq_yr]]),"FY"&amp;fiscalyear,"FY"&amp;fiscalyear-1+BudgetsTable[[#This Row],[budg_seq_yr]])</f>
        <v>FY21</v>
      </c>
      <c r="Z62" s="80">
        <v>90454</v>
      </c>
      <c r="AA62" s="79" t="s">
        <v>477</v>
      </c>
      <c r="AB62" s="79" t="s">
        <v>582</v>
      </c>
      <c r="AC62" s="77" t="s">
        <v>94</v>
      </c>
      <c r="AD62" s="79" t="s">
        <v>1432</v>
      </c>
    </row>
    <row r="63" spans="1:30" x14ac:dyDescent="0.4">
      <c r="A63" s="10" t="s">
        <v>733</v>
      </c>
      <c r="B63" s="77" t="s">
        <v>95</v>
      </c>
      <c r="C63" s="77">
        <f>C62+(BudgetsTable[[#This Row],[lead]]&lt;&gt;K62)</f>
        <v>20</v>
      </c>
      <c r="D63" s="77">
        <f>D62*(BudgetsTable[[#This Row],[lead]]=K62)+(BudgetsTable[[#This Row],[prop_id]]&lt;&gt;A62)</f>
        <v>1</v>
      </c>
      <c r="E63" s="78">
        <v>42934.524305555555</v>
      </c>
      <c r="F63" s="79" t="s">
        <v>1430</v>
      </c>
      <c r="G63" s="79" t="s">
        <v>477</v>
      </c>
      <c r="H63" s="79" t="s">
        <v>582</v>
      </c>
      <c r="I63" s="77" t="s">
        <v>611</v>
      </c>
      <c r="J63" s="77" t="s">
        <v>13</v>
      </c>
      <c r="K63" s="79" t="s">
        <v>733</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1</v>
      </c>
      <c r="R63" s="79">
        <v>1</v>
      </c>
      <c r="S63" s="80">
        <v>0</v>
      </c>
      <c r="T63" s="80">
        <v>4000</v>
      </c>
      <c r="U63" s="80">
        <v>0</v>
      </c>
      <c r="V63" s="81">
        <v>92788</v>
      </c>
      <c r="W63" s="79">
        <v>0</v>
      </c>
      <c r="X63" s="79">
        <v>5</v>
      </c>
      <c r="Y63" s="11" t="str">
        <f ca="1">IF(ISBLANK(BudgetsTable[[#This Row],[budg_seq_yr]]),"FY"&amp;fiscalyear,"FY"&amp;fiscalyear-1+BudgetsTable[[#This Row],[budg_seq_yr]])</f>
        <v>FY22</v>
      </c>
      <c r="Z63" s="80">
        <v>92788</v>
      </c>
      <c r="AA63" s="79" t="s">
        <v>477</v>
      </c>
      <c r="AB63" s="79" t="s">
        <v>582</v>
      </c>
      <c r="AC63" s="77" t="s">
        <v>94</v>
      </c>
      <c r="AD63" s="79" t="s">
        <v>1432</v>
      </c>
    </row>
    <row r="64" spans="1:30" x14ac:dyDescent="0.4">
      <c r="A64" s="10" t="s">
        <v>742</v>
      </c>
      <c r="B64" s="77" t="s">
        <v>95</v>
      </c>
      <c r="C64" s="77">
        <f>C63+(BudgetsTable[[#This Row],[lead]]&lt;&gt;K63)</f>
        <v>21</v>
      </c>
      <c r="D64" s="77">
        <f>D63*(BudgetsTable[[#This Row],[lead]]=K63)+(BudgetsTable[[#This Row],[prop_id]]&lt;&gt;A63)</f>
        <v>1</v>
      </c>
      <c r="E64" s="78">
        <v>42934.625694444447</v>
      </c>
      <c r="F64" s="79" t="s">
        <v>1430</v>
      </c>
      <c r="G64" s="79" t="s">
        <v>477</v>
      </c>
      <c r="H64" s="79" t="s">
        <v>582</v>
      </c>
      <c r="I64" s="77" t="s">
        <v>604</v>
      </c>
      <c r="J64" s="77" t="s">
        <v>1485</v>
      </c>
      <c r="K64" s="79" t="s">
        <v>742</v>
      </c>
      <c r="L64" s="7" t="str">
        <f>IF(BudgetsTable[[#This Row],[pi_last_name]]=" ","",HYPERLINK("https://www.ejacket.nsf.gov/ej/showProposal.do?Continue=Y&amp;ID="&amp;BudgetsTable[[#This Row],[prop_id]],BudgetsTable[[#This Row],[prop_id]]))</f>
        <v>1749855</v>
      </c>
      <c r="M64" s="15" t="e">
        <f>IF(BudgetsTable[[#This Row],[pi_last_name]]=" ","",HYPERLINK("https://www.ejacket.nsf.gov/ej/processReviewAnalysis.do?dispatch=add&amp;uniqId="&amp;BudgetsTable[[#This Row],[prop_id]]&amp;PO_id,"&gt;ra"))</f>
        <v>#REF!</v>
      </c>
      <c r="N64" s="79" t="s">
        <v>743</v>
      </c>
      <c r="O64" s="7" t="str">
        <f>IF(BudgetsTable[[#This Row],[pi_last_name]]=" ","",HYPERLINK("mailto:"&amp;BudgetsTable[[#This Row],[pi_email]]&amp;"&amp;subject=Your NSF Proposal:  "&amp;BudgetsTable[[#This Row],[prop_id]],BudgetsTable[[#This Row],[pi_email]]))</f>
        <v>francesco@cs.stonybrook.edu</v>
      </c>
      <c r="P64" s="79" t="s">
        <v>1482</v>
      </c>
      <c r="Q64" s="79"/>
      <c r="R64" s="79"/>
      <c r="S64" s="80"/>
      <c r="T64" s="80"/>
      <c r="U64" s="80"/>
      <c r="V64" s="81"/>
      <c r="W64" s="79">
        <v>0</v>
      </c>
      <c r="X64" s="79"/>
      <c r="Y64" s="11" t="str">
        <f ca="1">IF(ISBLANK(BudgetsTable[[#This Row],[budg_seq_yr]]),"FY"&amp;fiscalyear,"FY"&amp;fiscalyear-1+BudgetsTable[[#This Row],[budg_seq_yr]])</f>
        <v>FY18</v>
      </c>
      <c r="Z64" s="80">
        <v>516750</v>
      </c>
      <c r="AA64" s="79" t="s">
        <v>477</v>
      </c>
      <c r="AB64" s="79" t="s">
        <v>582</v>
      </c>
      <c r="AC64" s="77" t="s">
        <v>94</v>
      </c>
      <c r="AD64" s="79" t="s">
        <v>1432</v>
      </c>
    </row>
    <row r="65" spans="1:30" x14ac:dyDescent="0.4">
      <c r="A65" s="10" t="s">
        <v>742</v>
      </c>
      <c r="B65" s="77" t="s">
        <v>95</v>
      </c>
      <c r="C65" s="77">
        <f>C64+(BudgetsTable[[#This Row],[lead]]&lt;&gt;K64)</f>
        <v>21</v>
      </c>
      <c r="D65" s="77">
        <f>D64*(BudgetsTable[[#This Row],[lead]]=K64)+(BudgetsTable[[#This Row],[prop_id]]&lt;&gt;A64)</f>
        <v>1</v>
      </c>
      <c r="E65" s="78">
        <v>42934.625694444447</v>
      </c>
      <c r="F65" s="79" t="s">
        <v>1430</v>
      </c>
      <c r="G65" s="79" t="s">
        <v>477</v>
      </c>
      <c r="H65" s="79" t="s">
        <v>582</v>
      </c>
      <c r="I65" s="77" t="s">
        <v>604</v>
      </c>
      <c r="J65" s="77" t="s">
        <v>13</v>
      </c>
      <c r="K65" s="79" t="s">
        <v>742</v>
      </c>
      <c r="L65" s="7" t="str">
        <f>IF(BudgetsTable[[#This Row],[pi_last_name]]=" ","",HYPERLINK("https://www.ejacket.nsf.gov/ej/showProposal.do?Continue=Y&amp;ID="&amp;BudgetsTable[[#This Row],[prop_id]],BudgetsTable[[#This Row],[prop_id]]))</f>
        <v/>
      </c>
      <c r="M65" s="15" t="str">
        <f>IF(BudgetsTable[[#This Row],[pi_last_name]]=" ","",HYPERLINK("https://www.ejacket.nsf.gov/ej/processReviewAnalysis.do?dispatch=add&amp;uniqId="&amp;BudgetsTable[[#This Row],[prop_id]]&amp;PO_id,"&gt;ra"))</f>
        <v/>
      </c>
      <c r="N65" s="79" t="s">
        <v>13</v>
      </c>
      <c r="O65" s="7" t="str">
        <f>IF(BudgetsTable[[#This Row],[pi_last_name]]=" ","",HYPERLINK("mailto:"&amp;BudgetsTable[[#This Row],[pi_email]]&amp;"&amp;subject=Your NSF Proposal:  "&amp;BudgetsTable[[#This Row],[prop_id]],BudgetsTable[[#This Row],[pi_email]]))</f>
        <v/>
      </c>
      <c r="P65" s="79" t="s">
        <v>13</v>
      </c>
      <c r="Q65" s="79">
        <v>1</v>
      </c>
      <c r="R65" s="79">
        <v>1</v>
      </c>
      <c r="S65" s="80">
        <v>0</v>
      </c>
      <c r="T65" s="80">
        <v>2000</v>
      </c>
      <c r="U65" s="80">
        <v>0</v>
      </c>
      <c r="V65" s="81">
        <v>93299</v>
      </c>
      <c r="W65" s="79">
        <v>0</v>
      </c>
      <c r="X65" s="79">
        <v>1</v>
      </c>
      <c r="Y65" s="11" t="str">
        <f ca="1">IF(ISBLANK(BudgetsTable[[#This Row],[budg_seq_yr]]),"FY"&amp;fiscalyear,"FY"&amp;fiscalyear-1+BudgetsTable[[#This Row],[budg_seq_yr]])</f>
        <v>FY18</v>
      </c>
      <c r="Z65" s="80">
        <v>93299</v>
      </c>
      <c r="AA65" s="79" t="s">
        <v>477</v>
      </c>
      <c r="AB65" s="79" t="s">
        <v>582</v>
      </c>
      <c r="AC65" s="77" t="s">
        <v>94</v>
      </c>
      <c r="AD65" s="79" t="s">
        <v>1432</v>
      </c>
    </row>
    <row r="66" spans="1:30" x14ac:dyDescent="0.4">
      <c r="A66" s="10" t="s">
        <v>742</v>
      </c>
      <c r="B66" s="77" t="s">
        <v>95</v>
      </c>
      <c r="C66" s="77">
        <f>C65+(BudgetsTable[[#This Row],[lead]]&lt;&gt;K65)</f>
        <v>21</v>
      </c>
      <c r="D66" s="77">
        <f>D65*(BudgetsTable[[#This Row],[lead]]=K65)+(BudgetsTable[[#This Row],[prop_id]]&lt;&gt;A65)</f>
        <v>1</v>
      </c>
      <c r="E66" s="78">
        <v>42934.625694444447</v>
      </c>
      <c r="F66" s="79" t="s">
        <v>1430</v>
      </c>
      <c r="G66" s="79" t="s">
        <v>477</v>
      </c>
      <c r="H66" s="79" t="s">
        <v>582</v>
      </c>
      <c r="I66" s="77" t="s">
        <v>604</v>
      </c>
      <c r="J66" s="77" t="s">
        <v>13</v>
      </c>
      <c r="K66" s="79" t="s">
        <v>742</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2000</v>
      </c>
      <c r="U66" s="80">
        <v>0</v>
      </c>
      <c r="V66" s="81">
        <v>101945</v>
      </c>
      <c r="W66" s="79">
        <v>0</v>
      </c>
      <c r="X66" s="79">
        <v>2</v>
      </c>
      <c r="Y66" s="11" t="str">
        <f ca="1">IF(ISBLANK(BudgetsTable[[#This Row],[budg_seq_yr]]),"FY"&amp;fiscalyear,"FY"&amp;fiscalyear-1+BudgetsTable[[#This Row],[budg_seq_yr]])</f>
        <v>FY19</v>
      </c>
      <c r="Z66" s="80">
        <v>101945</v>
      </c>
      <c r="AA66" s="79" t="s">
        <v>477</v>
      </c>
      <c r="AB66" s="79" t="s">
        <v>582</v>
      </c>
      <c r="AC66" s="77" t="s">
        <v>94</v>
      </c>
      <c r="AD66" s="79" t="s">
        <v>1432</v>
      </c>
    </row>
    <row r="67" spans="1:30" x14ac:dyDescent="0.4">
      <c r="A67" s="10" t="s">
        <v>742</v>
      </c>
      <c r="B67" s="77" t="s">
        <v>95</v>
      </c>
      <c r="C67" s="77">
        <f>C66+(BudgetsTable[[#This Row],[lead]]&lt;&gt;K66)</f>
        <v>21</v>
      </c>
      <c r="D67" s="77">
        <f>D66*(BudgetsTable[[#This Row],[lead]]=K66)+(BudgetsTable[[#This Row],[prop_id]]&lt;&gt;A66)</f>
        <v>1</v>
      </c>
      <c r="E67" s="78">
        <v>42934.625694444447</v>
      </c>
      <c r="F67" s="79" t="s">
        <v>1430</v>
      </c>
      <c r="G67" s="79" t="s">
        <v>477</v>
      </c>
      <c r="H67" s="79" t="s">
        <v>582</v>
      </c>
      <c r="I67" s="77" t="s">
        <v>604</v>
      </c>
      <c r="J67" s="77" t="s">
        <v>13</v>
      </c>
      <c r="K67" s="79" t="s">
        <v>742</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2000</v>
      </c>
      <c r="U67" s="80">
        <v>0</v>
      </c>
      <c r="V67" s="81">
        <v>104505</v>
      </c>
      <c r="W67" s="79">
        <v>0</v>
      </c>
      <c r="X67" s="79">
        <v>3</v>
      </c>
      <c r="Y67" s="11" t="str">
        <f ca="1">IF(ISBLANK(BudgetsTable[[#This Row],[budg_seq_yr]]),"FY"&amp;fiscalyear,"FY"&amp;fiscalyear-1+BudgetsTable[[#This Row],[budg_seq_yr]])</f>
        <v>FY20</v>
      </c>
      <c r="Z67" s="80">
        <v>104505</v>
      </c>
      <c r="AA67" s="79" t="s">
        <v>477</v>
      </c>
      <c r="AB67" s="79" t="s">
        <v>582</v>
      </c>
      <c r="AC67" s="77" t="s">
        <v>94</v>
      </c>
      <c r="AD67" s="79" t="s">
        <v>1432</v>
      </c>
    </row>
    <row r="68" spans="1:30" x14ac:dyDescent="0.4">
      <c r="A68" s="10" t="s">
        <v>742</v>
      </c>
      <c r="B68" s="77" t="s">
        <v>95</v>
      </c>
      <c r="C68" s="77">
        <f>C67+(BudgetsTable[[#This Row],[lead]]&lt;&gt;K67)</f>
        <v>21</v>
      </c>
      <c r="D68" s="77">
        <f>D67*(BudgetsTable[[#This Row],[lead]]=K67)+(BudgetsTable[[#This Row],[prop_id]]&lt;&gt;A67)</f>
        <v>1</v>
      </c>
      <c r="E68" s="78">
        <v>42934.625694444447</v>
      </c>
      <c r="F68" s="79" t="s">
        <v>1430</v>
      </c>
      <c r="G68" s="79" t="s">
        <v>477</v>
      </c>
      <c r="H68" s="79" t="s">
        <v>582</v>
      </c>
      <c r="I68" s="77" t="s">
        <v>604</v>
      </c>
      <c r="J68" s="77" t="s">
        <v>13</v>
      </c>
      <c r="K68" s="79" t="s">
        <v>742</v>
      </c>
      <c r="L68" s="7" t="str">
        <f>IF(BudgetsTable[[#This Row],[pi_last_name]]=" ","",HYPERLINK("https://www.ejacket.nsf.gov/ej/showProposal.do?Continue=Y&amp;ID="&amp;BudgetsTable[[#This Row],[prop_id]],BudgetsTable[[#This Row],[prop_id]]))</f>
        <v/>
      </c>
      <c r="M68" s="15" t="str">
        <f>IF(BudgetsTable[[#This Row],[pi_last_name]]=" ","",HYPERLINK("https://www.ejacket.nsf.gov/ej/processReviewAnalysis.do?dispatch=add&amp;uniqId="&amp;BudgetsTable[[#This Row],[prop_id]]&amp;PO_id,"&gt;ra"))</f>
        <v/>
      </c>
      <c r="N68" s="79" t="s">
        <v>13</v>
      </c>
      <c r="O68" s="7" t="str">
        <f>IF(BudgetsTable[[#This Row],[pi_last_name]]=" ","",HYPERLINK("mailto:"&amp;BudgetsTable[[#This Row],[pi_email]]&amp;"&amp;subject=Your NSF Proposal:  "&amp;BudgetsTable[[#This Row],[prop_id]],BudgetsTable[[#This Row],[pi_email]]))</f>
        <v/>
      </c>
      <c r="P68" s="79" t="s">
        <v>13</v>
      </c>
      <c r="Q68" s="79">
        <v>1</v>
      </c>
      <c r="R68" s="79">
        <v>1</v>
      </c>
      <c r="S68" s="80">
        <v>0</v>
      </c>
      <c r="T68" s="80">
        <v>2000</v>
      </c>
      <c r="U68" s="80">
        <v>0</v>
      </c>
      <c r="V68" s="81">
        <v>107143</v>
      </c>
      <c r="W68" s="79">
        <v>0</v>
      </c>
      <c r="X68" s="79">
        <v>4</v>
      </c>
      <c r="Y68" s="11" t="str">
        <f ca="1">IF(ISBLANK(BudgetsTable[[#This Row],[budg_seq_yr]]),"FY"&amp;fiscalyear,"FY"&amp;fiscalyear-1+BudgetsTable[[#This Row],[budg_seq_yr]])</f>
        <v>FY21</v>
      </c>
      <c r="Z68" s="80">
        <v>107143</v>
      </c>
      <c r="AA68" s="79" t="s">
        <v>477</v>
      </c>
      <c r="AB68" s="79" t="s">
        <v>582</v>
      </c>
      <c r="AC68" s="77" t="s">
        <v>94</v>
      </c>
      <c r="AD68" s="79" t="s">
        <v>1432</v>
      </c>
    </row>
    <row r="69" spans="1:30" x14ac:dyDescent="0.4">
      <c r="A69" s="10" t="s">
        <v>742</v>
      </c>
      <c r="B69" s="77" t="s">
        <v>95</v>
      </c>
      <c r="C69" s="77">
        <f>C68+(BudgetsTable[[#This Row],[lead]]&lt;&gt;K68)</f>
        <v>21</v>
      </c>
      <c r="D69" s="77">
        <f>D68*(BudgetsTable[[#This Row],[lead]]=K68)+(BudgetsTable[[#This Row],[prop_id]]&lt;&gt;A68)</f>
        <v>1</v>
      </c>
      <c r="E69" s="78">
        <v>42934.625694444447</v>
      </c>
      <c r="F69" s="79" t="s">
        <v>1430</v>
      </c>
      <c r="G69" s="79" t="s">
        <v>477</v>
      </c>
      <c r="H69" s="79" t="s">
        <v>582</v>
      </c>
      <c r="I69" s="77" t="s">
        <v>604</v>
      </c>
      <c r="J69" s="77" t="s">
        <v>13</v>
      </c>
      <c r="K69" s="79" t="s">
        <v>742</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1</v>
      </c>
      <c r="R69" s="79">
        <v>1</v>
      </c>
      <c r="S69" s="80">
        <v>0</v>
      </c>
      <c r="T69" s="80">
        <v>2000</v>
      </c>
      <c r="U69" s="80">
        <v>0</v>
      </c>
      <c r="V69" s="81">
        <v>109858</v>
      </c>
      <c r="W69" s="79">
        <v>0</v>
      </c>
      <c r="X69" s="79">
        <v>5</v>
      </c>
      <c r="Y69" s="11" t="str">
        <f ca="1">IF(ISBLANK(BudgetsTable[[#This Row],[budg_seq_yr]]),"FY"&amp;fiscalyear,"FY"&amp;fiscalyear-1+BudgetsTable[[#This Row],[budg_seq_yr]])</f>
        <v>FY22</v>
      </c>
      <c r="Z69" s="80">
        <v>109858</v>
      </c>
      <c r="AA69" s="79" t="s">
        <v>477</v>
      </c>
      <c r="AB69" s="79" t="s">
        <v>582</v>
      </c>
      <c r="AC69" s="77" t="s">
        <v>94</v>
      </c>
      <c r="AD69" s="79" t="s">
        <v>1432</v>
      </c>
    </row>
    <row r="70" spans="1:30" x14ac:dyDescent="0.4">
      <c r="A70" s="10" t="s">
        <v>762</v>
      </c>
      <c r="B70" s="77" t="s">
        <v>95</v>
      </c>
      <c r="C70" s="77">
        <f>C69+(BudgetsTable[[#This Row],[lead]]&lt;&gt;K69)</f>
        <v>22</v>
      </c>
      <c r="D70" s="77">
        <f>D69*(BudgetsTable[[#This Row],[lead]]=K69)+(BudgetsTable[[#This Row],[prop_id]]&lt;&gt;A69)</f>
        <v>1</v>
      </c>
      <c r="E70" s="78">
        <v>42934.695138888892</v>
      </c>
      <c r="F70" s="79" t="s">
        <v>1430</v>
      </c>
      <c r="G70" s="79" t="s">
        <v>477</v>
      </c>
      <c r="H70" s="79" t="s">
        <v>582</v>
      </c>
      <c r="I70" s="77" t="s">
        <v>604</v>
      </c>
      <c r="J70" s="77" t="s">
        <v>1490</v>
      </c>
      <c r="K70" s="79" t="s">
        <v>762</v>
      </c>
      <c r="L70" s="7" t="str">
        <f>IF(BudgetsTable[[#This Row],[pi_last_name]]=" ","",HYPERLINK("https://www.ejacket.nsf.gov/ej/showProposal.do?Continue=Y&amp;ID="&amp;BudgetsTable[[#This Row],[prop_id]],BudgetsTable[[#This Row],[prop_id]]))</f>
        <v>1749977</v>
      </c>
      <c r="M70" s="15" t="e">
        <f>IF(BudgetsTable[[#This Row],[pi_last_name]]=" ","",HYPERLINK("https://www.ejacket.nsf.gov/ej/processReviewAnalysis.do?dispatch=add&amp;uniqId="&amp;BudgetsTable[[#This Row],[prop_id]]&amp;PO_id,"&gt;ra"))</f>
        <v>#REF!</v>
      </c>
      <c r="N70" s="79" t="s">
        <v>763</v>
      </c>
      <c r="O70" s="7" t="str">
        <f>IF(BudgetsTable[[#This Row],[pi_last_name]]=" ","",HYPERLINK("mailto:"&amp;BudgetsTable[[#This Row],[pi_email]]&amp;"&amp;subject=Your NSF Proposal:  "&amp;BudgetsTable[[#This Row],[prop_id]],BudgetsTable[[#This Row],[pi_email]]))</f>
        <v>jsolomon@mit.edu</v>
      </c>
      <c r="P70" s="79" t="s">
        <v>1487</v>
      </c>
      <c r="Q70" s="79"/>
      <c r="R70" s="79"/>
      <c r="S70" s="80"/>
      <c r="T70" s="80"/>
      <c r="U70" s="80"/>
      <c r="V70" s="81"/>
      <c r="W70" s="79">
        <v>0</v>
      </c>
      <c r="X70" s="79"/>
      <c r="Y70" s="11" t="str">
        <f ca="1">IF(ISBLANK(BudgetsTable[[#This Row],[budg_seq_yr]]),"FY"&amp;fiscalyear,"FY"&amp;fiscalyear-1+BudgetsTable[[#This Row],[budg_seq_yr]])</f>
        <v>FY18</v>
      </c>
      <c r="Z70" s="80">
        <v>550000</v>
      </c>
      <c r="AA70" s="79" t="s">
        <v>477</v>
      </c>
      <c r="AB70" s="79" t="s">
        <v>582</v>
      </c>
      <c r="AC70" s="77" t="s">
        <v>94</v>
      </c>
      <c r="AD70" s="79" t="s">
        <v>1439</v>
      </c>
    </row>
    <row r="71" spans="1:30" x14ac:dyDescent="0.4">
      <c r="A71" s="10" t="s">
        <v>762</v>
      </c>
      <c r="B71" s="77" t="s">
        <v>95</v>
      </c>
      <c r="C71" s="77">
        <f>C70+(BudgetsTable[[#This Row],[lead]]&lt;&gt;K70)</f>
        <v>22</v>
      </c>
      <c r="D71" s="77">
        <f>D70*(BudgetsTable[[#This Row],[lead]]=K70)+(BudgetsTable[[#This Row],[prop_id]]&lt;&gt;A70)</f>
        <v>1</v>
      </c>
      <c r="E71" s="78">
        <v>42934.695138888892</v>
      </c>
      <c r="F71" s="79" t="s">
        <v>1430</v>
      </c>
      <c r="G71" s="79" t="s">
        <v>477</v>
      </c>
      <c r="H71" s="79" t="s">
        <v>582</v>
      </c>
      <c r="I71" s="77" t="s">
        <v>604</v>
      </c>
      <c r="J71" s="77" t="s">
        <v>13</v>
      </c>
      <c r="K71" s="79" t="s">
        <v>762</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1</v>
      </c>
      <c r="R71" s="79">
        <v>0.5</v>
      </c>
      <c r="S71" s="80">
        <v>0</v>
      </c>
      <c r="T71" s="80">
        <v>0</v>
      </c>
      <c r="U71" s="80">
        <v>0</v>
      </c>
      <c r="V71" s="81">
        <v>103625</v>
      </c>
      <c r="W71" s="79">
        <v>0</v>
      </c>
      <c r="X71" s="79">
        <v>1</v>
      </c>
      <c r="Y71" s="11" t="str">
        <f ca="1">IF(ISBLANK(BudgetsTable[[#This Row],[budg_seq_yr]]),"FY"&amp;fiscalyear,"FY"&amp;fiscalyear-1+BudgetsTable[[#This Row],[budg_seq_yr]])</f>
        <v>FY18</v>
      </c>
      <c r="Z71" s="80">
        <v>103625</v>
      </c>
      <c r="AA71" s="79" t="s">
        <v>477</v>
      </c>
      <c r="AB71" s="79" t="s">
        <v>582</v>
      </c>
      <c r="AC71" s="77" t="s">
        <v>94</v>
      </c>
      <c r="AD71" s="79" t="s">
        <v>1439</v>
      </c>
    </row>
    <row r="72" spans="1:30" x14ac:dyDescent="0.4">
      <c r="A72" s="10" t="s">
        <v>762</v>
      </c>
      <c r="B72" s="77" t="s">
        <v>95</v>
      </c>
      <c r="C72" s="77">
        <f>C71+(BudgetsTable[[#This Row],[lead]]&lt;&gt;K71)</f>
        <v>22</v>
      </c>
      <c r="D72" s="77">
        <f>D71*(BudgetsTable[[#This Row],[lead]]=K71)+(BudgetsTable[[#This Row],[prop_id]]&lt;&gt;A71)</f>
        <v>1</v>
      </c>
      <c r="E72" s="78">
        <v>42934.695138888892</v>
      </c>
      <c r="F72" s="79" t="s">
        <v>1430</v>
      </c>
      <c r="G72" s="79" t="s">
        <v>477</v>
      </c>
      <c r="H72" s="79" t="s">
        <v>582</v>
      </c>
      <c r="I72" s="77" t="s">
        <v>604</v>
      </c>
      <c r="J72" s="77" t="s">
        <v>13</v>
      </c>
      <c r="K72" s="79" t="s">
        <v>762</v>
      </c>
      <c r="L72" s="7" t="str">
        <f>IF(BudgetsTable[[#This Row],[pi_last_name]]=" ","",HYPERLINK("https://www.ejacket.nsf.gov/ej/showProposal.do?Continue=Y&amp;ID="&amp;BudgetsTable[[#This Row],[prop_id]],BudgetsTable[[#This Row],[prop_id]]))</f>
        <v/>
      </c>
      <c r="M72" s="15" t="str">
        <f>IF(BudgetsTable[[#This Row],[pi_last_name]]=" ","",HYPERLINK("https://www.ejacket.nsf.gov/ej/processReviewAnalysis.do?dispatch=add&amp;uniqId="&amp;BudgetsTable[[#This Row],[prop_id]]&amp;PO_id,"&gt;ra"))</f>
        <v/>
      </c>
      <c r="N72" s="79" t="s">
        <v>13</v>
      </c>
      <c r="O72" s="7" t="str">
        <f>IF(BudgetsTable[[#This Row],[pi_last_name]]=" ","",HYPERLINK("mailto:"&amp;BudgetsTable[[#This Row],[pi_email]]&amp;"&amp;subject=Your NSF Proposal:  "&amp;BudgetsTable[[#This Row],[prop_id]],BudgetsTable[[#This Row],[pi_email]]))</f>
        <v/>
      </c>
      <c r="P72" s="79" t="s">
        <v>13</v>
      </c>
      <c r="Q72" s="79">
        <v>1</v>
      </c>
      <c r="R72" s="79">
        <v>0.5</v>
      </c>
      <c r="S72" s="80">
        <v>0</v>
      </c>
      <c r="T72" s="80">
        <v>0</v>
      </c>
      <c r="U72" s="80">
        <v>0</v>
      </c>
      <c r="V72" s="81">
        <v>106592</v>
      </c>
      <c r="W72" s="79">
        <v>0</v>
      </c>
      <c r="X72" s="79">
        <v>2</v>
      </c>
      <c r="Y72" s="11" t="str">
        <f ca="1">IF(ISBLANK(BudgetsTable[[#This Row],[budg_seq_yr]]),"FY"&amp;fiscalyear,"FY"&amp;fiscalyear-1+BudgetsTable[[#This Row],[budg_seq_yr]])</f>
        <v>FY19</v>
      </c>
      <c r="Z72" s="80">
        <v>106592</v>
      </c>
      <c r="AA72" s="79" t="s">
        <v>477</v>
      </c>
      <c r="AB72" s="79" t="s">
        <v>582</v>
      </c>
      <c r="AC72" s="77" t="s">
        <v>94</v>
      </c>
      <c r="AD72" s="79" t="s">
        <v>1439</v>
      </c>
    </row>
    <row r="73" spans="1:30" x14ac:dyDescent="0.4">
      <c r="A73" s="10" t="s">
        <v>762</v>
      </c>
      <c r="B73" s="77" t="s">
        <v>95</v>
      </c>
      <c r="C73" s="77">
        <f>C72+(BudgetsTable[[#This Row],[lead]]&lt;&gt;K72)</f>
        <v>22</v>
      </c>
      <c r="D73" s="77">
        <f>D72*(BudgetsTable[[#This Row],[lead]]=K72)+(BudgetsTable[[#This Row],[prop_id]]&lt;&gt;A72)</f>
        <v>1</v>
      </c>
      <c r="E73" s="78">
        <v>42934.695138888892</v>
      </c>
      <c r="F73" s="79" t="s">
        <v>1430</v>
      </c>
      <c r="G73" s="79" t="s">
        <v>477</v>
      </c>
      <c r="H73" s="79" t="s">
        <v>582</v>
      </c>
      <c r="I73" s="77" t="s">
        <v>604</v>
      </c>
      <c r="J73" s="77" t="s">
        <v>13</v>
      </c>
      <c r="K73" s="79" t="s">
        <v>762</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1</v>
      </c>
      <c r="R73" s="79">
        <v>0.5</v>
      </c>
      <c r="S73" s="80">
        <v>0</v>
      </c>
      <c r="T73" s="80">
        <v>0</v>
      </c>
      <c r="U73" s="80">
        <v>0</v>
      </c>
      <c r="V73" s="81">
        <v>109530</v>
      </c>
      <c r="W73" s="79">
        <v>0</v>
      </c>
      <c r="X73" s="79">
        <v>3</v>
      </c>
      <c r="Y73" s="11" t="str">
        <f ca="1">IF(ISBLANK(BudgetsTable[[#This Row],[budg_seq_yr]]),"FY"&amp;fiscalyear,"FY"&amp;fiscalyear-1+BudgetsTable[[#This Row],[budg_seq_yr]])</f>
        <v>FY20</v>
      </c>
      <c r="Z73" s="80">
        <v>109530</v>
      </c>
      <c r="AA73" s="79" t="s">
        <v>477</v>
      </c>
      <c r="AB73" s="79" t="s">
        <v>582</v>
      </c>
      <c r="AC73" s="77" t="s">
        <v>94</v>
      </c>
      <c r="AD73" s="79" t="s">
        <v>1439</v>
      </c>
    </row>
    <row r="74" spans="1:30" x14ac:dyDescent="0.4">
      <c r="A74" s="10" t="s">
        <v>762</v>
      </c>
      <c r="B74" s="77" t="s">
        <v>95</v>
      </c>
      <c r="C74" s="77">
        <f>C73+(BudgetsTable[[#This Row],[lead]]&lt;&gt;K73)</f>
        <v>22</v>
      </c>
      <c r="D74" s="77">
        <f>D73*(BudgetsTable[[#This Row],[lead]]=K73)+(BudgetsTable[[#This Row],[prop_id]]&lt;&gt;A73)</f>
        <v>1</v>
      </c>
      <c r="E74" s="78">
        <v>42934.695138888892</v>
      </c>
      <c r="F74" s="79" t="s">
        <v>1430</v>
      </c>
      <c r="G74" s="79" t="s">
        <v>477</v>
      </c>
      <c r="H74" s="79" t="s">
        <v>582</v>
      </c>
      <c r="I74" s="77" t="s">
        <v>604</v>
      </c>
      <c r="J74" s="77" t="s">
        <v>13</v>
      </c>
      <c r="K74" s="79" t="s">
        <v>762</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1</v>
      </c>
      <c r="R74" s="79">
        <v>0.5</v>
      </c>
      <c r="S74" s="80">
        <v>0</v>
      </c>
      <c r="T74" s="80">
        <v>0</v>
      </c>
      <c r="U74" s="80">
        <v>0</v>
      </c>
      <c r="V74" s="81">
        <v>113216</v>
      </c>
      <c r="W74" s="79">
        <v>0</v>
      </c>
      <c r="X74" s="79">
        <v>4</v>
      </c>
      <c r="Y74" s="11" t="str">
        <f ca="1">IF(ISBLANK(BudgetsTable[[#This Row],[budg_seq_yr]]),"FY"&amp;fiscalyear,"FY"&amp;fiscalyear-1+BudgetsTable[[#This Row],[budg_seq_yr]])</f>
        <v>FY21</v>
      </c>
      <c r="Z74" s="80">
        <v>113216</v>
      </c>
      <c r="AA74" s="79" t="s">
        <v>477</v>
      </c>
      <c r="AB74" s="79" t="s">
        <v>582</v>
      </c>
      <c r="AC74" s="77" t="s">
        <v>94</v>
      </c>
      <c r="AD74" s="79" t="s">
        <v>1439</v>
      </c>
    </row>
    <row r="75" spans="1:30" x14ac:dyDescent="0.4">
      <c r="A75" s="10" t="s">
        <v>762</v>
      </c>
      <c r="B75" s="77" t="s">
        <v>95</v>
      </c>
      <c r="C75" s="77">
        <f>C74+(BudgetsTable[[#This Row],[lead]]&lt;&gt;K74)</f>
        <v>22</v>
      </c>
      <c r="D75" s="77">
        <f>D74*(BudgetsTable[[#This Row],[lead]]=K74)+(BudgetsTable[[#This Row],[prop_id]]&lt;&gt;A74)</f>
        <v>1</v>
      </c>
      <c r="E75" s="78">
        <v>42934.695138888892</v>
      </c>
      <c r="F75" s="79" t="s">
        <v>1430</v>
      </c>
      <c r="G75" s="79" t="s">
        <v>477</v>
      </c>
      <c r="H75" s="79" t="s">
        <v>582</v>
      </c>
      <c r="I75" s="77" t="s">
        <v>604</v>
      </c>
      <c r="J75" s="77" t="s">
        <v>13</v>
      </c>
      <c r="K75" s="79" t="s">
        <v>762</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1</v>
      </c>
      <c r="R75" s="79">
        <v>0.5</v>
      </c>
      <c r="S75" s="80">
        <v>0</v>
      </c>
      <c r="T75" s="80">
        <v>0</v>
      </c>
      <c r="U75" s="80">
        <v>0</v>
      </c>
      <c r="V75" s="81">
        <v>117037</v>
      </c>
      <c r="W75" s="79">
        <v>0</v>
      </c>
      <c r="X75" s="79">
        <v>5</v>
      </c>
      <c r="Y75" s="11" t="str">
        <f ca="1">IF(ISBLANK(BudgetsTable[[#This Row],[budg_seq_yr]]),"FY"&amp;fiscalyear,"FY"&amp;fiscalyear-1+BudgetsTable[[#This Row],[budg_seq_yr]])</f>
        <v>FY22</v>
      </c>
      <c r="Z75" s="80">
        <v>117037</v>
      </c>
      <c r="AA75" s="79" t="s">
        <v>477</v>
      </c>
      <c r="AB75" s="79" t="s">
        <v>582</v>
      </c>
      <c r="AC75" s="77" t="s">
        <v>94</v>
      </c>
      <c r="AD75" s="79" t="s">
        <v>1439</v>
      </c>
    </row>
    <row r="76" spans="1:30" x14ac:dyDescent="0.4">
      <c r="A76" s="10" t="s">
        <v>771</v>
      </c>
      <c r="B76" s="77" t="s">
        <v>95</v>
      </c>
      <c r="C76" s="77">
        <f>C75+(BudgetsTable[[#This Row],[lead]]&lt;&gt;K75)</f>
        <v>23</v>
      </c>
      <c r="D76" s="77">
        <f>D75*(BudgetsTable[[#This Row],[lead]]=K75)+(BudgetsTable[[#This Row],[prop_id]]&lt;&gt;A75)</f>
        <v>1</v>
      </c>
      <c r="E76" s="78">
        <v>42934.734722222223</v>
      </c>
      <c r="F76" s="79" t="s">
        <v>1430</v>
      </c>
      <c r="G76" s="79" t="s">
        <v>477</v>
      </c>
      <c r="H76" s="79" t="s">
        <v>582</v>
      </c>
      <c r="I76" s="77" t="s">
        <v>611</v>
      </c>
      <c r="J76" s="77" t="s">
        <v>1495</v>
      </c>
      <c r="K76" s="79" t="s">
        <v>771</v>
      </c>
      <c r="L76" s="7" t="str">
        <f>IF(BudgetsTable[[#This Row],[pi_last_name]]=" ","",HYPERLINK("https://www.ejacket.nsf.gov/ej/showProposal.do?Continue=Y&amp;ID="&amp;BudgetsTable[[#This Row],[prop_id]],BudgetsTable[[#This Row],[prop_id]]))</f>
        <v>1750032</v>
      </c>
      <c r="M76" s="15" t="e">
        <f>IF(BudgetsTable[[#This Row],[pi_last_name]]=" ","",HYPERLINK("https://www.ejacket.nsf.gov/ej/processReviewAnalysis.do?dispatch=add&amp;uniqId="&amp;BudgetsTable[[#This Row],[prop_id]]&amp;PO_id,"&gt;ra"))</f>
        <v>#REF!</v>
      </c>
      <c r="N76" s="79" t="s">
        <v>772</v>
      </c>
      <c r="O76" s="7" t="str">
        <f>IF(BudgetsTable[[#This Row],[pi_last_name]]=" ","",HYPERLINK("mailto:"&amp;BudgetsTable[[#This Row],[pi_email]]&amp;"&amp;subject=Your NSF Proposal:  "&amp;BudgetsTable[[#This Row],[prop_id]],BudgetsTable[[#This Row],[pi_email]]))</f>
        <v>jt1157@georgetown.edu</v>
      </c>
      <c r="P76" s="79" t="s">
        <v>1492</v>
      </c>
      <c r="Q76" s="79"/>
      <c r="R76" s="79"/>
      <c r="S76" s="80"/>
      <c r="T76" s="80"/>
      <c r="U76" s="80"/>
      <c r="V76" s="81"/>
      <c r="W76" s="79">
        <v>0</v>
      </c>
      <c r="X76" s="79"/>
      <c r="Y76" s="11" t="str">
        <f ca="1">IF(ISBLANK(BudgetsTable[[#This Row],[budg_seq_yr]]),"FY"&amp;fiscalyear,"FY"&amp;fiscalyear-1+BudgetsTable[[#This Row],[budg_seq_yr]])</f>
        <v>FY18</v>
      </c>
      <c r="Z76" s="80">
        <v>525636</v>
      </c>
      <c r="AA76" s="79" t="s">
        <v>477</v>
      </c>
      <c r="AB76" s="79" t="s">
        <v>582</v>
      </c>
      <c r="AC76" s="77" t="s">
        <v>94</v>
      </c>
      <c r="AD76" s="79" t="s">
        <v>1469</v>
      </c>
    </row>
    <row r="77" spans="1:30" x14ac:dyDescent="0.4">
      <c r="A77" s="10" t="s">
        <v>771</v>
      </c>
      <c r="B77" s="77" t="s">
        <v>95</v>
      </c>
      <c r="C77" s="77">
        <f>C76+(BudgetsTable[[#This Row],[lead]]&lt;&gt;K76)</f>
        <v>23</v>
      </c>
      <c r="D77" s="77">
        <f>D76*(BudgetsTable[[#This Row],[lead]]=K76)+(BudgetsTable[[#This Row],[prop_id]]&lt;&gt;A76)</f>
        <v>1</v>
      </c>
      <c r="E77" s="78">
        <v>42934.734722222223</v>
      </c>
      <c r="F77" s="79" t="s">
        <v>1430</v>
      </c>
      <c r="G77" s="79" t="s">
        <v>477</v>
      </c>
      <c r="H77" s="79" t="s">
        <v>582</v>
      </c>
      <c r="I77" s="77" t="s">
        <v>611</v>
      </c>
      <c r="J77" s="77" t="s">
        <v>13</v>
      </c>
      <c r="K77" s="79" t="s">
        <v>771</v>
      </c>
      <c r="L77" s="7" t="str">
        <f>IF(BudgetsTable[[#This Row],[pi_last_name]]=" ","",HYPERLINK("https://www.ejacket.nsf.gov/ej/showProposal.do?Continue=Y&amp;ID="&amp;BudgetsTable[[#This Row],[prop_id]],BudgetsTable[[#This Row],[prop_id]]))</f>
        <v/>
      </c>
      <c r="M77" s="15" t="str">
        <f>IF(BudgetsTable[[#This Row],[pi_last_name]]=" ","",HYPERLINK("https://www.ejacket.nsf.gov/ej/processReviewAnalysis.do?dispatch=add&amp;uniqId="&amp;BudgetsTable[[#This Row],[prop_id]]&amp;PO_id,"&gt;ra"))</f>
        <v/>
      </c>
      <c r="N77" s="79" t="s">
        <v>13</v>
      </c>
      <c r="O77" s="7" t="str">
        <f>IF(BudgetsTable[[#This Row],[pi_last_name]]=" ","",HYPERLINK("mailto:"&amp;BudgetsTable[[#This Row],[pi_email]]&amp;"&amp;subject=Your NSF Proposal:  "&amp;BudgetsTable[[#This Row],[prop_id]],BudgetsTable[[#This Row],[pi_email]]))</f>
        <v/>
      </c>
      <c r="P77" s="79" t="s">
        <v>13</v>
      </c>
      <c r="Q77" s="79">
        <v>1</v>
      </c>
      <c r="R77" s="79">
        <v>2</v>
      </c>
      <c r="S77" s="80">
        <v>0</v>
      </c>
      <c r="T77" s="80">
        <v>2500</v>
      </c>
      <c r="U77" s="80">
        <v>0</v>
      </c>
      <c r="V77" s="81">
        <v>65366</v>
      </c>
      <c r="W77" s="79">
        <v>0</v>
      </c>
      <c r="X77" s="79">
        <v>1</v>
      </c>
      <c r="Y77" s="11" t="str">
        <f ca="1">IF(ISBLANK(BudgetsTable[[#This Row],[budg_seq_yr]]),"FY"&amp;fiscalyear,"FY"&amp;fiscalyear-1+BudgetsTable[[#This Row],[budg_seq_yr]])</f>
        <v>FY18</v>
      </c>
      <c r="Z77" s="80">
        <v>65366</v>
      </c>
      <c r="AA77" s="79" t="s">
        <v>477</v>
      </c>
      <c r="AB77" s="79" t="s">
        <v>582</v>
      </c>
      <c r="AC77" s="77" t="s">
        <v>94</v>
      </c>
      <c r="AD77" s="79" t="s">
        <v>1469</v>
      </c>
    </row>
    <row r="78" spans="1:30" x14ac:dyDescent="0.4">
      <c r="A78" s="10" t="s">
        <v>771</v>
      </c>
      <c r="B78" s="77" t="s">
        <v>95</v>
      </c>
      <c r="C78" s="77">
        <f>C77+(BudgetsTable[[#This Row],[lead]]&lt;&gt;K77)</f>
        <v>23</v>
      </c>
      <c r="D78" s="77">
        <f>D77*(BudgetsTable[[#This Row],[lead]]=K77)+(BudgetsTable[[#This Row],[prop_id]]&lt;&gt;A77)</f>
        <v>1</v>
      </c>
      <c r="E78" s="78">
        <v>42934.734722222223</v>
      </c>
      <c r="F78" s="79" t="s">
        <v>1430</v>
      </c>
      <c r="G78" s="79" t="s">
        <v>477</v>
      </c>
      <c r="H78" s="79" t="s">
        <v>582</v>
      </c>
      <c r="I78" s="77" t="s">
        <v>611</v>
      </c>
      <c r="J78" s="77" t="s">
        <v>13</v>
      </c>
      <c r="K78" s="79" t="s">
        <v>771</v>
      </c>
      <c r="L78" s="7" t="str">
        <f>IF(BudgetsTable[[#This Row],[pi_last_name]]=" ","",HYPERLINK("https://www.ejacket.nsf.gov/ej/showProposal.do?Continue=Y&amp;ID="&amp;BudgetsTable[[#This Row],[prop_id]],BudgetsTable[[#This Row],[prop_id]]))</f>
        <v/>
      </c>
      <c r="M78" s="15" t="str">
        <f>IF(BudgetsTable[[#This Row],[pi_last_name]]=" ","",HYPERLINK("https://www.ejacket.nsf.gov/ej/processReviewAnalysis.do?dispatch=add&amp;uniqId="&amp;BudgetsTable[[#This Row],[prop_id]]&amp;PO_id,"&gt;ra"))</f>
        <v/>
      </c>
      <c r="N78" s="79" t="s">
        <v>13</v>
      </c>
      <c r="O78" s="7" t="str">
        <f>IF(BudgetsTable[[#This Row],[pi_last_name]]=" ","",HYPERLINK("mailto:"&amp;BudgetsTable[[#This Row],[pi_email]]&amp;"&amp;subject=Your NSF Proposal:  "&amp;BudgetsTable[[#This Row],[prop_id]],BudgetsTable[[#This Row],[pi_email]]))</f>
        <v/>
      </c>
      <c r="P78" s="79" t="s">
        <v>13</v>
      </c>
      <c r="Q78" s="79">
        <v>1</v>
      </c>
      <c r="R78" s="79">
        <v>2</v>
      </c>
      <c r="S78" s="80">
        <v>0</v>
      </c>
      <c r="T78" s="80">
        <v>2500</v>
      </c>
      <c r="U78" s="80">
        <v>0</v>
      </c>
      <c r="V78" s="81">
        <v>138114</v>
      </c>
      <c r="W78" s="79">
        <v>0</v>
      </c>
      <c r="X78" s="79">
        <v>2</v>
      </c>
      <c r="Y78" s="11" t="str">
        <f ca="1">IF(ISBLANK(BudgetsTable[[#This Row],[budg_seq_yr]]),"FY"&amp;fiscalyear,"FY"&amp;fiscalyear-1+BudgetsTable[[#This Row],[budg_seq_yr]])</f>
        <v>FY19</v>
      </c>
      <c r="Z78" s="80">
        <v>138114</v>
      </c>
      <c r="AA78" s="79" t="s">
        <v>477</v>
      </c>
      <c r="AB78" s="79" t="s">
        <v>582</v>
      </c>
      <c r="AC78" s="77" t="s">
        <v>94</v>
      </c>
      <c r="AD78" s="79" t="s">
        <v>1469</v>
      </c>
    </row>
    <row r="79" spans="1:30" x14ac:dyDescent="0.4">
      <c r="A79" s="10" t="s">
        <v>771</v>
      </c>
      <c r="B79" s="77" t="s">
        <v>95</v>
      </c>
      <c r="C79" s="77">
        <f>C78+(BudgetsTable[[#This Row],[lead]]&lt;&gt;K78)</f>
        <v>23</v>
      </c>
      <c r="D79" s="77">
        <f>D78*(BudgetsTable[[#This Row],[lead]]=K78)+(BudgetsTable[[#This Row],[prop_id]]&lt;&gt;A78)</f>
        <v>1</v>
      </c>
      <c r="E79" s="78">
        <v>42934.734722222223</v>
      </c>
      <c r="F79" s="79" t="s">
        <v>1430</v>
      </c>
      <c r="G79" s="79" t="s">
        <v>477</v>
      </c>
      <c r="H79" s="79" t="s">
        <v>582</v>
      </c>
      <c r="I79" s="77" t="s">
        <v>611</v>
      </c>
      <c r="J79" s="77" t="s">
        <v>13</v>
      </c>
      <c r="K79" s="79" t="s">
        <v>771</v>
      </c>
      <c r="L79" s="7" t="str">
        <f>IF(BudgetsTable[[#This Row],[pi_last_name]]=" ","",HYPERLINK("https://www.ejacket.nsf.gov/ej/showProposal.do?Continue=Y&amp;ID="&amp;BudgetsTable[[#This Row],[prop_id]],BudgetsTable[[#This Row],[prop_id]]))</f>
        <v/>
      </c>
      <c r="M79" s="15" t="str">
        <f>IF(BudgetsTable[[#This Row],[pi_last_name]]=" ","",HYPERLINK("https://www.ejacket.nsf.gov/ej/processReviewAnalysis.do?dispatch=add&amp;uniqId="&amp;BudgetsTable[[#This Row],[prop_id]]&amp;PO_id,"&gt;ra"))</f>
        <v/>
      </c>
      <c r="N79" s="79" t="s">
        <v>13</v>
      </c>
      <c r="O79" s="7" t="str">
        <f>IF(BudgetsTable[[#This Row],[pi_last_name]]=" ","",HYPERLINK("mailto:"&amp;BudgetsTable[[#This Row],[pi_email]]&amp;"&amp;subject=Your NSF Proposal:  "&amp;BudgetsTable[[#This Row],[prop_id]],BudgetsTable[[#This Row],[pi_email]]))</f>
        <v/>
      </c>
      <c r="P79" s="79" t="s">
        <v>13</v>
      </c>
      <c r="Q79" s="79">
        <v>1</v>
      </c>
      <c r="R79" s="79">
        <v>1</v>
      </c>
      <c r="S79" s="80">
        <v>0</v>
      </c>
      <c r="T79" s="80">
        <v>2500</v>
      </c>
      <c r="U79" s="80">
        <v>0</v>
      </c>
      <c r="V79" s="81">
        <v>110159</v>
      </c>
      <c r="W79" s="79">
        <v>0</v>
      </c>
      <c r="X79" s="79">
        <v>3</v>
      </c>
      <c r="Y79" s="11" t="str">
        <f ca="1">IF(ISBLANK(BudgetsTable[[#This Row],[budg_seq_yr]]),"FY"&amp;fiscalyear,"FY"&amp;fiscalyear-1+BudgetsTable[[#This Row],[budg_seq_yr]])</f>
        <v>FY20</v>
      </c>
      <c r="Z79" s="80">
        <v>110159</v>
      </c>
      <c r="AA79" s="79" t="s">
        <v>477</v>
      </c>
      <c r="AB79" s="79" t="s">
        <v>582</v>
      </c>
      <c r="AC79" s="77" t="s">
        <v>94</v>
      </c>
      <c r="AD79" s="79" t="s">
        <v>1469</v>
      </c>
    </row>
    <row r="80" spans="1:30" x14ac:dyDescent="0.4">
      <c r="A80" s="10" t="s">
        <v>771</v>
      </c>
      <c r="B80" s="77" t="s">
        <v>95</v>
      </c>
      <c r="C80" s="77">
        <f>C79+(BudgetsTable[[#This Row],[lead]]&lt;&gt;K79)</f>
        <v>23</v>
      </c>
      <c r="D80" s="77">
        <f>D79*(BudgetsTable[[#This Row],[lead]]=K79)+(BudgetsTable[[#This Row],[prop_id]]&lt;&gt;A79)</f>
        <v>1</v>
      </c>
      <c r="E80" s="78">
        <v>42934.734722222223</v>
      </c>
      <c r="F80" s="79" t="s">
        <v>1430</v>
      </c>
      <c r="G80" s="79" t="s">
        <v>477</v>
      </c>
      <c r="H80" s="79" t="s">
        <v>582</v>
      </c>
      <c r="I80" s="77" t="s">
        <v>611</v>
      </c>
      <c r="J80" s="77" t="s">
        <v>13</v>
      </c>
      <c r="K80" s="79" t="s">
        <v>771</v>
      </c>
      <c r="L80" s="7" t="str">
        <f>IF(BudgetsTable[[#This Row],[pi_last_name]]=" ","",HYPERLINK("https://www.ejacket.nsf.gov/ej/showProposal.do?Continue=Y&amp;ID="&amp;BudgetsTable[[#This Row],[prop_id]],BudgetsTable[[#This Row],[prop_id]]))</f>
        <v/>
      </c>
      <c r="M80" s="15" t="str">
        <f>IF(BudgetsTable[[#This Row],[pi_last_name]]=" ","",HYPERLINK("https://www.ejacket.nsf.gov/ej/processReviewAnalysis.do?dispatch=add&amp;uniqId="&amp;BudgetsTable[[#This Row],[prop_id]]&amp;PO_id,"&gt;ra"))</f>
        <v/>
      </c>
      <c r="N80" s="79" t="s">
        <v>13</v>
      </c>
      <c r="O80" s="7" t="str">
        <f>IF(BudgetsTable[[#This Row],[pi_last_name]]=" ","",HYPERLINK("mailto:"&amp;BudgetsTable[[#This Row],[pi_email]]&amp;"&amp;subject=Your NSF Proposal:  "&amp;BudgetsTable[[#This Row],[prop_id]],BudgetsTable[[#This Row],[pi_email]]))</f>
        <v/>
      </c>
      <c r="P80" s="79" t="s">
        <v>13</v>
      </c>
      <c r="Q80" s="79">
        <v>1</v>
      </c>
      <c r="R80" s="79">
        <v>1</v>
      </c>
      <c r="S80" s="80">
        <v>0</v>
      </c>
      <c r="T80" s="80">
        <v>2500</v>
      </c>
      <c r="U80" s="80">
        <v>0</v>
      </c>
      <c r="V80" s="81">
        <v>111876</v>
      </c>
      <c r="W80" s="79">
        <v>0</v>
      </c>
      <c r="X80" s="79">
        <v>4</v>
      </c>
      <c r="Y80" s="11" t="str">
        <f ca="1">IF(ISBLANK(BudgetsTable[[#This Row],[budg_seq_yr]]),"FY"&amp;fiscalyear,"FY"&amp;fiscalyear-1+BudgetsTable[[#This Row],[budg_seq_yr]])</f>
        <v>FY21</v>
      </c>
      <c r="Z80" s="80">
        <v>111876</v>
      </c>
      <c r="AA80" s="79" t="s">
        <v>477</v>
      </c>
      <c r="AB80" s="79" t="s">
        <v>582</v>
      </c>
      <c r="AC80" s="77" t="s">
        <v>94</v>
      </c>
      <c r="AD80" s="79" t="s">
        <v>1469</v>
      </c>
    </row>
    <row r="81" spans="1:30" x14ac:dyDescent="0.4">
      <c r="A81" s="10" t="s">
        <v>771</v>
      </c>
      <c r="B81" s="77" t="s">
        <v>95</v>
      </c>
      <c r="C81" s="77">
        <f>C80+(BudgetsTable[[#This Row],[lead]]&lt;&gt;K80)</f>
        <v>23</v>
      </c>
      <c r="D81" s="77">
        <f>D80*(BudgetsTable[[#This Row],[lead]]=K80)+(BudgetsTable[[#This Row],[prop_id]]&lt;&gt;A80)</f>
        <v>1</v>
      </c>
      <c r="E81" s="78">
        <v>42934.734722222223</v>
      </c>
      <c r="F81" s="79" t="s">
        <v>1430</v>
      </c>
      <c r="G81" s="79" t="s">
        <v>477</v>
      </c>
      <c r="H81" s="79" t="s">
        <v>582</v>
      </c>
      <c r="I81" s="77" t="s">
        <v>611</v>
      </c>
      <c r="J81" s="77" t="s">
        <v>13</v>
      </c>
      <c r="K81" s="79" t="s">
        <v>771</v>
      </c>
      <c r="L81" s="7" t="str">
        <f>IF(BudgetsTable[[#This Row],[pi_last_name]]=" ","",HYPERLINK("https://www.ejacket.nsf.gov/ej/showProposal.do?Continue=Y&amp;ID="&amp;BudgetsTable[[#This Row],[prop_id]],BudgetsTable[[#This Row],[prop_id]]))</f>
        <v/>
      </c>
      <c r="M81" s="15" t="str">
        <f>IF(BudgetsTable[[#This Row],[pi_last_name]]=" ","",HYPERLINK("https://www.ejacket.nsf.gov/ej/processReviewAnalysis.do?dispatch=add&amp;uniqId="&amp;BudgetsTable[[#This Row],[prop_id]]&amp;PO_id,"&gt;ra"))</f>
        <v/>
      </c>
      <c r="N81" s="79" t="s">
        <v>13</v>
      </c>
      <c r="O81" s="7" t="str">
        <f>IF(BudgetsTable[[#This Row],[pi_last_name]]=" ","",HYPERLINK("mailto:"&amp;BudgetsTable[[#This Row],[pi_email]]&amp;"&amp;subject=Your NSF Proposal:  "&amp;BudgetsTable[[#This Row],[prop_id]],BudgetsTable[[#This Row],[pi_email]]))</f>
        <v/>
      </c>
      <c r="P81" s="79" t="s">
        <v>13</v>
      </c>
      <c r="Q81" s="79">
        <v>1</v>
      </c>
      <c r="R81" s="79">
        <v>1</v>
      </c>
      <c r="S81" s="80">
        <v>0</v>
      </c>
      <c r="T81" s="80">
        <v>2500</v>
      </c>
      <c r="U81" s="80">
        <v>0</v>
      </c>
      <c r="V81" s="81">
        <v>100121</v>
      </c>
      <c r="W81" s="79">
        <v>0</v>
      </c>
      <c r="X81" s="79">
        <v>5</v>
      </c>
      <c r="Y81" s="11" t="str">
        <f ca="1">IF(ISBLANK(BudgetsTable[[#This Row],[budg_seq_yr]]),"FY"&amp;fiscalyear,"FY"&amp;fiscalyear-1+BudgetsTable[[#This Row],[budg_seq_yr]])</f>
        <v>FY22</v>
      </c>
      <c r="Z81" s="80">
        <v>100121</v>
      </c>
      <c r="AA81" s="79" t="s">
        <v>477</v>
      </c>
      <c r="AB81" s="79" t="s">
        <v>582</v>
      </c>
      <c r="AC81" s="77" t="s">
        <v>94</v>
      </c>
      <c r="AD81" s="79" t="s">
        <v>1469</v>
      </c>
    </row>
    <row r="82" spans="1:30" x14ac:dyDescent="0.4">
      <c r="A82" s="10" t="s">
        <v>782</v>
      </c>
      <c r="B82" s="77" t="s">
        <v>95</v>
      </c>
      <c r="C82" s="77">
        <f>C81+(BudgetsTable[[#This Row],[lead]]&lt;&gt;K81)</f>
        <v>24</v>
      </c>
      <c r="D82" s="77">
        <f>D81*(BudgetsTable[[#This Row],[lead]]=K81)+(BudgetsTable[[#This Row],[prop_id]]&lt;&gt;A81)</f>
        <v>1</v>
      </c>
      <c r="E82" s="78">
        <v>42934.737500000003</v>
      </c>
      <c r="F82" s="79" t="s">
        <v>1430</v>
      </c>
      <c r="G82" s="79" t="s">
        <v>477</v>
      </c>
      <c r="H82" s="79" t="s">
        <v>582</v>
      </c>
      <c r="I82" s="77" t="s">
        <v>611</v>
      </c>
      <c r="J82" s="77" t="s">
        <v>1499</v>
      </c>
      <c r="K82" s="79" t="s">
        <v>782</v>
      </c>
      <c r="L82" s="7" t="str">
        <f>IF(BudgetsTable[[#This Row],[pi_last_name]]=" ","",HYPERLINK("https://www.ejacket.nsf.gov/ej/showProposal.do?Continue=Y&amp;ID="&amp;BudgetsTable[[#This Row],[prop_id]],BudgetsTable[[#This Row],[prop_id]]))</f>
        <v>1750039</v>
      </c>
      <c r="M82" s="15" t="e">
        <f>IF(BudgetsTable[[#This Row],[pi_last_name]]=" ","",HYPERLINK("https://www.ejacket.nsf.gov/ej/processReviewAnalysis.do?dispatch=add&amp;uniqId="&amp;BudgetsTable[[#This Row],[prop_id]]&amp;PO_id,"&gt;ra"))</f>
        <v>#REF!</v>
      </c>
      <c r="N82" s="79" t="s">
        <v>783</v>
      </c>
      <c r="O82" s="7" t="str">
        <f>IF(BudgetsTable[[#This Row],[pi_last_name]]=" ","",HYPERLINK("mailto:"&amp;BudgetsTable[[#This Row],[pi_email]]&amp;"&amp;subject=Your NSF Proposal:  "&amp;BudgetsTable[[#This Row],[prop_id]],BudgetsTable[[#This Row],[pi_email]]))</f>
        <v>solomon2@illinois.edu</v>
      </c>
      <c r="P82" s="79" t="s">
        <v>1477</v>
      </c>
      <c r="Q82" s="79"/>
      <c r="R82" s="79"/>
      <c r="S82" s="80"/>
      <c r="T82" s="80"/>
      <c r="U82" s="80"/>
      <c r="V82" s="81"/>
      <c r="W82" s="79">
        <v>0</v>
      </c>
      <c r="X82" s="79"/>
      <c r="Y82" s="11" t="str">
        <f ca="1">IF(ISBLANK(BudgetsTable[[#This Row],[budg_seq_yr]]),"FY"&amp;fiscalyear,"FY"&amp;fiscalyear-1+BudgetsTable[[#This Row],[budg_seq_yr]])</f>
        <v>FY18</v>
      </c>
      <c r="Z82" s="80">
        <v>524117</v>
      </c>
      <c r="AA82" s="79" t="s">
        <v>477</v>
      </c>
      <c r="AB82" s="79" t="s">
        <v>582</v>
      </c>
      <c r="AC82" s="77" t="s">
        <v>94</v>
      </c>
      <c r="AD82" s="79" t="s">
        <v>1444</v>
      </c>
    </row>
    <row r="83" spans="1:30" x14ac:dyDescent="0.4">
      <c r="A83" s="10" t="s">
        <v>782</v>
      </c>
      <c r="B83" s="77" t="s">
        <v>95</v>
      </c>
      <c r="C83" s="77">
        <f>C82+(BudgetsTable[[#This Row],[lead]]&lt;&gt;K82)</f>
        <v>24</v>
      </c>
      <c r="D83" s="77">
        <f>D82*(BudgetsTable[[#This Row],[lead]]=K82)+(BudgetsTable[[#This Row],[prop_id]]&lt;&gt;A82)</f>
        <v>1</v>
      </c>
      <c r="E83" s="78">
        <v>42934.737500000003</v>
      </c>
      <c r="F83" s="79" t="s">
        <v>1430</v>
      </c>
      <c r="G83" s="79" t="s">
        <v>477</v>
      </c>
      <c r="H83" s="79" t="s">
        <v>582</v>
      </c>
      <c r="I83" s="77" t="s">
        <v>611</v>
      </c>
      <c r="J83" s="77" t="s">
        <v>13</v>
      </c>
      <c r="K83" s="79" t="s">
        <v>782</v>
      </c>
      <c r="L83" s="7" t="str">
        <f>IF(BudgetsTable[[#This Row],[pi_last_name]]=" ","",HYPERLINK("https://www.ejacket.nsf.gov/ej/showProposal.do?Continue=Y&amp;ID="&amp;BudgetsTable[[#This Row],[prop_id]],BudgetsTable[[#This Row],[prop_id]]))</f>
        <v/>
      </c>
      <c r="M83" s="15" t="str">
        <f>IF(BudgetsTable[[#This Row],[pi_last_name]]=" ","",HYPERLINK("https://www.ejacket.nsf.gov/ej/processReviewAnalysis.do?dispatch=add&amp;uniqId="&amp;BudgetsTable[[#This Row],[prop_id]]&amp;PO_id,"&gt;ra"))</f>
        <v/>
      </c>
      <c r="N83" s="79" t="s">
        <v>13</v>
      </c>
      <c r="O83" s="7" t="str">
        <f>IF(BudgetsTable[[#This Row],[pi_last_name]]=" ","",HYPERLINK("mailto:"&amp;BudgetsTable[[#This Row],[pi_email]]&amp;"&amp;subject=Your NSF Proposal:  "&amp;BudgetsTable[[#This Row],[prop_id]],BudgetsTable[[#This Row],[pi_email]]))</f>
        <v/>
      </c>
      <c r="P83" s="79" t="s">
        <v>13</v>
      </c>
      <c r="Q83" s="79">
        <v>1</v>
      </c>
      <c r="R83" s="79">
        <v>0.5</v>
      </c>
      <c r="S83" s="80">
        <v>0</v>
      </c>
      <c r="T83" s="80">
        <v>2250</v>
      </c>
      <c r="U83" s="80">
        <v>0</v>
      </c>
      <c r="V83" s="81">
        <v>100718</v>
      </c>
      <c r="W83" s="79">
        <v>0</v>
      </c>
      <c r="X83" s="79">
        <v>1</v>
      </c>
      <c r="Y83" s="11" t="str">
        <f ca="1">IF(ISBLANK(BudgetsTable[[#This Row],[budg_seq_yr]]),"FY"&amp;fiscalyear,"FY"&amp;fiscalyear-1+BudgetsTable[[#This Row],[budg_seq_yr]])</f>
        <v>FY18</v>
      </c>
      <c r="Z83" s="80">
        <v>100718</v>
      </c>
      <c r="AA83" s="79" t="s">
        <v>477</v>
      </c>
      <c r="AB83" s="79" t="s">
        <v>582</v>
      </c>
      <c r="AC83" s="77" t="s">
        <v>94</v>
      </c>
      <c r="AD83" s="79" t="s">
        <v>1444</v>
      </c>
    </row>
    <row r="84" spans="1:30" x14ac:dyDescent="0.4">
      <c r="A84" s="10" t="s">
        <v>782</v>
      </c>
      <c r="B84" s="77" t="s">
        <v>95</v>
      </c>
      <c r="C84" s="77">
        <f>C83+(BudgetsTable[[#This Row],[lead]]&lt;&gt;K83)</f>
        <v>24</v>
      </c>
      <c r="D84" s="77">
        <f>D83*(BudgetsTable[[#This Row],[lead]]=K83)+(BudgetsTable[[#This Row],[prop_id]]&lt;&gt;A83)</f>
        <v>1</v>
      </c>
      <c r="E84" s="78">
        <v>42934.737500000003</v>
      </c>
      <c r="F84" s="79" t="s">
        <v>1430</v>
      </c>
      <c r="G84" s="79" t="s">
        <v>477</v>
      </c>
      <c r="H84" s="79" t="s">
        <v>582</v>
      </c>
      <c r="I84" s="77" t="s">
        <v>611</v>
      </c>
      <c r="J84" s="77" t="s">
        <v>13</v>
      </c>
      <c r="K84" s="79" t="s">
        <v>782</v>
      </c>
      <c r="L84" s="7" t="str">
        <f>IF(BudgetsTable[[#This Row],[pi_last_name]]=" ","",HYPERLINK("https://www.ejacket.nsf.gov/ej/showProposal.do?Continue=Y&amp;ID="&amp;BudgetsTable[[#This Row],[prop_id]],BudgetsTable[[#This Row],[prop_id]]))</f>
        <v/>
      </c>
      <c r="M84" s="15" t="str">
        <f>IF(BudgetsTable[[#This Row],[pi_last_name]]=" ","",HYPERLINK("https://www.ejacket.nsf.gov/ej/processReviewAnalysis.do?dispatch=add&amp;uniqId="&amp;BudgetsTable[[#This Row],[prop_id]]&amp;PO_id,"&gt;ra"))</f>
        <v/>
      </c>
      <c r="N84" s="79" t="s">
        <v>13</v>
      </c>
      <c r="O84" s="7" t="str">
        <f>IF(BudgetsTable[[#This Row],[pi_last_name]]=" ","",HYPERLINK("mailto:"&amp;BudgetsTable[[#This Row],[pi_email]]&amp;"&amp;subject=Your NSF Proposal:  "&amp;BudgetsTable[[#This Row],[prop_id]],BudgetsTable[[#This Row],[pi_email]]))</f>
        <v/>
      </c>
      <c r="P84" s="79" t="s">
        <v>13</v>
      </c>
      <c r="Q84" s="79">
        <v>1</v>
      </c>
      <c r="R84" s="79">
        <v>0.5</v>
      </c>
      <c r="S84" s="80">
        <v>0</v>
      </c>
      <c r="T84" s="80">
        <v>2250</v>
      </c>
      <c r="U84" s="80">
        <v>0</v>
      </c>
      <c r="V84" s="81">
        <v>101222</v>
      </c>
      <c r="W84" s="79">
        <v>0</v>
      </c>
      <c r="X84" s="79">
        <v>2</v>
      </c>
      <c r="Y84" s="11" t="str">
        <f ca="1">IF(ISBLANK(BudgetsTable[[#This Row],[budg_seq_yr]]),"FY"&amp;fiscalyear,"FY"&amp;fiscalyear-1+BudgetsTable[[#This Row],[budg_seq_yr]])</f>
        <v>FY19</v>
      </c>
      <c r="Z84" s="80">
        <v>101222</v>
      </c>
      <c r="AA84" s="79" t="s">
        <v>477</v>
      </c>
      <c r="AB84" s="79" t="s">
        <v>582</v>
      </c>
      <c r="AC84" s="77" t="s">
        <v>94</v>
      </c>
      <c r="AD84" s="79" t="s">
        <v>1444</v>
      </c>
    </row>
    <row r="85" spans="1:30" x14ac:dyDescent="0.4">
      <c r="A85" s="10" t="s">
        <v>782</v>
      </c>
      <c r="B85" s="77" t="s">
        <v>95</v>
      </c>
      <c r="C85" s="77">
        <f>C84+(BudgetsTable[[#This Row],[lead]]&lt;&gt;K84)</f>
        <v>24</v>
      </c>
      <c r="D85" s="77">
        <f>D84*(BudgetsTable[[#This Row],[lead]]=K84)+(BudgetsTable[[#This Row],[prop_id]]&lt;&gt;A84)</f>
        <v>1</v>
      </c>
      <c r="E85" s="78">
        <v>42934.737500000003</v>
      </c>
      <c r="F85" s="79" t="s">
        <v>1430</v>
      </c>
      <c r="G85" s="79" t="s">
        <v>477</v>
      </c>
      <c r="H85" s="79" t="s">
        <v>582</v>
      </c>
      <c r="I85" s="77" t="s">
        <v>611</v>
      </c>
      <c r="J85" s="77" t="s">
        <v>13</v>
      </c>
      <c r="K85" s="79" t="s">
        <v>782</v>
      </c>
      <c r="L85" s="7" t="str">
        <f>IF(BudgetsTable[[#This Row],[pi_last_name]]=" ","",HYPERLINK("https://www.ejacket.nsf.gov/ej/showProposal.do?Continue=Y&amp;ID="&amp;BudgetsTable[[#This Row],[prop_id]],BudgetsTable[[#This Row],[prop_id]]))</f>
        <v/>
      </c>
      <c r="M85" s="15" t="str">
        <f>IF(BudgetsTable[[#This Row],[pi_last_name]]=" ","",HYPERLINK("https://www.ejacket.nsf.gov/ej/processReviewAnalysis.do?dispatch=add&amp;uniqId="&amp;BudgetsTable[[#This Row],[prop_id]]&amp;PO_id,"&gt;ra"))</f>
        <v/>
      </c>
      <c r="N85" s="79" t="s">
        <v>13</v>
      </c>
      <c r="O85" s="7" t="str">
        <f>IF(BudgetsTable[[#This Row],[pi_last_name]]=" ","",HYPERLINK("mailto:"&amp;BudgetsTable[[#This Row],[pi_email]]&amp;"&amp;subject=Your NSF Proposal:  "&amp;BudgetsTable[[#This Row],[prop_id]],BudgetsTable[[#This Row],[pi_email]]))</f>
        <v/>
      </c>
      <c r="P85" s="79" t="s">
        <v>13</v>
      </c>
      <c r="Q85" s="79">
        <v>1</v>
      </c>
      <c r="R85" s="79">
        <v>0.5</v>
      </c>
      <c r="S85" s="80">
        <v>0</v>
      </c>
      <c r="T85" s="80">
        <v>2250</v>
      </c>
      <c r="U85" s="80">
        <v>0</v>
      </c>
      <c r="V85" s="81">
        <v>104224</v>
      </c>
      <c r="W85" s="79">
        <v>0</v>
      </c>
      <c r="X85" s="79">
        <v>3</v>
      </c>
      <c r="Y85" s="11" t="str">
        <f ca="1">IF(ISBLANK(BudgetsTable[[#This Row],[budg_seq_yr]]),"FY"&amp;fiscalyear,"FY"&amp;fiscalyear-1+BudgetsTable[[#This Row],[budg_seq_yr]])</f>
        <v>FY20</v>
      </c>
      <c r="Z85" s="80">
        <v>104224</v>
      </c>
      <c r="AA85" s="79" t="s">
        <v>477</v>
      </c>
      <c r="AB85" s="79" t="s">
        <v>582</v>
      </c>
      <c r="AC85" s="77" t="s">
        <v>94</v>
      </c>
      <c r="AD85" s="79" t="s">
        <v>1444</v>
      </c>
    </row>
    <row r="86" spans="1:30" x14ac:dyDescent="0.4">
      <c r="A86" s="10" t="s">
        <v>782</v>
      </c>
      <c r="B86" s="77" t="s">
        <v>95</v>
      </c>
      <c r="C86" s="77">
        <f>C85+(BudgetsTable[[#This Row],[lead]]&lt;&gt;K85)</f>
        <v>24</v>
      </c>
      <c r="D86" s="77">
        <f>D85*(BudgetsTable[[#This Row],[lead]]=K85)+(BudgetsTable[[#This Row],[prop_id]]&lt;&gt;A85)</f>
        <v>1</v>
      </c>
      <c r="E86" s="78">
        <v>42934.737500000003</v>
      </c>
      <c r="F86" s="79" t="s">
        <v>1430</v>
      </c>
      <c r="G86" s="79" t="s">
        <v>477</v>
      </c>
      <c r="H86" s="79" t="s">
        <v>582</v>
      </c>
      <c r="I86" s="77" t="s">
        <v>611</v>
      </c>
      <c r="J86" s="77" t="s">
        <v>13</v>
      </c>
      <c r="K86" s="79" t="s">
        <v>782</v>
      </c>
      <c r="L86" s="7" t="str">
        <f>IF(BudgetsTable[[#This Row],[pi_last_name]]=" ","",HYPERLINK("https://www.ejacket.nsf.gov/ej/showProposal.do?Continue=Y&amp;ID="&amp;BudgetsTable[[#This Row],[prop_id]],BudgetsTable[[#This Row],[prop_id]]))</f>
        <v/>
      </c>
      <c r="M86" s="15" t="str">
        <f>IF(BudgetsTable[[#This Row],[pi_last_name]]=" ","",HYPERLINK("https://www.ejacket.nsf.gov/ej/processReviewAnalysis.do?dispatch=add&amp;uniqId="&amp;BudgetsTable[[#This Row],[prop_id]]&amp;PO_id,"&gt;ra"))</f>
        <v/>
      </c>
      <c r="N86" s="79" t="s">
        <v>13</v>
      </c>
      <c r="O86" s="7" t="str">
        <f>IF(BudgetsTable[[#This Row],[pi_last_name]]=" ","",HYPERLINK("mailto:"&amp;BudgetsTable[[#This Row],[pi_email]]&amp;"&amp;subject=Your NSF Proposal:  "&amp;BudgetsTable[[#This Row],[prop_id]],BudgetsTable[[#This Row],[pi_email]]))</f>
        <v/>
      </c>
      <c r="P86" s="79" t="s">
        <v>13</v>
      </c>
      <c r="Q86" s="79">
        <v>1</v>
      </c>
      <c r="R86" s="79">
        <v>0.5</v>
      </c>
      <c r="S86" s="80">
        <v>0</v>
      </c>
      <c r="T86" s="80">
        <v>2250</v>
      </c>
      <c r="U86" s="80">
        <v>0</v>
      </c>
      <c r="V86" s="81">
        <v>107350</v>
      </c>
      <c r="W86" s="79">
        <v>0</v>
      </c>
      <c r="X86" s="79">
        <v>4</v>
      </c>
      <c r="Y86" s="11" t="str">
        <f ca="1">IF(ISBLANK(BudgetsTable[[#This Row],[budg_seq_yr]]),"FY"&amp;fiscalyear,"FY"&amp;fiscalyear-1+BudgetsTable[[#This Row],[budg_seq_yr]])</f>
        <v>FY21</v>
      </c>
      <c r="Z86" s="80">
        <v>107350</v>
      </c>
      <c r="AA86" s="79" t="s">
        <v>477</v>
      </c>
      <c r="AB86" s="79" t="s">
        <v>582</v>
      </c>
      <c r="AC86" s="77" t="s">
        <v>94</v>
      </c>
      <c r="AD86" s="79" t="s">
        <v>1444</v>
      </c>
    </row>
    <row r="87" spans="1:30" x14ac:dyDescent="0.4">
      <c r="A87" s="10" t="s">
        <v>782</v>
      </c>
      <c r="B87" s="77" t="s">
        <v>95</v>
      </c>
      <c r="C87" s="77">
        <f>C86+(BudgetsTable[[#This Row],[lead]]&lt;&gt;K86)</f>
        <v>24</v>
      </c>
      <c r="D87" s="77">
        <f>D86*(BudgetsTable[[#This Row],[lead]]=K86)+(BudgetsTable[[#This Row],[prop_id]]&lt;&gt;A86)</f>
        <v>1</v>
      </c>
      <c r="E87" s="78">
        <v>42934.737500000003</v>
      </c>
      <c r="F87" s="79" t="s">
        <v>1430</v>
      </c>
      <c r="G87" s="79" t="s">
        <v>477</v>
      </c>
      <c r="H87" s="79" t="s">
        <v>582</v>
      </c>
      <c r="I87" s="77" t="s">
        <v>611</v>
      </c>
      <c r="J87" s="77" t="s">
        <v>13</v>
      </c>
      <c r="K87" s="79" t="s">
        <v>782</v>
      </c>
      <c r="L87" s="7" t="str">
        <f>IF(BudgetsTable[[#This Row],[pi_last_name]]=" ","",HYPERLINK("https://www.ejacket.nsf.gov/ej/showProposal.do?Continue=Y&amp;ID="&amp;BudgetsTable[[#This Row],[prop_id]],BudgetsTable[[#This Row],[prop_id]]))</f>
        <v/>
      </c>
      <c r="M87" s="15" t="str">
        <f>IF(BudgetsTable[[#This Row],[pi_last_name]]=" ","",HYPERLINK("https://www.ejacket.nsf.gov/ej/processReviewAnalysis.do?dispatch=add&amp;uniqId="&amp;BudgetsTable[[#This Row],[prop_id]]&amp;PO_id,"&gt;ra"))</f>
        <v/>
      </c>
      <c r="N87" s="79" t="s">
        <v>13</v>
      </c>
      <c r="O87" s="7" t="str">
        <f>IF(BudgetsTable[[#This Row],[pi_last_name]]=" ","",HYPERLINK("mailto:"&amp;BudgetsTable[[#This Row],[pi_email]]&amp;"&amp;subject=Your NSF Proposal:  "&amp;BudgetsTable[[#This Row],[prop_id]],BudgetsTable[[#This Row],[pi_email]]))</f>
        <v/>
      </c>
      <c r="P87" s="79" t="s">
        <v>13</v>
      </c>
      <c r="Q87" s="79">
        <v>1</v>
      </c>
      <c r="R87" s="79">
        <v>0.5</v>
      </c>
      <c r="S87" s="80">
        <v>0</v>
      </c>
      <c r="T87" s="80">
        <v>2250</v>
      </c>
      <c r="U87" s="80">
        <v>0</v>
      </c>
      <c r="V87" s="81">
        <v>110603</v>
      </c>
      <c r="W87" s="79">
        <v>0</v>
      </c>
      <c r="X87" s="79">
        <v>5</v>
      </c>
      <c r="Y87" s="11" t="str">
        <f ca="1">IF(ISBLANK(BudgetsTable[[#This Row],[budg_seq_yr]]),"FY"&amp;fiscalyear,"FY"&amp;fiscalyear-1+BudgetsTable[[#This Row],[budg_seq_yr]])</f>
        <v>FY22</v>
      </c>
      <c r="Z87" s="80">
        <v>110603</v>
      </c>
      <c r="AA87" s="79" t="s">
        <v>477</v>
      </c>
      <c r="AB87" s="79" t="s">
        <v>582</v>
      </c>
      <c r="AC87" s="77" t="s">
        <v>94</v>
      </c>
      <c r="AD87" s="79" t="s">
        <v>1444</v>
      </c>
    </row>
    <row r="88" spans="1:30" x14ac:dyDescent="0.4">
      <c r="A88" s="10" t="s">
        <v>791</v>
      </c>
      <c r="B88" s="77" t="s">
        <v>95</v>
      </c>
      <c r="C88" s="77">
        <f>C87+(BudgetsTable[[#This Row],[lead]]&lt;&gt;K87)</f>
        <v>25</v>
      </c>
      <c r="D88" s="77">
        <f>D87*(BudgetsTable[[#This Row],[lead]]=K87)+(BudgetsTable[[#This Row],[prop_id]]&lt;&gt;A87)</f>
        <v>1</v>
      </c>
      <c r="E88" s="78">
        <v>42934.806944444441</v>
      </c>
      <c r="F88" s="79" t="s">
        <v>1430</v>
      </c>
      <c r="G88" s="79" t="s">
        <v>477</v>
      </c>
      <c r="H88" s="79" t="s">
        <v>582</v>
      </c>
      <c r="I88" s="77" t="s">
        <v>654</v>
      </c>
      <c r="J88" s="77" t="s">
        <v>1504</v>
      </c>
      <c r="K88" s="79" t="s">
        <v>791</v>
      </c>
      <c r="L88" s="7" t="str">
        <f>IF(BudgetsTable[[#This Row],[pi_last_name]]=" ","",HYPERLINK("https://www.ejacket.nsf.gov/ej/showProposal.do?Continue=Y&amp;ID="&amp;BudgetsTable[[#This Row],[prop_id]],BudgetsTable[[#This Row],[prop_id]]))</f>
        <v>1750075</v>
      </c>
      <c r="M88" s="15" t="e">
        <f>IF(BudgetsTable[[#This Row],[pi_last_name]]=" ","",HYPERLINK("https://www.ejacket.nsf.gov/ej/processReviewAnalysis.do?dispatch=add&amp;uniqId="&amp;BudgetsTable[[#This Row],[prop_id]]&amp;PO_id,"&gt;ra"))</f>
        <v>#REF!</v>
      </c>
      <c r="N88" s="79" t="s">
        <v>792</v>
      </c>
      <c r="O88" s="7" t="str">
        <f>IF(BudgetsTable[[#This Row],[pi_last_name]]=" ","",HYPERLINK("mailto:"&amp;BudgetsTable[[#This Row],[pi_email]]&amp;"&amp;subject=Your NSF Proposal:  "&amp;BudgetsTable[[#This Row],[prop_id]],BudgetsTable[[#This Row],[pi_email]]))</f>
        <v>razaviya@usc.edu</v>
      </c>
      <c r="P88" s="79" t="s">
        <v>1501</v>
      </c>
      <c r="Q88" s="79"/>
      <c r="R88" s="79"/>
      <c r="S88" s="80"/>
      <c r="T88" s="80"/>
      <c r="U88" s="80"/>
      <c r="V88" s="81"/>
      <c r="W88" s="79">
        <v>0</v>
      </c>
      <c r="X88" s="79"/>
      <c r="Y88" s="11" t="str">
        <f ca="1">IF(ISBLANK(BudgetsTable[[#This Row],[budg_seq_yr]]),"FY"&amp;fiscalyear,"FY"&amp;fiscalyear-1+BudgetsTable[[#This Row],[budg_seq_yr]])</f>
        <v>FY18</v>
      </c>
      <c r="Z88" s="80">
        <v>539673</v>
      </c>
      <c r="AA88" s="79" t="s">
        <v>477</v>
      </c>
      <c r="AB88" s="79" t="s">
        <v>582</v>
      </c>
      <c r="AC88" s="77" t="s">
        <v>94</v>
      </c>
      <c r="AD88" s="79" t="s">
        <v>1432</v>
      </c>
    </row>
    <row r="89" spans="1:30" x14ac:dyDescent="0.4">
      <c r="A89" s="10" t="s">
        <v>791</v>
      </c>
      <c r="B89" s="77" t="s">
        <v>95</v>
      </c>
      <c r="C89" s="77">
        <f>C88+(BudgetsTable[[#This Row],[lead]]&lt;&gt;K88)</f>
        <v>25</v>
      </c>
      <c r="D89" s="77">
        <f>D88*(BudgetsTable[[#This Row],[lead]]=K88)+(BudgetsTable[[#This Row],[prop_id]]&lt;&gt;A88)</f>
        <v>1</v>
      </c>
      <c r="E89" s="78">
        <v>42934.806944444441</v>
      </c>
      <c r="F89" s="79" t="s">
        <v>1430</v>
      </c>
      <c r="G89" s="79" t="s">
        <v>477</v>
      </c>
      <c r="H89" s="79" t="s">
        <v>582</v>
      </c>
      <c r="I89" s="77" t="s">
        <v>654</v>
      </c>
      <c r="J89" s="77" t="s">
        <v>13</v>
      </c>
      <c r="K89" s="79" t="s">
        <v>791</v>
      </c>
      <c r="L89" s="7" t="str">
        <f>IF(BudgetsTable[[#This Row],[pi_last_name]]=" ","",HYPERLINK("https://www.ejacket.nsf.gov/ej/showProposal.do?Continue=Y&amp;ID="&amp;BudgetsTable[[#This Row],[prop_id]],BudgetsTable[[#This Row],[prop_id]]))</f>
        <v/>
      </c>
      <c r="M89" s="15" t="str">
        <f>IF(BudgetsTable[[#This Row],[pi_last_name]]=" ","",HYPERLINK("https://www.ejacket.nsf.gov/ej/processReviewAnalysis.do?dispatch=add&amp;uniqId="&amp;BudgetsTable[[#This Row],[prop_id]]&amp;PO_id,"&gt;ra"))</f>
        <v/>
      </c>
      <c r="N89" s="79" t="s">
        <v>13</v>
      </c>
      <c r="O89" s="7" t="str">
        <f>IF(BudgetsTable[[#This Row],[pi_last_name]]=" ","",HYPERLINK("mailto:"&amp;BudgetsTable[[#This Row],[pi_email]]&amp;"&amp;subject=Your NSF Proposal:  "&amp;BudgetsTable[[#This Row],[prop_id]],BudgetsTable[[#This Row],[pi_email]]))</f>
        <v/>
      </c>
      <c r="P89" s="79" t="s">
        <v>13</v>
      </c>
      <c r="Q89" s="79">
        <v>1</v>
      </c>
      <c r="R89" s="79">
        <v>1</v>
      </c>
      <c r="S89" s="80">
        <v>0</v>
      </c>
      <c r="T89" s="80">
        <v>0</v>
      </c>
      <c r="U89" s="80">
        <v>6500</v>
      </c>
      <c r="V89" s="81">
        <v>104372</v>
      </c>
      <c r="W89" s="79">
        <v>0</v>
      </c>
      <c r="X89" s="79">
        <v>1</v>
      </c>
      <c r="Y89" s="11" t="str">
        <f ca="1">IF(ISBLANK(BudgetsTable[[#This Row],[budg_seq_yr]]),"FY"&amp;fiscalyear,"FY"&amp;fiscalyear-1+BudgetsTable[[#This Row],[budg_seq_yr]])</f>
        <v>FY18</v>
      </c>
      <c r="Z89" s="80">
        <v>104372</v>
      </c>
      <c r="AA89" s="79" t="s">
        <v>477</v>
      </c>
      <c r="AB89" s="79" t="s">
        <v>582</v>
      </c>
      <c r="AC89" s="77" t="s">
        <v>94</v>
      </c>
      <c r="AD89" s="79" t="s">
        <v>1432</v>
      </c>
    </row>
    <row r="90" spans="1:30" x14ac:dyDescent="0.4">
      <c r="A90" s="10" t="s">
        <v>791</v>
      </c>
      <c r="B90" s="77" t="s">
        <v>95</v>
      </c>
      <c r="C90" s="77">
        <f>C89+(BudgetsTable[[#This Row],[lead]]&lt;&gt;K89)</f>
        <v>25</v>
      </c>
      <c r="D90" s="77">
        <f>D89*(BudgetsTable[[#This Row],[lead]]=K89)+(BudgetsTable[[#This Row],[prop_id]]&lt;&gt;A89)</f>
        <v>1</v>
      </c>
      <c r="E90" s="78">
        <v>42934.806944444441</v>
      </c>
      <c r="F90" s="79" t="s">
        <v>1430</v>
      </c>
      <c r="G90" s="79" t="s">
        <v>477</v>
      </c>
      <c r="H90" s="79" t="s">
        <v>582</v>
      </c>
      <c r="I90" s="77" t="s">
        <v>654</v>
      </c>
      <c r="J90" s="77" t="s">
        <v>13</v>
      </c>
      <c r="K90" s="79" t="s">
        <v>791</v>
      </c>
      <c r="L90" s="7" t="str">
        <f>IF(BudgetsTable[[#This Row],[pi_last_name]]=" ","",HYPERLINK("https://www.ejacket.nsf.gov/ej/showProposal.do?Continue=Y&amp;ID="&amp;BudgetsTable[[#This Row],[prop_id]],BudgetsTable[[#This Row],[prop_id]]))</f>
        <v/>
      </c>
      <c r="M90" s="15" t="str">
        <f>IF(BudgetsTable[[#This Row],[pi_last_name]]=" ","",HYPERLINK("https://www.ejacket.nsf.gov/ej/processReviewAnalysis.do?dispatch=add&amp;uniqId="&amp;BudgetsTable[[#This Row],[prop_id]]&amp;PO_id,"&gt;ra"))</f>
        <v/>
      </c>
      <c r="N90" s="79" t="s">
        <v>13</v>
      </c>
      <c r="O90" s="7" t="str">
        <f>IF(BudgetsTable[[#This Row],[pi_last_name]]=" ","",HYPERLINK("mailto:"&amp;BudgetsTable[[#This Row],[pi_email]]&amp;"&amp;subject=Your NSF Proposal:  "&amp;BudgetsTable[[#This Row],[prop_id]],BudgetsTable[[#This Row],[pi_email]]))</f>
        <v/>
      </c>
      <c r="P90" s="79" t="s">
        <v>13</v>
      </c>
      <c r="Q90" s="79">
        <v>1</v>
      </c>
      <c r="R90" s="79">
        <v>1</v>
      </c>
      <c r="S90" s="80">
        <v>0</v>
      </c>
      <c r="T90" s="80">
        <v>0</v>
      </c>
      <c r="U90" s="80">
        <v>0</v>
      </c>
      <c r="V90" s="81">
        <v>101457</v>
      </c>
      <c r="W90" s="79">
        <v>0</v>
      </c>
      <c r="X90" s="79">
        <v>2</v>
      </c>
      <c r="Y90" s="11" t="str">
        <f ca="1">IF(ISBLANK(BudgetsTable[[#This Row],[budg_seq_yr]]),"FY"&amp;fiscalyear,"FY"&amp;fiscalyear-1+BudgetsTable[[#This Row],[budg_seq_yr]])</f>
        <v>FY19</v>
      </c>
      <c r="Z90" s="80">
        <v>101457</v>
      </c>
      <c r="AA90" s="79" t="s">
        <v>477</v>
      </c>
      <c r="AB90" s="79" t="s">
        <v>582</v>
      </c>
      <c r="AC90" s="77" t="s">
        <v>94</v>
      </c>
      <c r="AD90" s="79" t="s">
        <v>1432</v>
      </c>
    </row>
    <row r="91" spans="1:30" x14ac:dyDescent="0.4">
      <c r="A91" s="10" t="s">
        <v>791</v>
      </c>
      <c r="B91" s="77" t="s">
        <v>95</v>
      </c>
      <c r="C91" s="77">
        <f>C90+(BudgetsTable[[#This Row],[lead]]&lt;&gt;K90)</f>
        <v>25</v>
      </c>
      <c r="D91" s="77">
        <f>D90*(BudgetsTable[[#This Row],[lead]]=K90)+(BudgetsTable[[#This Row],[prop_id]]&lt;&gt;A90)</f>
        <v>1</v>
      </c>
      <c r="E91" s="78">
        <v>42934.806944444441</v>
      </c>
      <c r="F91" s="79" t="s">
        <v>1430</v>
      </c>
      <c r="G91" s="79" t="s">
        <v>477</v>
      </c>
      <c r="H91" s="79" t="s">
        <v>582</v>
      </c>
      <c r="I91" s="77" t="s">
        <v>654</v>
      </c>
      <c r="J91" s="77" t="s">
        <v>13</v>
      </c>
      <c r="K91" s="79" t="s">
        <v>791</v>
      </c>
      <c r="L91" s="7" t="str">
        <f>IF(BudgetsTable[[#This Row],[pi_last_name]]=" ","",HYPERLINK("https://www.ejacket.nsf.gov/ej/showProposal.do?Continue=Y&amp;ID="&amp;BudgetsTable[[#This Row],[prop_id]],BudgetsTable[[#This Row],[prop_id]]))</f>
        <v/>
      </c>
      <c r="M91" s="15" t="str">
        <f>IF(BudgetsTable[[#This Row],[pi_last_name]]=" ","",HYPERLINK("https://www.ejacket.nsf.gov/ej/processReviewAnalysis.do?dispatch=add&amp;uniqId="&amp;BudgetsTable[[#This Row],[prop_id]]&amp;PO_id,"&gt;ra"))</f>
        <v/>
      </c>
      <c r="N91" s="79" t="s">
        <v>13</v>
      </c>
      <c r="O91" s="7" t="str">
        <f>IF(BudgetsTable[[#This Row],[pi_last_name]]=" ","",HYPERLINK("mailto:"&amp;BudgetsTable[[#This Row],[pi_email]]&amp;"&amp;subject=Your NSF Proposal:  "&amp;BudgetsTable[[#This Row],[prop_id]],BudgetsTable[[#This Row],[pi_email]]))</f>
        <v/>
      </c>
      <c r="P91" s="79" t="s">
        <v>13</v>
      </c>
      <c r="Q91" s="79">
        <v>1</v>
      </c>
      <c r="R91" s="79">
        <v>1</v>
      </c>
      <c r="S91" s="80">
        <v>0</v>
      </c>
      <c r="T91" s="80">
        <v>0</v>
      </c>
      <c r="U91" s="80">
        <v>6500</v>
      </c>
      <c r="V91" s="81">
        <v>111685</v>
      </c>
      <c r="W91" s="79">
        <v>0</v>
      </c>
      <c r="X91" s="79">
        <v>3</v>
      </c>
      <c r="Y91" s="11" t="str">
        <f ca="1">IF(ISBLANK(BudgetsTable[[#This Row],[budg_seq_yr]]),"FY"&amp;fiscalyear,"FY"&amp;fiscalyear-1+BudgetsTable[[#This Row],[budg_seq_yr]])</f>
        <v>FY20</v>
      </c>
      <c r="Z91" s="80">
        <v>111685</v>
      </c>
      <c r="AA91" s="79" t="s">
        <v>477</v>
      </c>
      <c r="AB91" s="79" t="s">
        <v>582</v>
      </c>
      <c r="AC91" s="77" t="s">
        <v>94</v>
      </c>
      <c r="AD91" s="79" t="s">
        <v>1432</v>
      </c>
    </row>
    <row r="92" spans="1:30" x14ac:dyDescent="0.4">
      <c r="A92" s="10" t="s">
        <v>791</v>
      </c>
      <c r="B92" s="77" t="s">
        <v>95</v>
      </c>
      <c r="C92" s="77">
        <f>C91+(BudgetsTable[[#This Row],[lead]]&lt;&gt;K91)</f>
        <v>25</v>
      </c>
      <c r="D92" s="77">
        <f>D91*(BudgetsTable[[#This Row],[lead]]=K91)+(BudgetsTable[[#This Row],[prop_id]]&lt;&gt;A91)</f>
        <v>1</v>
      </c>
      <c r="E92" s="78">
        <v>42934.806944444441</v>
      </c>
      <c r="F92" s="79" t="s">
        <v>1430</v>
      </c>
      <c r="G92" s="79" t="s">
        <v>477</v>
      </c>
      <c r="H92" s="79" t="s">
        <v>582</v>
      </c>
      <c r="I92" s="77" t="s">
        <v>654</v>
      </c>
      <c r="J92" s="77" t="s">
        <v>13</v>
      </c>
      <c r="K92" s="79" t="s">
        <v>791</v>
      </c>
      <c r="L92" s="7" t="str">
        <f>IF(BudgetsTable[[#This Row],[pi_last_name]]=" ","",HYPERLINK("https://www.ejacket.nsf.gov/ej/showProposal.do?Continue=Y&amp;ID="&amp;BudgetsTable[[#This Row],[prop_id]],BudgetsTable[[#This Row],[prop_id]]))</f>
        <v/>
      </c>
      <c r="M92" s="15" t="str">
        <f>IF(BudgetsTable[[#This Row],[pi_last_name]]=" ","",HYPERLINK("https://www.ejacket.nsf.gov/ej/processReviewAnalysis.do?dispatch=add&amp;uniqId="&amp;BudgetsTable[[#This Row],[prop_id]]&amp;PO_id,"&gt;ra"))</f>
        <v/>
      </c>
      <c r="N92" s="79" t="s">
        <v>13</v>
      </c>
      <c r="O92" s="7" t="str">
        <f>IF(BudgetsTable[[#This Row],[pi_last_name]]=" ","",HYPERLINK("mailto:"&amp;BudgetsTable[[#This Row],[pi_email]]&amp;"&amp;subject=Your NSF Proposal:  "&amp;BudgetsTable[[#This Row],[prop_id]],BudgetsTable[[#This Row],[pi_email]]))</f>
        <v/>
      </c>
      <c r="P92" s="79" t="s">
        <v>13</v>
      </c>
      <c r="Q92" s="79">
        <v>1</v>
      </c>
      <c r="R92" s="79">
        <v>1</v>
      </c>
      <c r="S92" s="80">
        <v>0</v>
      </c>
      <c r="T92" s="80">
        <v>0</v>
      </c>
      <c r="U92" s="80">
        <v>0</v>
      </c>
      <c r="V92" s="81">
        <v>109063</v>
      </c>
      <c r="W92" s="79">
        <v>0</v>
      </c>
      <c r="X92" s="79">
        <v>4</v>
      </c>
      <c r="Y92" s="11" t="str">
        <f ca="1">IF(ISBLANK(BudgetsTable[[#This Row],[budg_seq_yr]]),"FY"&amp;fiscalyear,"FY"&amp;fiscalyear-1+BudgetsTable[[#This Row],[budg_seq_yr]])</f>
        <v>FY21</v>
      </c>
      <c r="Z92" s="80">
        <v>109063</v>
      </c>
      <c r="AA92" s="79" t="s">
        <v>477</v>
      </c>
      <c r="AB92" s="79" t="s">
        <v>582</v>
      </c>
      <c r="AC92" s="77" t="s">
        <v>94</v>
      </c>
      <c r="AD92" s="79" t="s">
        <v>1432</v>
      </c>
    </row>
    <row r="93" spans="1:30" x14ac:dyDescent="0.4">
      <c r="A93" s="10" t="s">
        <v>791</v>
      </c>
      <c r="B93" s="77" t="s">
        <v>95</v>
      </c>
      <c r="C93" s="77">
        <f>C92+(BudgetsTable[[#This Row],[lead]]&lt;&gt;K92)</f>
        <v>25</v>
      </c>
      <c r="D93" s="77">
        <f>D92*(BudgetsTable[[#This Row],[lead]]=K92)+(BudgetsTable[[#This Row],[prop_id]]&lt;&gt;A92)</f>
        <v>1</v>
      </c>
      <c r="E93" s="78">
        <v>42934.806944444441</v>
      </c>
      <c r="F93" s="79" t="s">
        <v>1430</v>
      </c>
      <c r="G93" s="79" t="s">
        <v>477</v>
      </c>
      <c r="H93" s="79" t="s">
        <v>582</v>
      </c>
      <c r="I93" s="77" t="s">
        <v>654</v>
      </c>
      <c r="J93" s="77" t="s">
        <v>13</v>
      </c>
      <c r="K93" s="79" t="s">
        <v>791</v>
      </c>
      <c r="L93" s="7" t="str">
        <f>IF(BudgetsTable[[#This Row],[pi_last_name]]=" ","",HYPERLINK("https://www.ejacket.nsf.gov/ej/showProposal.do?Continue=Y&amp;ID="&amp;BudgetsTable[[#This Row],[prop_id]],BudgetsTable[[#This Row],[prop_id]]))</f>
        <v/>
      </c>
      <c r="M93" s="15" t="str">
        <f>IF(BudgetsTable[[#This Row],[pi_last_name]]=" ","",HYPERLINK("https://www.ejacket.nsf.gov/ej/processReviewAnalysis.do?dispatch=add&amp;uniqId="&amp;BudgetsTable[[#This Row],[prop_id]]&amp;PO_id,"&gt;ra"))</f>
        <v/>
      </c>
      <c r="N93" s="79" t="s">
        <v>13</v>
      </c>
      <c r="O93" s="7" t="str">
        <f>IF(BudgetsTable[[#This Row],[pi_last_name]]=" ","",HYPERLINK("mailto:"&amp;BudgetsTable[[#This Row],[pi_email]]&amp;"&amp;subject=Your NSF Proposal:  "&amp;BudgetsTable[[#This Row],[prop_id]],BudgetsTable[[#This Row],[pi_email]]))</f>
        <v/>
      </c>
      <c r="P93" s="79" t="s">
        <v>13</v>
      </c>
      <c r="Q93" s="79">
        <v>1</v>
      </c>
      <c r="R93" s="79">
        <v>1</v>
      </c>
      <c r="S93" s="80">
        <v>0</v>
      </c>
      <c r="T93" s="80">
        <v>0</v>
      </c>
      <c r="U93" s="80">
        <v>0</v>
      </c>
      <c r="V93" s="81">
        <v>113096</v>
      </c>
      <c r="W93" s="79">
        <v>0</v>
      </c>
      <c r="X93" s="79">
        <v>5</v>
      </c>
      <c r="Y93" s="11" t="str">
        <f ca="1">IF(ISBLANK(BudgetsTable[[#This Row],[budg_seq_yr]]),"FY"&amp;fiscalyear,"FY"&amp;fiscalyear-1+BudgetsTable[[#This Row],[budg_seq_yr]])</f>
        <v>FY22</v>
      </c>
      <c r="Z93" s="80">
        <v>113096</v>
      </c>
      <c r="AA93" s="79" t="s">
        <v>477</v>
      </c>
      <c r="AB93" s="79" t="s">
        <v>582</v>
      </c>
      <c r="AC93" s="77" t="s">
        <v>94</v>
      </c>
      <c r="AD93" s="79" t="s">
        <v>1432</v>
      </c>
    </row>
    <row r="94" spans="1:30" x14ac:dyDescent="0.4">
      <c r="A94" s="10" t="s">
        <v>825</v>
      </c>
      <c r="B94" s="77" t="s">
        <v>95</v>
      </c>
      <c r="C94" s="77">
        <f>C93+(BudgetsTable[[#This Row],[lead]]&lt;&gt;K93)</f>
        <v>26</v>
      </c>
      <c r="D94" s="77">
        <f>D93*(BudgetsTable[[#This Row],[lead]]=K93)+(BudgetsTable[[#This Row],[prop_id]]&lt;&gt;A93)</f>
        <v>1</v>
      </c>
      <c r="E94" s="78">
        <v>42934.808333333334</v>
      </c>
      <c r="F94" s="79" t="s">
        <v>1430</v>
      </c>
      <c r="G94" s="79" t="s">
        <v>477</v>
      </c>
      <c r="H94" s="79" t="s">
        <v>582</v>
      </c>
      <c r="I94" s="77" t="s">
        <v>604</v>
      </c>
      <c r="J94" s="77" t="s">
        <v>1510</v>
      </c>
      <c r="K94" s="79" t="s">
        <v>825</v>
      </c>
      <c r="L94" s="7" t="str">
        <f>IF(BudgetsTable[[#This Row],[pi_last_name]]=" ","",HYPERLINK("https://www.ejacket.nsf.gov/ej/showProposal.do?Continue=Y&amp;ID="&amp;BudgetsTable[[#This Row],[prop_id]],BudgetsTable[[#This Row],[prop_id]]))</f>
        <v>1750076</v>
      </c>
      <c r="M94" s="15" t="e">
        <f>IF(BudgetsTable[[#This Row],[pi_last_name]]=" ","",HYPERLINK("https://www.ejacket.nsf.gov/ej/processReviewAnalysis.do?dispatch=add&amp;uniqId="&amp;BudgetsTable[[#This Row],[prop_id]]&amp;PO_id,"&gt;ra"))</f>
        <v>#REF!</v>
      </c>
      <c r="N94" s="79" t="s">
        <v>826</v>
      </c>
      <c r="O94" s="7" t="str">
        <f>IF(BudgetsTable[[#This Row],[pi_last_name]]=" ","",HYPERLINK("mailto:"&amp;BudgetsTable[[#This Row],[pi_email]]&amp;"&amp;subject=Your NSF Proposal:  "&amp;BudgetsTable[[#This Row],[prop_id]],BudgetsTable[[#This Row],[pi_email]]))</f>
        <v>craig@ucr.edu</v>
      </c>
      <c r="P94" s="79" t="s">
        <v>1507</v>
      </c>
      <c r="Q94" s="79"/>
      <c r="R94" s="79"/>
      <c r="S94" s="80"/>
      <c r="T94" s="80"/>
      <c r="U94" s="80"/>
      <c r="V94" s="81"/>
      <c r="W94" s="79">
        <v>0</v>
      </c>
      <c r="X94" s="79"/>
      <c r="Y94" s="11" t="str">
        <f ca="1">IF(ISBLANK(BudgetsTable[[#This Row],[budg_seq_yr]]),"FY"&amp;fiscalyear,"FY"&amp;fiscalyear-1+BudgetsTable[[#This Row],[budg_seq_yr]])</f>
        <v>FY18</v>
      </c>
      <c r="Z94" s="80">
        <v>440331</v>
      </c>
      <c r="AA94" s="79" t="s">
        <v>477</v>
      </c>
      <c r="AB94" s="79" t="s">
        <v>582</v>
      </c>
      <c r="AC94" s="77" t="s">
        <v>94</v>
      </c>
      <c r="AD94" s="79" t="s">
        <v>1505</v>
      </c>
    </row>
    <row r="95" spans="1:30" x14ac:dyDescent="0.4">
      <c r="A95" s="10" t="s">
        <v>825</v>
      </c>
      <c r="B95" s="77" t="s">
        <v>95</v>
      </c>
      <c r="C95" s="77">
        <f>C94+(BudgetsTable[[#This Row],[lead]]&lt;&gt;K94)</f>
        <v>26</v>
      </c>
      <c r="D95" s="77">
        <f>D94*(BudgetsTable[[#This Row],[lead]]=K94)+(BudgetsTable[[#This Row],[prop_id]]&lt;&gt;A94)</f>
        <v>1</v>
      </c>
      <c r="E95" s="78">
        <v>42934.808333333334</v>
      </c>
      <c r="F95" s="79" t="s">
        <v>1430</v>
      </c>
      <c r="G95" s="79" t="s">
        <v>477</v>
      </c>
      <c r="H95" s="79" t="s">
        <v>582</v>
      </c>
      <c r="I95" s="77" t="s">
        <v>604</v>
      </c>
      <c r="J95" s="77" t="s">
        <v>13</v>
      </c>
      <c r="K95" s="79" t="s">
        <v>825</v>
      </c>
      <c r="L95" s="7" t="str">
        <f>IF(BudgetsTable[[#This Row],[pi_last_name]]=" ","",HYPERLINK("https://www.ejacket.nsf.gov/ej/showProposal.do?Continue=Y&amp;ID="&amp;BudgetsTable[[#This Row],[prop_id]],BudgetsTable[[#This Row],[prop_id]]))</f>
        <v/>
      </c>
      <c r="M95" s="15" t="str">
        <f>IF(BudgetsTable[[#This Row],[pi_last_name]]=" ","",HYPERLINK("https://www.ejacket.nsf.gov/ej/processReviewAnalysis.do?dispatch=add&amp;uniqId="&amp;BudgetsTable[[#This Row],[prop_id]]&amp;PO_id,"&gt;ra"))</f>
        <v/>
      </c>
      <c r="N95" s="79" t="s">
        <v>13</v>
      </c>
      <c r="O95" s="7" t="str">
        <f>IF(BudgetsTable[[#This Row],[pi_last_name]]=" ","",HYPERLINK("mailto:"&amp;BudgetsTable[[#This Row],[pi_email]]&amp;"&amp;subject=Your NSF Proposal:  "&amp;BudgetsTable[[#This Row],[prop_id]],BudgetsTable[[#This Row],[pi_email]]))</f>
        <v/>
      </c>
      <c r="P95" s="79" t="s">
        <v>13</v>
      </c>
      <c r="Q95" s="79">
        <v>1</v>
      </c>
      <c r="R95" s="79">
        <v>1</v>
      </c>
      <c r="S95" s="80">
        <v>0</v>
      </c>
      <c r="T95" s="80">
        <v>0</v>
      </c>
      <c r="U95" s="80">
        <v>0</v>
      </c>
      <c r="V95" s="81">
        <v>92028</v>
      </c>
      <c r="W95" s="79">
        <v>0</v>
      </c>
      <c r="X95" s="79">
        <v>1</v>
      </c>
      <c r="Y95" s="11" t="str">
        <f ca="1">IF(ISBLANK(BudgetsTable[[#This Row],[budg_seq_yr]]),"FY"&amp;fiscalyear,"FY"&amp;fiscalyear-1+BudgetsTable[[#This Row],[budg_seq_yr]])</f>
        <v>FY18</v>
      </c>
      <c r="Z95" s="80">
        <v>92028</v>
      </c>
      <c r="AA95" s="79" t="s">
        <v>477</v>
      </c>
      <c r="AB95" s="79" t="s">
        <v>582</v>
      </c>
      <c r="AC95" s="77" t="s">
        <v>94</v>
      </c>
      <c r="AD95" s="79" t="s">
        <v>1505</v>
      </c>
    </row>
    <row r="96" spans="1:30" x14ac:dyDescent="0.4">
      <c r="A96" s="10" t="s">
        <v>825</v>
      </c>
      <c r="B96" s="77" t="s">
        <v>95</v>
      </c>
      <c r="C96" s="77">
        <f>C95+(BudgetsTable[[#This Row],[lead]]&lt;&gt;K95)</f>
        <v>26</v>
      </c>
      <c r="D96" s="77">
        <f>D95*(BudgetsTable[[#This Row],[lead]]=K95)+(BudgetsTable[[#This Row],[prop_id]]&lt;&gt;A95)</f>
        <v>1</v>
      </c>
      <c r="E96" s="78">
        <v>42934.808333333334</v>
      </c>
      <c r="F96" s="79" t="s">
        <v>1430</v>
      </c>
      <c r="G96" s="79" t="s">
        <v>477</v>
      </c>
      <c r="H96" s="79" t="s">
        <v>582</v>
      </c>
      <c r="I96" s="77" t="s">
        <v>604</v>
      </c>
      <c r="J96" s="77" t="s">
        <v>13</v>
      </c>
      <c r="K96" s="79" t="s">
        <v>825</v>
      </c>
      <c r="L96" s="7" t="str">
        <f>IF(BudgetsTable[[#This Row],[pi_last_name]]=" ","",HYPERLINK("https://www.ejacket.nsf.gov/ej/showProposal.do?Continue=Y&amp;ID="&amp;BudgetsTable[[#This Row],[prop_id]],BudgetsTable[[#This Row],[prop_id]]))</f>
        <v/>
      </c>
      <c r="M96" s="15" t="str">
        <f>IF(BudgetsTable[[#This Row],[pi_last_name]]=" ","",HYPERLINK("https://www.ejacket.nsf.gov/ej/processReviewAnalysis.do?dispatch=add&amp;uniqId="&amp;BudgetsTable[[#This Row],[prop_id]]&amp;PO_id,"&gt;ra"))</f>
        <v/>
      </c>
      <c r="N96" s="79" t="s">
        <v>13</v>
      </c>
      <c r="O96" s="7" t="str">
        <f>IF(BudgetsTable[[#This Row],[pi_last_name]]=" ","",HYPERLINK("mailto:"&amp;BudgetsTable[[#This Row],[pi_email]]&amp;"&amp;subject=Your NSF Proposal:  "&amp;BudgetsTable[[#This Row],[prop_id]],BudgetsTable[[#This Row],[pi_email]]))</f>
        <v/>
      </c>
      <c r="P96" s="79" t="s">
        <v>13</v>
      </c>
      <c r="Q96" s="79">
        <v>1</v>
      </c>
      <c r="R96" s="79">
        <v>1</v>
      </c>
      <c r="S96" s="80">
        <v>0</v>
      </c>
      <c r="T96" s="80">
        <v>0</v>
      </c>
      <c r="U96" s="80">
        <v>0</v>
      </c>
      <c r="V96" s="81">
        <v>84050</v>
      </c>
      <c r="W96" s="79">
        <v>0</v>
      </c>
      <c r="X96" s="79">
        <v>2</v>
      </c>
      <c r="Y96" s="11" t="str">
        <f ca="1">IF(ISBLANK(BudgetsTable[[#This Row],[budg_seq_yr]]),"FY"&amp;fiscalyear,"FY"&amp;fiscalyear-1+BudgetsTable[[#This Row],[budg_seq_yr]])</f>
        <v>FY19</v>
      </c>
      <c r="Z96" s="80">
        <v>84050</v>
      </c>
      <c r="AA96" s="79" t="s">
        <v>477</v>
      </c>
      <c r="AB96" s="79" t="s">
        <v>582</v>
      </c>
      <c r="AC96" s="77" t="s">
        <v>94</v>
      </c>
      <c r="AD96" s="79" t="s">
        <v>1505</v>
      </c>
    </row>
    <row r="97" spans="1:30" x14ac:dyDescent="0.4">
      <c r="A97" s="10" t="s">
        <v>825</v>
      </c>
      <c r="B97" s="77" t="s">
        <v>95</v>
      </c>
      <c r="C97" s="77">
        <f>C96+(BudgetsTable[[#This Row],[lead]]&lt;&gt;K96)</f>
        <v>26</v>
      </c>
      <c r="D97" s="77">
        <f>D96*(BudgetsTable[[#This Row],[lead]]=K96)+(BudgetsTable[[#This Row],[prop_id]]&lt;&gt;A96)</f>
        <v>1</v>
      </c>
      <c r="E97" s="78">
        <v>42934.808333333334</v>
      </c>
      <c r="F97" s="79" t="s">
        <v>1430</v>
      </c>
      <c r="G97" s="79" t="s">
        <v>477</v>
      </c>
      <c r="H97" s="79" t="s">
        <v>582</v>
      </c>
      <c r="I97" s="77" t="s">
        <v>604</v>
      </c>
      <c r="J97" s="77" t="s">
        <v>13</v>
      </c>
      <c r="K97" s="79" t="s">
        <v>825</v>
      </c>
      <c r="L97" s="7" t="str">
        <f>IF(BudgetsTable[[#This Row],[pi_last_name]]=" ","",HYPERLINK("https://www.ejacket.nsf.gov/ej/showProposal.do?Continue=Y&amp;ID="&amp;BudgetsTable[[#This Row],[prop_id]],BudgetsTable[[#This Row],[prop_id]]))</f>
        <v/>
      </c>
      <c r="M97" s="15" t="str">
        <f>IF(BudgetsTable[[#This Row],[pi_last_name]]=" ","",HYPERLINK("https://www.ejacket.nsf.gov/ej/processReviewAnalysis.do?dispatch=add&amp;uniqId="&amp;BudgetsTable[[#This Row],[prop_id]]&amp;PO_id,"&gt;ra"))</f>
        <v/>
      </c>
      <c r="N97" s="79" t="s">
        <v>13</v>
      </c>
      <c r="O97" s="7" t="str">
        <f>IF(BudgetsTable[[#This Row],[pi_last_name]]=" ","",HYPERLINK("mailto:"&amp;BudgetsTable[[#This Row],[pi_email]]&amp;"&amp;subject=Your NSF Proposal:  "&amp;BudgetsTable[[#This Row],[prop_id]],BudgetsTable[[#This Row],[pi_email]]))</f>
        <v/>
      </c>
      <c r="P97" s="79" t="s">
        <v>13</v>
      </c>
      <c r="Q97" s="79">
        <v>1</v>
      </c>
      <c r="R97" s="79">
        <v>1</v>
      </c>
      <c r="S97" s="80">
        <v>0</v>
      </c>
      <c r="T97" s="80">
        <v>0</v>
      </c>
      <c r="U97" s="80">
        <v>0</v>
      </c>
      <c r="V97" s="81">
        <v>86026</v>
      </c>
      <c r="W97" s="79">
        <v>0</v>
      </c>
      <c r="X97" s="79">
        <v>3</v>
      </c>
      <c r="Y97" s="11" t="str">
        <f ca="1">IF(ISBLANK(BudgetsTable[[#This Row],[budg_seq_yr]]),"FY"&amp;fiscalyear,"FY"&amp;fiscalyear-1+BudgetsTable[[#This Row],[budg_seq_yr]])</f>
        <v>FY20</v>
      </c>
      <c r="Z97" s="80">
        <v>86026</v>
      </c>
      <c r="AA97" s="79" t="s">
        <v>477</v>
      </c>
      <c r="AB97" s="79" t="s">
        <v>582</v>
      </c>
      <c r="AC97" s="77" t="s">
        <v>94</v>
      </c>
      <c r="AD97" s="79" t="s">
        <v>1505</v>
      </c>
    </row>
    <row r="98" spans="1:30" x14ac:dyDescent="0.4">
      <c r="A98" s="10" t="s">
        <v>825</v>
      </c>
      <c r="B98" s="77" t="s">
        <v>95</v>
      </c>
      <c r="C98" s="77">
        <f>C97+(BudgetsTable[[#This Row],[lead]]&lt;&gt;K97)</f>
        <v>26</v>
      </c>
      <c r="D98" s="77">
        <f>D97*(BudgetsTable[[#This Row],[lead]]=K97)+(BudgetsTable[[#This Row],[prop_id]]&lt;&gt;A97)</f>
        <v>1</v>
      </c>
      <c r="E98" s="78">
        <v>42934.808333333334</v>
      </c>
      <c r="F98" s="79" t="s">
        <v>1430</v>
      </c>
      <c r="G98" s="79" t="s">
        <v>477</v>
      </c>
      <c r="H98" s="79" t="s">
        <v>582</v>
      </c>
      <c r="I98" s="77" t="s">
        <v>604</v>
      </c>
      <c r="J98" s="77" t="s">
        <v>13</v>
      </c>
      <c r="K98" s="79" t="s">
        <v>825</v>
      </c>
      <c r="L98" s="7" t="str">
        <f>IF(BudgetsTable[[#This Row],[pi_last_name]]=" ","",HYPERLINK("https://www.ejacket.nsf.gov/ej/showProposal.do?Continue=Y&amp;ID="&amp;BudgetsTable[[#This Row],[prop_id]],BudgetsTable[[#This Row],[prop_id]]))</f>
        <v/>
      </c>
      <c r="M98" s="15" t="str">
        <f>IF(BudgetsTable[[#This Row],[pi_last_name]]=" ","",HYPERLINK("https://www.ejacket.nsf.gov/ej/processReviewAnalysis.do?dispatch=add&amp;uniqId="&amp;BudgetsTable[[#This Row],[prop_id]]&amp;PO_id,"&gt;ra"))</f>
        <v/>
      </c>
      <c r="N98" s="79" t="s">
        <v>13</v>
      </c>
      <c r="O98" s="7" t="str">
        <f>IF(BudgetsTable[[#This Row],[pi_last_name]]=" ","",HYPERLINK("mailto:"&amp;BudgetsTable[[#This Row],[pi_email]]&amp;"&amp;subject=Your NSF Proposal:  "&amp;BudgetsTable[[#This Row],[prop_id]],BudgetsTable[[#This Row],[pi_email]]))</f>
        <v/>
      </c>
      <c r="P98" s="79" t="s">
        <v>13</v>
      </c>
      <c r="Q98" s="79">
        <v>1</v>
      </c>
      <c r="R98" s="79">
        <v>1</v>
      </c>
      <c r="S98" s="80">
        <v>0</v>
      </c>
      <c r="T98" s="80">
        <v>0</v>
      </c>
      <c r="U98" s="80">
        <v>0</v>
      </c>
      <c r="V98" s="81">
        <v>88064</v>
      </c>
      <c r="W98" s="79">
        <v>0</v>
      </c>
      <c r="X98" s="79">
        <v>4</v>
      </c>
      <c r="Y98" s="11" t="str">
        <f ca="1">IF(ISBLANK(BudgetsTable[[#This Row],[budg_seq_yr]]),"FY"&amp;fiscalyear,"FY"&amp;fiscalyear-1+BudgetsTable[[#This Row],[budg_seq_yr]])</f>
        <v>FY21</v>
      </c>
      <c r="Z98" s="80">
        <v>88064</v>
      </c>
      <c r="AA98" s="79" t="s">
        <v>477</v>
      </c>
      <c r="AB98" s="79" t="s">
        <v>582</v>
      </c>
      <c r="AC98" s="77" t="s">
        <v>94</v>
      </c>
      <c r="AD98" s="79" t="s">
        <v>1505</v>
      </c>
    </row>
    <row r="99" spans="1:30" x14ac:dyDescent="0.4">
      <c r="A99" s="10" t="s">
        <v>825</v>
      </c>
      <c r="B99" s="77" t="s">
        <v>95</v>
      </c>
      <c r="C99" s="77">
        <f>C98+(BudgetsTable[[#This Row],[lead]]&lt;&gt;K98)</f>
        <v>26</v>
      </c>
      <c r="D99" s="77">
        <f>D98*(BudgetsTable[[#This Row],[lead]]=K98)+(BudgetsTable[[#This Row],[prop_id]]&lt;&gt;A98)</f>
        <v>1</v>
      </c>
      <c r="E99" s="78">
        <v>42934.808333333334</v>
      </c>
      <c r="F99" s="79" t="s">
        <v>1430</v>
      </c>
      <c r="G99" s="79" t="s">
        <v>477</v>
      </c>
      <c r="H99" s="79" t="s">
        <v>582</v>
      </c>
      <c r="I99" s="77" t="s">
        <v>604</v>
      </c>
      <c r="J99" s="77" t="s">
        <v>13</v>
      </c>
      <c r="K99" s="79" t="s">
        <v>825</v>
      </c>
      <c r="L99" s="7" t="str">
        <f>IF(BudgetsTable[[#This Row],[pi_last_name]]=" ","",HYPERLINK("https://www.ejacket.nsf.gov/ej/showProposal.do?Continue=Y&amp;ID="&amp;BudgetsTable[[#This Row],[prop_id]],BudgetsTable[[#This Row],[prop_id]]))</f>
        <v/>
      </c>
      <c r="M99" s="15" t="str">
        <f>IF(BudgetsTable[[#This Row],[pi_last_name]]=" ","",HYPERLINK("https://www.ejacket.nsf.gov/ej/processReviewAnalysis.do?dispatch=add&amp;uniqId="&amp;BudgetsTable[[#This Row],[prop_id]]&amp;PO_id,"&gt;ra"))</f>
        <v/>
      </c>
      <c r="N99" s="79" t="s">
        <v>13</v>
      </c>
      <c r="O99" s="7" t="str">
        <f>IF(BudgetsTable[[#This Row],[pi_last_name]]=" ","",HYPERLINK("mailto:"&amp;BudgetsTable[[#This Row],[pi_email]]&amp;"&amp;subject=Your NSF Proposal:  "&amp;BudgetsTable[[#This Row],[prop_id]],BudgetsTable[[#This Row],[pi_email]]))</f>
        <v/>
      </c>
      <c r="P99" s="79" t="s">
        <v>13</v>
      </c>
      <c r="Q99" s="79">
        <v>1</v>
      </c>
      <c r="R99" s="79">
        <v>1</v>
      </c>
      <c r="S99" s="80">
        <v>0</v>
      </c>
      <c r="T99" s="80">
        <v>0</v>
      </c>
      <c r="U99" s="80">
        <v>0</v>
      </c>
      <c r="V99" s="81">
        <v>90163</v>
      </c>
      <c r="W99" s="79">
        <v>0</v>
      </c>
      <c r="X99" s="79">
        <v>5</v>
      </c>
      <c r="Y99" s="11" t="str">
        <f ca="1">IF(ISBLANK(BudgetsTable[[#This Row],[budg_seq_yr]]),"FY"&amp;fiscalyear,"FY"&amp;fiscalyear-1+BudgetsTable[[#This Row],[budg_seq_yr]])</f>
        <v>FY22</v>
      </c>
      <c r="Z99" s="80">
        <v>90163</v>
      </c>
      <c r="AA99" s="79" t="s">
        <v>477</v>
      </c>
      <c r="AB99" s="79" t="s">
        <v>582</v>
      </c>
      <c r="AC99" s="77" t="s">
        <v>94</v>
      </c>
      <c r="AD99" s="79" t="s">
        <v>1505</v>
      </c>
    </row>
    <row r="100" spans="1:30" x14ac:dyDescent="0.4">
      <c r="A100" s="10" t="s">
        <v>834</v>
      </c>
      <c r="B100" s="77" t="s">
        <v>95</v>
      </c>
      <c r="C100" s="77">
        <f>C99+(BudgetsTable[[#This Row],[lead]]&lt;&gt;K99)</f>
        <v>27</v>
      </c>
      <c r="D100" s="77">
        <f>D99*(BudgetsTable[[#This Row],[lead]]=K99)+(BudgetsTable[[#This Row],[prop_id]]&lt;&gt;A99)</f>
        <v>1</v>
      </c>
      <c r="E100" s="78">
        <v>42935.359027777777</v>
      </c>
      <c r="F100" s="79" t="s">
        <v>1430</v>
      </c>
      <c r="G100" s="79" t="s">
        <v>477</v>
      </c>
      <c r="H100" s="79" t="s">
        <v>582</v>
      </c>
      <c r="I100" s="77" t="s">
        <v>654</v>
      </c>
      <c r="J100" s="77" t="s">
        <v>1515</v>
      </c>
      <c r="K100" s="79" t="s">
        <v>834</v>
      </c>
      <c r="L100" s="7" t="str">
        <f>IF(BudgetsTable[[#This Row],[pi_last_name]]=" ","",HYPERLINK("https://www.ejacket.nsf.gov/ej/showProposal.do?Continue=Y&amp;ID="&amp;BudgetsTable[[#This Row],[prop_id]],BudgetsTable[[#This Row],[prop_id]]))</f>
        <v>1750118</v>
      </c>
      <c r="M100" s="15" t="e">
        <f>IF(BudgetsTable[[#This Row],[pi_last_name]]=" ","",HYPERLINK("https://www.ejacket.nsf.gov/ej/processReviewAnalysis.do?dispatch=add&amp;uniqId="&amp;BudgetsTable[[#This Row],[prop_id]]&amp;PO_id,"&gt;ra"))</f>
        <v>#REF!</v>
      </c>
      <c r="N100" s="79" t="s">
        <v>835</v>
      </c>
      <c r="O100" s="7" t="str">
        <f>IF(BudgetsTable[[#This Row],[pi_last_name]]=" ","",HYPERLINK("mailto:"&amp;BudgetsTable[[#This Row],[pi_email]]&amp;"&amp;subject=Your NSF Proposal:  "&amp;BudgetsTable[[#This Row],[prop_id]],BudgetsTable[[#This Row],[pi_email]]))</f>
        <v>shil@buffalo.edu</v>
      </c>
      <c r="P100" s="79" t="s">
        <v>1512</v>
      </c>
      <c r="Q100" s="79"/>
      <c r="R100" s="79"/>
      <c r="S100" s="80"/>
      <c r="T100" s="80"/>
      <c r="U100" s="80"/>
      <c r="V100" s="81"/>
      <c r="W100" s="79">
        <v>0</v>
      </c>
      <c r="X100" s="79"/>
      <c r="Y100" s="11" t="str">
        <f ca="1">IF(ISBLANK(BudgetsTable[[#This Row],[budg_seq_yr]]),"FY"&amp;fiscalyear,"FY"&amp;fiscalyear-1+BudgetsTable[[#This Row],[budg_seq_yr]])</f>
        <v>FY18</v>
      </c>
      <c r="Z100" s="80">
        <v>530842</v>
      </c>
      <c r="AA100" s="79" t="s">
        <v>477</v>
      </c>
      <c r="AB100" s="79" t="s">
        <v>582</v>
      </c>
      <c r="AC100" s="77" t="s">
        <v>94</v>
      </c>
      <c r="AD100" s="79" t="s">
        <v>1432</v>
      </c>
    </row>
    <row r="101" spans="1:30" x14ac:dyDescent="0.4">
      <c r="A101" s="10" t="s">
        <v>834</v>
      </c>
      <c r="B101" s="77" t="s">
        <v>95</v>
      </c>
      <c r="C101" s="77">
        <f>C100+(BudgetsTable[[#This Row],[lead]]&lt;&gt;K100)</f>
        <v>27</v>
      </c>
      <c r="D101" s="77">
        <f>D100*(BudgetsTable[[#This Row],[lead]]=K100)+(BudgetsTable[[#This Row],[prop_id]]&lt;&gt;A100)</f>
        <v>1</v>
      </c>
      <c r="E101" s="78">
        <v>42935.359027777777</v>
      </c>
      <c r="F101" s="79" t="s">
        <v>1430</v>
      </c>
      <c r="G101" s="79" t="s">
        <v>477</v>
      </c>
      <c r="H101" s="79" t="s">
        <v>582</v>
      </c>
      <c r="I101" s="77" t="s">
        <v>654</v>
      </c>
      <c r="J101" s="77" t="s">
        <v>13</v>
      </c>
      <c r="K101" s="79" t="s">
        <v>834</v>
      </c>
      <c r="L101" s="7" t="str">
        <f>IF(BudgetsTable[[#This Row],[pi_last_name]]=" ","",HYPERLINK("https://www.ejacket.nsf.gov/ej/showProposal.do?Continue=Y&amp;ID="&amp;BudgetsTable[[#This Row],[prop_id]],BudgetsTable[[#This Row],[prop_id]]))</f>
        <v/>
      </c>
      <c r="M101" s="15" t="str">
        <f>IF(BudgetsTable[[#This Row],[pi_last_name]]=" ","",HYPERLINK("https://www.ejacket.nsf.gov/ej/processReviewAnalysis.do?dispatch=add&amp;uniqId="&amp;BudgetsTable[[#This Row],[prop_id]]&amp;PO_id,"&gt;ra"))</f>
        <v/>
      </c>
      <c r="N101" s="79" t="s">
        <v>13</v>
      </c>
      <c r="O101" s="7" t="str">
        <f>IF(BudgetsTable[[#This Row],[pi_last_name]]=" ","",HYPERLINK("mailto:"&amp;BudgetsTable[[#This Row],[pi_email]]&amp;"&amp;subject=Your NSF Proposal:  "&amp;BudgetsTable[[#This Row],[prop_id]],BudgetsTable[[#This Row],[pi_email]]))</f>
        <v/>
      </c>
      <c r="P101" s="79" t="s">
        <v>13</v>
      </c>
      <c r="Q101" s="79">
        <v>1</v>
      </c>
      <c r="R101" s="79">
        <v>1</v>
      </c>
      <c r="S101" s="80">
        <v>0</v>
      </c>
      <c r="T101" s="80">
        <v>2000</v>
      </c>
      <c r="U101" s="80">
        <v>0</v>
      </c>
      <c r="V101" s="81">
        <v>99976</v>
      </c>
      <c r="W101" s="79">
        <v>0</v>
      </c>
      <c r="X101" s="79">
        <v>1</v>
      </c>
      <c r="Y101" s="11" t="str">
        <f ca="1">IF(ISBLANK(BudgetsTable[[#This Row],[budg_seq_yr]]),"FY"&amp;fiscalyear,"FY"&amp;fiscalyear-1+BudgetsTable[[#This Row],[budg_seq_yr]])</f>
        <v>FY18</v>
      </c>
      <c r="Z101" s="80">
        <v>99976</v>
      </c>
      <c r="AA101" s="79" t="s">
        <v>477</v>
      </c>
      <c r="AB101" s="79" t="s">
        <v>582</v>
      </c>
      <c r="AC101" s="77" t="s">
        <v>94</v>
      </c>
      <c r="AD101" s="79" t="s">
        <v>1432</v>
      </c>
    </row>
    <row r="102" spans="1:30" x14ac:dyDescent="0.4">
      <c r="A102" s="10" t="s">
        <v>834</v>
      </c>
      <c r="B102" s="77" t="s">
        <v>95</v>
      </c>
      <c r="C102" s="77">
        <f>C101+(BudgetsTable[[#This Row],[lead]]&lt;&gt;K101)</f>
        <v>27</v>
      </c>
      <c r="D102" s="77">
        <f>D101*(BudgetsTable[[#This Row],[lead]]=K101)+(BudgetsTable[[#This Row],[prop_id]]&lt;&gt;A101)</f>
        <v>1</v>
      </c>
      <c r="E102" s="78">
        <v>42935.359027777777</v>
      </c>
      <c r="F102" s="79" t="s">
        <v>1430</v>
      </c>
      <c r="G102" s="79" t="s">
        <v>477</v>
      </c>
      <c r="H102" s="79" t="s">
        <v>582</v>
      </c>
      <c r="I102" s="77" t="s">
        <v>654</v>
      </c>
      <c r="J102" s="77" t="s">
        <v>13</v>
      </c>
      <c r="K102" s="79" t="s">
        <v>834</v>
      </c>
      <c r="L102" s="7" t="str">
        <f>IF(BudgetsTable[[#This Row],[pi_last_name]]=" ","",HYPERLINK("https://www.ejacket.nsf.gov/ej/showProposal.do?Continue=Y&amp;ID="&amp;BudgetsTable[[#This Row],[prop_id]],BudgetsTable[[#This Row],[prop_id]]))</f>
        <v/>
      </c>
      <c r="M102" s="15" t="str">
        <f>IF(BudgetsTable[[#This Row],[pi_last_name]]=" ","",HYPERLINK("https://www.ejacket.nsf.gov/ej/processReviewAnalysis.do?dispatch=add&amp;uniqId="&amp;BudgetsTable[[#This Row],[prop_id]]&amp;PO_id,"&gt;ra"))</f>
        <v/>
      </c>
      <c r="N102" s="79" t="s">
        <v>13</v>
      </c>
      <c r="O102" s="7" t="str">
        <f>IF(BudgetsTable[[#This Row],[pi_last_name]]=" ","",HYPERLINK("mailto:"&amp;BudgetsTable[[#This Row],[pi_email]]&amp;"&amp;subject=Your NSF Proposal:  "&amp;BudgetsTable[[#This Row],[prop_id]],BudgetsTable[[#This Row],[pi_email]]))</f>
        <v/>
      </c>
      <c r="P102" s="79" t="s">
        <v>13</v>
      </c>
      <c r="Q102" s="79">
        <v>1</v>
      </c>
      <c r="R102" s="79">
        <v>1</v>
      </c>
      <c r="S102" s="80">
        <v>0</v>
      </c>
      <c r="T102" s="80">
        <v>2000</v>
      </c>
      <c r="U102" s="80">
        <v>0</v>
      </c>
      <c r="V102" s="81">
        <v>100831</v>
      </c>
      <c r="W102" s="79">
        <v>0</v>
      </c>
      <c r="X102" s="79">
        <v>2</v>
      </c>
      <c r="Y102" s="11" t="str">
        <f ca="1">IF(ISBLANK(BudgetsTable[[#This Row],[budg_seq_yr]]),"FY"&amp;fiscalyear,"FY"&amp;fiscalyear-1+BudgetsTable[[#This Row],[budg_seq_yr]])</f>
        <v>FY19</v>
      </c>
      <c r="Z102" s="80">
        <v>100831</v>
      </c>
      <c r="AA102" s="79" t="s">
        <v>477</v>
      </c>
      <c r="AB102" s="79" t="s">
        <v>582</v>
      </c>
      <c r="AC102" s="77" t="s">
        <v>94</v>
      </c>
      <c r="AD102" s="79" t="s">
        <v>1432</v>
      </c>
    </row>
    <row r="103" spans="1:30" x14ac:dyDescent="0.4">
      <c r="A103" s="10" t="s">
        <v>834</v>
      </c>
      <c r="B103" s="77" t="s">
        <v>95</v>
      </c>
      <c r="C103" s="77">
        <f>C102+(BudgetsTable[[#This Row],[lead]]&lt;&gt;K102)</f>
        <v>27</v>
      </c>
      <c r="D103" s="77">
        <f>D102*(BudgetsTable[[#This Row],[lead]]=K102)+(BudgetsTable[[#This Row],[prop_id]]&lt;&gt;A102)</f>
        <v>1</v>
      </c>
      <c r="E103" s="78">
        <v>42935.359027777777</v>
      </c>
      <c r="F103" s="79" t="s">
        <v>1430</v>
      </c>
      <c r="G103" s="79" t="s">
        <v>477</v>
      </c>
      <c r="H103" s="79" t="s">
        <v>582</v>
      </c>
      <c r="I103" s="77" t="s">
        <v>654</v>
      </c>
      <c r="J103" s="77" t="s">
        <v>13</v>
      </c>
      <c r="K103" s="79" t="s">
        <v>834</v>
      </c>
      <c r="L103" s="7" t="str">
        <f>IF(BudgetsTable[[#This Row],[pi_last_name]]=" ","",HYPERLINK("https://www.ejacket.nsf.gov/ej/showProposal.do?Continue=Y&amp;ID="&amp;BudgetsTable[[#This Row],[prop_id]],BudgetsTable[[#This Row],[prop_id]]))</f>
        <v/>
      </c>
      <c r="M103" s="15" t="str">
        <f>IF(BudgetsTable[[#This Row],[pi_last_name]]=" ","",HYPERLINK("https://www.ejacket.nsf.gov/ej/processReviewAnalysis.do?dispatch=add&amp;uniqId="&amp;BudgetsTable[[#This Row],[prop_id]]&amp;PO_id,"&gt;ra"))</f>
        <v/>
      </c>
      <c r="N103" s="79" t="s">
        <v>13</v>
      </c>
      <c r="O103" s="7" t="str">
        <f>IF(BudgetsTable[[#This Row],[pi_last_name]]=" ","",HYPERLINK("mailto:"&amp;BudgetsTable[[#This Row],[pi_email]]&amp;"&amp;subject=Your NSF Proposal:  "&amp;BudgetsTable[[#This Row],[prop_id]],BudgetsTable[[#This Row],[pi_email]]))</f>
        <v/>
      </c>
      <c r="P103" s="79" t="s">
        <v>13</v>
      </c>
      <c r="Q103" s="79">
        <v>1</v>
      </c>
      <c r="R103" s="79">
        <v>1</v>
      </c>
      <c r="S103" s="80">
        <v>0</v>
      </c>
      <c r="T103" s="80">
        <v>2000</v>
      </c>
      <c r="U103" s="80">
        <v>0</v>
      </c>
      <c r="V103" s="81">
        <v>106222</v>
      </c>
      <c r="W103" s="79">
        <v>0</v>
      </c>
      <c r="X103" s="79">
        <v>3</v>
      </c>
      <c r="Y103" s="11" t="str">
        <f ca="1">IF(ISBLANK(BudgetsTable[[#This Row],[budg_seq_yr]]),"FY"&amp;fiscalyear,"FY"&amp;fiscalyear-1+BudgetsTable[[#This Row],[budg_seq_yr]])</f>
        <v>FY20</v>
      </c>
      <c r="Z103" s="80">
        <v>106222</v>
      </c>
      <c r="AA103" s="79" t="s">
        <v>477</v>
      </c>
      <c r="AB103" s="79" t="s">
        <v>582</v>
      </c>
      <c r="AC103" s="77" t="s">
        <v>94</v>
      </c>
      <c r="AD103" s="79" t="s">
        <v>1432</v>
      </c>
    </row>
    <row r="104" spans="1:30" x14ac:dyDescent="0.4">
      <c r="A104" s="10" t="s">
        <v>834</v>
      </c>
      <c r="B104" s="77" t="s">
        <v>95</v>
      </c>
      <c r="C104" s="77">
        <f>C103+(BudgetsTable[[#This Row],[lead]]&lt;&gt;K103)</f>
        <v>27</v>
      </c>
      <c r="D104" s="77">
        <f>D103*(BudgetsTable[[#This Row],[lead]]=K103)+(BudgetsTable[[#This Row],[prop_id]]&lt;&gt;A103)</f>
        <v>1</v>
      </c>
      <c r="E104" s="78">
        <v>42935.359027777777</v>
      </c>
      <c r="F104" s="79" t="s">
        <v>1430</v>
      </c>
      <c r="G104" s="79" t="s">
        <v>477</v>
      </c>
      <c r="H104" s="79" t="s">
        <v>582</v>
      </c>
      <c r="I104" s="77" t="s">
        <v>654</v>
      </c>
      <c r="J104" s="77" t="s">
        <v>13</v>
      </c>
      <c r="K104" s="79" t="s">
        <v>834</v>
      </c>
      <c r="L104" s="7" t="str">
        <f>IF(BudgetsTable[[#This Row],[pi_last_name]]=" ","",HYPERLINK("https://www.ejacket.nsf.gov/ej/showProposal.do?Continue=Y&amp;ID="&amp;BudgetsTable[[#This Row],[prop_id]],BudgetsTable[[#This Row],[prop_id]]))</f>
        <v/>
      </c>
      <c r="M104" s="15" t="str">
        <f>IF(BudgetsTable[[#This Row],[pi_last_name]]=" ","",HYPERLINK("https://www.ejacket.nsf.gov/ej/processReviewAnalysis.do?dispatch=add&amp;uniqId="&amp;BudgetsTable[[#This Row],[prop_id]]&amp;PO_id,"&gt;ra"))</f>
        <v/>
      </c>
      <c r="N104" s="79" t="s">
        <v>13</v>
      </c>
      <c r="O104" s="7" t="str">
        <f>IF(BudgetsTable[[#This Row],[pi_last_name]]=" ","",HYPERLINK("mailto:"&amp;BudgetsTable[[#This Row],[pi_email]]&amp;"&amp;subject=Your NSF Proposal:  "&amp;BudgetsTable[[#This Row],[prop_id]],BudgetsTable[[#This Row],[pi_email]]))</f>
        <v/>
      </c>
      <c r="P104" s="79" t="s">
        <v>13</v>
      </c>
      <c r="Q104" s="79">
        <v>1</v>
      </c>
      <c r="R104" s="79">
        <v>1</v>
      </c>
      <c r="S104" s="80">
        <v>0</v>
      </c>
      <c r="T104" s="80">
        <v>2000</v>
      </c>
      <c r="U104" s="80">
        <v>0</v>
      </c>
      <c r="V104" s="81">
        <v>110517</v>
      </c>
      <c r="W104" s="79">
        <v>0</v>
      </c>
      <c r="X104" s="79">
        <v>4</v>
      </c>
      <c r="Y104" s="11" t="str">
        <f ca="1">IF(ISBLANK(BudgetsTable[[#This Row],[budg_seq_yr]]),"FY"&amp;fiscalyear,"FY"&amp;fiscalyear-1+BudgetsTable[[#This Row],[budg_seq_yr]])</f>
        <v>FY21</v>
      </c>
      <c r="Z104" s="80">
        <v>110517</v>
      </c>
      <c r="AA104" s="79" t="s">
        <v>477</v>
      </c>
      <c r="AB104" s="79" t="s">
        <v>582</v>
      </c>
      <c r="AC104" s="77" t="s">
        <v>94</v>
      </c>
      <c r="AD104" s="79" t="s">
        <v>1432</v>
      </c>
    </row>
    <row r="105" spans="1:30" x14ac:dyDescent="0.4">
      <c r="A105" s="10" t="s">
        <v>834</v>
      </c>
      <c r="B105" s="77" t="s">
        <v>95</v>
      </c>
      <c r="C105" s="77">
        <f>C104+(BudgetsTable[[#This Row],[lead]]&lt;&gt;K104)</f>
        <v>27</v>
      </c>
      <c r="D105" s="77">
        <f>D104*(BudgetsTable[[#This Row],[lead]]=K104)+(BudgetsTable[[#This Row],[prop_id]]&lt;&gt;A104)</f>
        <v>1</v>
      </c>
      <c r="E105" s="78">
        <v>42935.359027777777</v>
      </c>
      <c r="F105" s="79" t="s">
        <v>1430</v>
      </c>
      <c r="G105" s="79" t="s">
        <v>477</v>
      </c>
      <c r="H105" s="79" t="s">
        <v>582</v>
      </c>
      <c r="I105" s="77" t="s">
        <v>654</v>
      </c>
      <c r="J105" s="77" t="s">
        <v>13</v>
      </c>
      <c r="K105" s="79" t="s">
        <v>834</v>
      </c>
      <c r="L105" s="7" t="str">
        <f>IF(BudgetsTable[[#This Row],[pi_last_name]]=" ","",HYPERLINK("https://www.ejacket.nsf.gov/ej/showProposal.do?Continue=Y&amp;ID="&amp;BudgetsTable[[#This Row],[prop_id]],BudgetsTable[[#This Row],[prop_id]]))</f>
        <v/>
      </c>
      <c r="M105" s="15" t="str">
        <f>IF(BudgetsTable[[#This Row],[pi_last_name]]=" ","",HYPERLINK("https://www.ejacket.nsf.gov/ej/processReviewAnalysis.do?dispatch=add&amp;uniqId="&amp;BudgetsTable[[#This Row],[prop_id]]&amp;PO_id,"&gt;ra"))</f>
        <v/>
      </c>
      <c r="N105" s="79" t="s">
        <v>13</v>
      </c>
      <c r="O105" s="7" t="str">
        <f>IF(BudgetsTable[[#This Row],[pi_last_name]]=" ","",HYPERLINK("mailto:"&amp;BudgetsTable[[#This Row],[pi_email]]&amp;"&amp;subject=Your NSF Proposal:  "&amp;BudgetsTable[[#This Row],[prop_id]],BudgetsTable[[#This Row],[pi_email]]))</f>
        <v/>
      </c>
      <c r="P105" s="79" t="s">
        <v>13</v>
      </c>
      <c r="Q105" s="79">
        <v>1</v>
      </c>
      <c r="R105" s="79">
        <v>1</v>
      </c>
      <c r="S105" s="80">
        <v>0</v>
      </c>
      <c r="T105" s="80">
        <v>2000</v>
      </c>
      <c r="U105" s="80">
        <v>0</v>
      </c>
      <c r="V105" s="81">
        <v>113296</v>
      </c>
      <c r="W105" s="79">
        <v>0</v>
      </c>
      <c r="X105" s="79">
        <v>5</v>
      </c>
      <c r="Y105" s="11" t="str">
        <f ca="1">IF(ISBLANK(BudgetsTable[[#This Row],[budg_seq_yr]]),"FY"&amp;fiscalyear,"FY"&amp;fiscalyear-1+BudgetsTable[[#This Row],[budg_seq_yr]])</f>
        <v>FY22</v>
      </c>
      <c r="Z105" s="80">
        <v>113296</v>
      </c>
      <c r="AA105" s="79" t="s">
        <v>477</v>
      </c>
      <c r="AB105" s="79" t="s">
        <v>582</v>
      </c>
      <c r="AC105" s="77" t="s">
        <v>94</v>
      </c>
      <c r="AD105" s="79" t="s">
        <v>1432</v>
      </c>
    </row>
    <row r="106" spans="1:30" x14ac:dyDescent="0.4">
      <c r="A106" s="10" t="s">
        <v>843</v>
      </c>
      <c r="B106" s="77" t="s">
        <v>95</v>
      </c>
      <c r="C106" s="77">
        <f>C105+(BudgetsTable[[#This Row],[lead]]&lt;&gt;K105)</f>
        <v>28</v>
      </c>
      <c r="D106" s="77">
        <f>D105*(BudgetsTable[[#This Row],[lead]]=K105)+(BudgetsTable[[#This Row],[prop_id]]&lt;&gt;A105)</f>
        <v>1</v>
      </c>
      <c r="E106" s="78">
        <v>42935.374305555553</v>
      </c>
      <c r="F106" s="79" t="s">
        <v>1430</v>
      </c>
      <c r="G106" s="79" t="s">
        <v>477</v>
      </c>
      <c r="H106" s="79" t="s">
        <v>582</v>
      </c>
      <c r="I106" s="77" t="s">
        <v>654</v>
      </c>
      <c r="J106" s="77" t="s">
        <v>1518</v>
      </c>
      <c r="K106" s="79" t="s">
        <v>843</v>
      </c>
      <c r="L106" s="7" t="str">
        <f>IF(BudgetsTable[[#This Row],[pi_last_name]]=" ","",HYPERLINK("https://www.ejacket.nsf.gov/ej/showProposal.do?Continue=Y&amp;ID="&amp;BudgetsTable[[#This Row],[prop_id]],BudgetsTable[[#This Row],[prop_id]]))</f>
        <v>1750127</v>
      </c>
      <c r="M106" s="15" t="e">
        <f>IF(BudgetsTable[[#This Row],[pi_last_name]]=" ","",HYPERLINK("https://www.ejacket.nsf.gov/ej/processReviewAnalysis.do?dispatch=add&amp;uniqId="&amp;BudgetsTable[[#This Row],[prop_id]]&amp;PO_id,"&gt;ra"))</f>
        <v>#REF!</v>
      </c>
      <c r="N106" s="79" t="s">
        <v>844</v>
      </c>
      <c r="O106" s="7" t="str">
        <f>IF(BudgetsTable[[#This Row],[pi_last_name]]=" ","",HYPERLINK("mailto:"&amp;BudgetsTable[[#This Row],[pi_email]]&amp;"&amp;subject=Your NSF Proposal:  "&amp;BudgetsTable[[#This Row],[prop_id]],BudgetsTable[[#This Row],[pi_email]]))</f>
        <v>viswa@umich.edu</v>
      </c>
      <c r="P106" s="79" t="s">
        <v>307</v>
      </c>
      <c r="Q106" s="79"/>
      <c r="R106" s="79"/>
      <c r="S106" s="80"/>
      <c r="T106" s="80"/>
      <c r="U106" s="80"/>
      <c r="V106" s="81"/>
      <c r="W106" s="79">
        <v>0</v>
      </c>
      <c r="X106" s="79"/>
      <c r="Y106" s="11" t="str">
        <f ca="1">IF(ISBLANK(BudgetsTable[[#This Row],[budg_seq_yr]]),"FY"&amp;fiscalyear,"FY"&amp;fiscalyear-1+BudgetsTable[[#This Row],[budg_seq_yr]])</f>
        <v>FY18</v>
      </c>
      <c r="Z106" s="80">
        <v>524840</v>
      </c>
      <c r="AA106" s="79" t="s">
        <v>477</v>
      </c>
      <c r="AB106" s="79" t="s">
        <v>582</v>
      </c>
      <c r="AC106" s="77" t="s">
        <v>94</v>
      </c>
      <c r="AD106" s="79" t="s">
        <v>584</v>
      </c>
    </row>
    <row r="107" spans="1:30" x14ac:dyDescent="0.4">
      <c r="A107" s="10" t="s">
        <v>843</v>
      </c>
      <c r="B107" s="77" t="s">
        <v>95</v>
      </c>
      <c r="C107" s="77">
        <f>C106+(BudgetsTable[[#This Row],[lead]]&lt;&gt;K106)</f>
        <v>28</v>
      </c>
      <c r="D107" s="77">
        <f>D106*(BudgetsTable[[#This Row],[lead]]=K106)+(BudgetsTable[[#This Row],[prop_id]]&lt;&gt;A106)</f>
        <v>1</v>
      </c>
      <c r="E107" s="78">
        <v>42935.374305555553</v>
      </c>
      <c r="F107" s="79" t="s">
        <v>1430</v>
      </c>
      <c r="G107" s="79" t="s">
        <v>477</v>
      </c>
      <c r="H107" s="79" t="s">
        <v>582</v>
      </c>
      <c r="I107" s="77" t="s">
        <v>654</v>
      </c>
      <c r="J107" s="77" t="s">
        <v>13</v>
      </c>
      <c r="K107" s="79" t="s">
        <v>843</v>
      </c>
      <c r="L107" s="7" t="str">
        <f>IF(BudgetsTable[[#This Row],[pi_last_name]]=" ","",HYPERLINK("https://www.ejacket.nsf.gov/ej/showProposal.do?Continue=Y&amp;ID="&amp;BudgetsTable[[#This Row],[prop_id]],BudgetsTable[[#This Row],[prop_id]]))</f>
        <v/>
      </c>
      <c r="M107" s="15" t="str">
        <f>IF(BudgetsTable[[#This Row],[pi_last_name]]=" ","",HYPERLINK("https://www.ejacket.nsf.gov/ej/processReviewAnalysis.do?dispatch=add&amp;uniqId="&amp;BudgetsTable[[#This Row],[prop_id]]&amp;PO_id,"&gt;ra"))</f>
        <v/>
      </c>
      <c r="N107" s="79" t="s">
        <v>13</v>
      </c>
      <c r="O107" s="7" t="str">
        <f>IF(BudgetsTable[[#This Row],[pi_last_name]]=" ","",HYPERLINK("mailto:"&amp;BudgetsTable[[#This Row],[pi_email]]&amp;"&amp;subject=Your NSF Proposal:  "&amp;BudgetsTable[[#This Row],[prop_id]],BudgetsTable[[#This Row],[pi_email]]))</f>
        <v/>
      </c>
      <c r="P107" s="79" t="s">
        <v>13</v>
      </c>
      <c r="Q107" s="79">
        <v>1</v>
      </c>
      <c r="R107" s="79">
        <v>1</v>
      </c>
      <c r="S107" s="80">
        <v>0</v>
      </c>
      <c r="T107" s="80">
        <v>0</v>
      </c>
      <c r="U107" s="80">
        <v>0</v>
      </c>
      <c r="V107" s="81">
        <v>112867</v>
      </c>
      <c r="W107" s="79">
        <v>0</v>
      </c>
      <c r="X107" s="79">
        <v>1</v>
      </c>
      <c r="Y107" s="11" t="str">
        <f ca="1">IF(ISBLANK(BudgetsTable[[#This Row],[budg_seq_yr]]),"FY"&amp;fiscalyear,"FY"&amp;fiscalyear-1+BudgetsTable[[#This Row],[budg_seq_yr]])</f>
        <v>FY18</v>
      </c>
      <c r="Z107" s="80">
        <v>112867</v>
      </c>
      <c r="AA107" s="79" t="s">
        <v>477</v>
      </c>
      <c r="AB107" s="79" t="s">
        <v>582</v>
      </c>
      <c r="AC107" s="77" t="s">
        <v>94</v>
      </c>
      <c r="AD107" s="79" t="s">
        <v>584</v>
      </c>
    </row>
    <row r="108" spans="1:30" x14ac:dyDescent="0.4">
      <c r="A108" s="10" t="s">
        <v>843</v>
      </c>
      <c r="B108" s="77" t="s">
        <v>95</v>
      </c>
      <c r="C108" s="77">
        <f>C107+(BudgetsTable[[#This Row],[lead]]&lt;&gt;K107)</f>
        <v>28</v>
      </c>
      <c r="D108" s="77">
        <f>D107*(BudgetsTable[[#This Row],[lead]]=K107)+(BudgetsTable[[#This Row],[prop_id]]&lt;&gt;A107)</f>
        <v>1</v>
      </c>
      <c r="E108" s="78">
        <v>42935.374305555553</v>
      </c>
      <c r="F108" s="79" t="s">
        <v>1430</v>
      </c>
      <c r="G108" s="79" t="s">
        <v>477</v>
      </c>
      <c r="H108" s="79" t="s">
        <v>582</v>
      </c>
      <c r="I108" s="77" t="s">
        <v>654</v>
      </c>
      <c r="J108" s="77" t="s">
        <v>13</v>
      </c>
      <c r="K108" s="79" t="s">
        <v>843</v>
      </c>
      <c r="L108" s="7" t="str">
        <f>IF(BudgetsTable[[#This Row],[pi_last_name]]=" ","",HYPERLINK("https://www.ejacket.nsf.gov/ej/showProposal.do?Continue=Y&amp;ID="&amp;BudgetsTable[[#This Row],[prop_id]],BudgetsTable[[#This Row],[prop_id]]))</f>
        <v/>
      </c>
      <c r="M108" s="15" t="str">
        <f>IF(BudgetsTable[[#This Row],[pi_last_name]]=" ","",HYPERLINK("https://www.ejacket.nsf.gov/ej/processReviewAnalysis.do?dispatch=add&amp;uniqId="&amp;BudgetsTable[[#This Row],[prop_id]]&amp;PO_id,"&gt;ra"))</f>
        <v/>
      </c>
      <c r="N108" s="79" t="s">
        <v>13</v>
      </c>
      <c r="O108" s="7" t="str">
        <f>IF(BudgetsTable[[#This Row],[pi_last_name]]=" ","",HYPERLINK("mailto:"&amp;BudgetsTable[[#This Row],[pi_email]]&amp;"&amp;subject=Your NSF Proposal:  "&amp;BudgetsTable[[#This Row],[prop_id]],BudgetsTable[[#This Row],[pi_email]]))</f>
        <v/>
      </c>
      <c r="P108" s="79" t="s">
        <v>13</v>
      </c>
      <c r="Q108" s="79">
        <v>1</v>
      </c>
      <c r="R108" s="79">
        <v>1</v>
      </c>
      <c r="S108" s="80">
        <v>0</v>
      </c>
      <c r="T108" s="80">
        <v>0</v>
      </c>
      <c r="U108" s="80">
        <v>1500</v>
      </c>
      <c r="V108" s="81">
        <v>109361</v>
      </c>
      <c r="W108" s="79">
        <v>0</v>
      </c>
      <c r="X108" s="79">
        <v>2</v>
      </c>
      <c r="Y108" s="11" t="str">
        <f ca="1">IF(ISBLANK(BudgetsTable[[#This Row],[budg_seq_yr]]),"FY"&amp;fiscalyear,"FY"&amp;fiscalyear-1+BudgetsTable[[#This Row],[budg_seq_yr]])</f>
        <v>FY19</v>
      </c>
      <c r="Z108" s="80">
        <v>109361</v>
      </c>
      <c r="AA108" s="79" t="s">
        <v>477</v>
      </c>
      <c r="AB108" s="79" t="s">
        <v>582</v>
      </c>
      <c r="AC108" s="77" t="s">
        <v>94</v>
      </c>
      <c r="AD108" s="79" t="s">
        <v>584</v>
      </c>
    </row>
    <row r="109" spans="1:30" x14ac:dyDescent="0.4">
      <c r="A109" s="10" t="s">
        <v>843</v>
      </c>
      <c r="B109" s="77" t="s">
        <v>95</v>
      </c>
      <c r="C109" s="77">
        <f>C108+(BudgetsTable[[#This Row],[lead]]&lt;&gt;K108)</f>
        <v>28</v>
      </c>
      <c r="D109" s="77">
        <f>D108*(BudgetsTable[[#This Row],[lead]]=K108)+(BudgetsTable[[#This Row],[prop_id]]&lt;&gt;A108)</f>
        <v>1</v>
      </c>
      <c r="E109" s="78">
        <v>42935.374305555553</v>
      </c>
      <c r="F109" s="79" t="s">
        <v>1430</v>
      </c>
      <c r="G109" s="79" t="s">
        <v>477</v>
      </c>
      <c r="H109" s="79" t="s">
        <v>582</v>
      </c>
      <c r="I109" s="77" t="s">
        <v>654</v>
      </c>
      <c r="J109" s="77" t="s">
        <v>13</v>
      </c>
      <c r="K109" s="79" t="s">
        <v>843</v>
      </c>
      <c r="L109" s="7" t="str">
        <f>IF(BudgetsTable[[#This Row],[pi_last_name]]=" ","",HYPERLINK("https://www.ejacket.nsf.gov/ej/showProposal.do?Continue=Y&amp;ID="&amp;BudgetsTable[[#This Row],[prop_id]],BudgetsTable[[#This Row],[prop_id]]))</f>
        <v/>
      </c>
      <c r="M109" s="15" t="str">
        <f>IF(BudgetsTable[[#This Row],[pi_last_name]]=" ","",HYPERLINK("https://www.ejacket.nsf.gov/ej/processReviewAnalysis.do?dispatch=add&amp;uniqId="&amp;BudgetsTable[[#This Row],[prop_id]]&amp;PO_id,"&gt;ra"))</f>
        <v/>
      </c>
      <c r="N109" s="79" t="s">
        <v>13</v>
      </c>
      <c r="O109" s="7" t="str">
        <f>IF(BudgetsTable[[#This Row],[pi_last_name]]=" ","",HYPERLINK("mailto:"&amp;BudgetsTable[[#This Row],[pi_email]]&amp;"&amp;subject=Your NSF Proposal:  "&amp;BudgetsTable[[#This Row],[prop_id]],BudgetsTable[[#This Row],[pi_email]]))</f>
        <v/>
      </c>
      <c r="P109" s="79" t="s">
        <v>13</v>
      </c>
      <c r="Q109" s="79">
        <v>1</v>
      </c>
      <c r="R109" s="79">
        <v>1</v>
      </c>
      <c r="S109" s="80">
        <v>0</v>
      </c>
      <c r="T109" s="80">
        <v>0</v>
      </c>
      <c r="U109" s="80">
        <v>0</v>
      </c>
      <c r="V109" s="81">
        <v>111369</v>
      </c>
      <c r="W109" s="79">
        <v>0</v>
      </c>
      <c r="X109" s="79">
        <v>3</v>
      </c>
      <c r="Y109" s="11" t="str">
        <f ca="1">IF(ISBLANK(BudgetsTable[[#This Row],[budg_seq_yr]]),"FY"&amp;fiscalyear,"FY"&amp;fiscalyear-1+BudgetsTable[[#This Row],[budg_seq_yr]])</f>
        <v>FY20</v>
      </c>
      <c r="Z109" s="80">
        <v>111369</v>
      </c>
      <c r="AA109" s="79" t="s">
        <v>477</v>
      </c>
      <c r="AB109" s="79" t="s">
        <v>582</v>
      </c>
      <c r="AC109" s="77" t="s">
        <v>94</v>
      </c>
      <c r="AD109" s="79" t="s">
        <v>584</v>
      </c>
    </row>
    <row r="110" spans="1:30" x14ac:dyDescent="0.4">
      <c r="A110" s="10" t="s">
        <v>843</v>
      </c>
      <c r="B110" s="77" t="s">
        <v>95</v>
      </c>
      <c r="C110" s="77">
        <f>C109+(BudgetsTable[[#This Row],[lead]]&lt;&gt;K109)</f>
        <v>28</v>
      </c>
      <c r="D110" s="77">
        <f>D109*(BudgetsTable[[#This Row],[lead]]=K109)+(BudgetsTable[[#This Row],[prop_id]]&lt;&gt;A109)</f>
        <v>1</v>
      </c>
      <c r="E110" s="78">
        <v>42935.374305555553</v>
      </c>
      <c r="F110" s="79" t="s">
        <v>1430</v>
      </c>
      <c r="G110" s="79" t="s">
        <v>477</v>
      </c>
      <c r="H110" s="79" t="s">
        <v>582</v>
      </c>
      <c r="I110" s="77" t="s">
        <v>654</v>
      </c>
      <c r="J110" s="77" t="s">
        <v>13</v>
      </c>
      <c r="K110" s="79" t="s">
        <v>843</v>
      </c>
      <c r="L110" s="7" t="str">
        <f>IF(BudgetsTable[[#This Row],[pi_last_name]]=" ","",HYPERLINK("https://www.ejacket.nsf.gov/ej/showProposal.do?Continue=Y&amp;ID="&amp;BudgetsTable[[#This Row],[prop_id]],BudgetsTable[[#This Row],[prop_id]]))</f>
        <v/>
      </c>
      <c r="M110" s="15" t="str">
        <f>IF(BudgetsTable[[#This Row],[pi_last_name]]=" ","",HYPERLINK("https://www.ejacket.nsf.gov/ej/processReviewAnalysis.do?dispatch=add&amp;uniqId="&amp;BudgetsTable[[#This Row],[prop_id]]&amp;PO_id,"&gt;ra"))</f>
        <v/>
      </c>
      <c r="N110" s="79" t="s">
        <v>13</v>
      </c>
      <c r="O110" s="7" t="str">
        <f>IF(BudgetsTable[[#This Row],[pi_last_name]]=" ","",HYPERLINK("mailto:"&amp;BudgetsTable[[#This Row],[pi_email]]&amp;"&amp;subject=Your NSF Proposal:  "&amp;BudgetsTable[[#This Row],[prop_id]],BudgetsTable[[#This Row],[pi_email]]))</f>
        <v/>
      </c>
      <c r="P110" s="79" t="s">
        <v>13</v>
      </c>
      <c r="Q110" s="79">
        <v>1</v>
      </c>
      <c r="R110" s="79">
        <v>1</v>
      </c>
      <c r="S110" s="80">
        <v>0</v>
      </c>
      <c r="T110" s="80">
        <v>0</v>
      </c>
      <c r="U110" s="80">
        <v>1500</v>
      </c>
      <c r="V110" s="81">
        <v>94898</v>
      </c>
      <c r="W110" s="79">
        <v>0</v>
      </c>
      <c r="X110" s="79">
        <v>4</v>
      </c>
      <c r="Y110" s="11" t="str">
        <f ca="1">IF(ISBLANK(BudgetsTable[[#This Row],[budg_seq_yr]]),"FY"&amp;fiscalyear,"FY"&amp;fiscalyear-1+BudgetsTable[[#This Row],[budg_seq_yr]])</f>
        <v>FY21</v>
      </c>
      <c r="Z110" s="80">
        <v>94898</v>
      </c>
      <c r="AA110" s="79" t="s">
        <v>477</v>
      </c>
      <c r="AB110" s="79" t="s">
        <v>582</v>
      </c>
      <c r="AC110" s="77" t="s">
        <v>94</v>
      </c>
      <c r="AD110" s="79" t="s">
        <v>584</v>
      </c>
    </row>
    <row r="111" spans="1:30" x14ac:dyDescent="0.4">
      <c r="A111" s="10" t="s">
        <v>843</v>
      </c>
      <c r="B111" s="77" t="s">
        <v>95</v>
      </c>
      <c r="C111" s="77">
        <f>C110+(BudgetsTable[[#This Row],[lead]]&lt;&gt;K110)</f>
        <v>28</v>
      </c>
      <c r="D111" s="77">
        <f>D110*(BudgetsTable[[#This Row],[lead]]=K110)+(BudgetsTable[[#This Row],[prop_id]]&lt;&gt;A110)</f>
        <v>1</v>
      </c>
      <c r="E111" s="78">
        <v>42935.374305555553</v>
      </c>
      <c r="F111" s="79" t="s">
        <v>1430</v>
      </c>
      <c r="G111" s="79" t="s">
        <v>477</v>
      </c>
      <c r="H111" s="79" t="s">
        <v>582</v>
      </c>
      <c r="I111" s="77" t="s">
        <v>654</v>
      </c>
      <c r="J111" s="77" t="s">
        <v>13</v>
      </c>
      <c r="K111" s="79" t="s">
        <v>843</v>
      </c>
      <c r="L111" s="7" t="str">
        <f>IF(BudgetsTable[[#This Row],[pi_last_name]]=" ","",HYPERLINK("https://www.ejacket.nsf.gov/ej/showProposal.do?Continue=Y&amp;ID="&amp;BudgetsTable[[#This Row],[prop_id]],BudgetsTable[[#This Row],[prop_id]]))</f>
        <v/>
      </c>
      <c r="M111" s="15" t="str">
        <f>IF(BudgetsTable[[#This Row],[pi_last_name]]=" ","",HYPERLINK("https://www.ejacket.nsf.gov/ej/processReviewAnalysis.do?dispatch=add&amp;uniqId="&amp;BudgetsTable[[#This Row],[prop_id]]&amp;PO_id,"&gt;ra"))</f>
        <v/>
      </c>
      <c r="N111" s="79" t="s">
        <v>13</v>
      </c>
      <c r="O111" s="7" t="str">
        <f>IF(BudgetsTable[[#This Row],[pi_last_name]]=" ","",HYPERLINK("mailto:"&amp;BudgetsTable[[#This Row],[pi_email]]&amp;"&amp;subject=Your NSF Proposal:  "&amp;BudgetsTable[[#This Row],[prop_id]],BudgetsTable[[#This Row],[pi_email]]))</f>
        <v/>
      </c>
      <c r="P111" s="79" t="s">
        <v>13</v>
      </c>
      <c r="Q111" s="79">
        <v>1</v>
      </c>
      <c r="R111" s="79">
        <v>1</v>
      </c>
      <c r="S111" s="80">
        <v>0</v>
      </c>
      <c r="T111" s="80">
        <v>0</v>
      </c>
      <c r="U111" s="80">
        <v>0</v>
      </c>
      <c r="V111" s="81">
        <v>96345</v>
      </c>
      <c r="W111" s="79">
        <v>0</v>
      </c>
      <c r="X111" s="79">
        <v>5</v>
      </c>
      <c r="Y111" s="11" t="str">
        <f ca="1">IF(ISBLANK(BudgetsTable[[#This Row],[budg_seq_yr]]),"FY"&amp;fiscalyear,"FY"&amp;fiscalyear-1+BudgetsTable[[#This Row],[budg_seq_yr]])</f>
        <v>FY22</v>
      </c>
      <c r="Z111" s="80">
        <v>96345</v>
      </c>
      <c r="AA111" s="79" t="s">
        <v>477</v>
      </c>
      <c r="AB111" s="79" t="s">
        <v>582</v>
      </c>
      <c r="AC111" s="77" t="s">
        <v>94</v>
      </c>
      <c r="AD111" s="79" t="s">
        <v>584</v>
      </c>
    </row>
    <row r="112" spans="1:30" x14ac:dyDescent="0.4">
      <c r="A112" s="10" t="s">
        <v>851</v>
      </c>
      <c r="B112" s="77" t="s">
        <v>95</v>
      </c>
      <c r="C112" s="77">
        <f>C111+(BudgetsTable[[#This Row],[lead]]&lt;&gt;K111)</f>
        <v>29</v>
      </c>
      <c r="D112" s="77">
        <f>D111*(BudgetsTable[[#This Row],[lead]]=K111)+(BudgetsTable[[#This Row],[prop_id]]&lt;&gt;A111)</f>
        <v>1</v>
      </c>
      <c r="E112" s="78">
        <v>42935.387499999997</v>
      </c>
      <c r="F112" s="79" t="s">
        <v>1430</v>
      </c>
      <c r="G112" s="79" t="s">
        <v>477</v>
      </c>
      <c r="H112" s="79" t="s">
        <v>582</v>
      </c>
      <c r="I112" s="77" t="s">
        <v>654</v>
      </c>
      <c r="J112" s="77" t="s">
        <v>1523</v>
      </c>
      <c r="K112" s="79" t="s">
        <v>851</v>
      </c>
      <c r="L112" s="7" t="str">
        <f>IF(BudgetsTable[[#This Row],[pi_last_name]]=" ","",HYPERLINK("https://www.ejacket.nsf.gov/ej/showProposal.do?Continue=Y&amp;ID="&amp;BudgetsTable[[#This Row],[prop_id]],BudgetsTable[[#This Row],[prop_id]]))</f>
        <v>1750140</v>
      </c>
      <c r="M112" s="15" t="e">
        <f>IF(BudgetsTable[[#This Row],[pi_last_name]]=" ","",HYPERLINK("https://www.ejacket.nsf.gov/ej/processReviewAnalysis.do?dispatch=add&amp;uniqId="&amp;BudgetsTable[[#This Row],[prop_id]]&amp;PO_id,"&gt;ra"))</f>
        <v>#REF!</v>
      </c>
      <c r="N112" s="79" t="s">
        <v>852</v>
      </c>
      <c r="O112" s="7" t="str">
        <f>IF(BudgetsTable[[#This Row],[pi_last_name]]=" ","",HYPERLINK("mailto:"&amp;BudgetsTable[[#This Row],[pi_email]]&amp;"&amp;subject=Your NSF Proposal:  "&amp;BudgetsTable[[#This Row],[prop_id]],BudgetsTable[[#This Row],[pi_email]]))</f>
        <v>debmalya.panigrahi@gmail.com</v>
      </c>
      <c r="P112" s="79" t="s">
        <v>1520</v>
      </c>
      <c r="Q112" s="79"/>
      <c r="R112" s="79"/>
      <c r="S112" s="80"/>
      <c r="T112" s="80"/>
      <c r="U112" s="80"/>
      <c r="V112" s="81"/>
      <c r="W112" s="79">
        <v>0</v>
      </c>
      <c r="X112" s="79"/>
      <c r="Y112" s="11" t="str">
        <f ca="1">IF(ISBLANK(BudgetsTable[[#This Row],[budg_seq_yr]]),"FY"&amp;fiscalyear,"FY"&amp;fiscalyear-1+BudgetsTable[[#This Row],[budg_seq_yr]])</f>
        <v>FY18</v>
      </c>
      <c r="Z112" s="80">
        <v>602288</v>
      </c>
      <c r="AA112" s="79" t="s">
        <v>477</v>
      </c>
      <c r="AB112" s="79" t="s">
        <v>582</v>
      </c>
      <c r="AC112" s="77" t="s">
        <v>94</v>
      </c>
      <c r="AD112" s="79" t="s">
        <v>1432</v>
      </c>
    </row>
    <row r="113" spans="1:30" x14ac:dyDescent="0.4">
      <c r="A113" s="10" t="s">
        <v>851</v>
      </c>
      <c r="B113" s="77" t="s">
        <v>95</v>
      </c>
      <c r="C113" s="77">
        <f>C112+(BudgetsTable[[#This Row],[lead]]&lt;&gt;K112)</f>
        <v>29</v>
      </c>
      <c r="D113" s="77">
        <f>D112*(BudgetsTable[[#This Row],[lead]]=K112)+(BudgetsTable[[#This Row],[prop_id]]&lt;&gt;A112)</f>
        <v>1</v>
      </c>
      <c r="E113" s="78">
        <v>42935.387499999997</v>
      </c>
      <c r="F113" s="79" t="s">
        <v>1430</v>
      </c>
      <c r="G113" s="79" t="s">
        <v>477</v>
      </c>
      <c r="H113" s="79" t="s">
        <v>582</v>
      </c>
      <c r="I113" s="77" t="s">
        <v>654</v>
      </c>
      <c r="J113" s="77" t="s">
        <v>13</v>
      </c>
      <c r="K113" s="79" t="s">
        <v>851</v>
      </c>
      <c r="L113" s="7" t="str">
        <f>IF(BudgetsTable[[#This Row],[pi_last_name]]=" ","",HYPERLINK("https://www.ejacket.nsf.gov/ej/showProposal.do?Continue=Y&amp;ID="&amp;BudgetsTable[[#This Row],[prop_id]],BudgetsTable[[#This Row],[prop_id]]))</f>
        <v/>
      </c>
      <c r="M113" s="15" t="str">
        <f>IF(BudgetsTable[[#This Row],[pi_last_name]]=" ","",HYPERLINK("https://www.ejacket.nsf.gov/ej/processReviewAnalysis.do?dispatch=add&amp;uniqId="&amp;BudgetsTable[[#This Row],[prop_id]]&amp;PO_id,"&gt;ra"))</f>
        <v/>
      </c>
      <c r="N113" s="79" t="s">
        <v>13</v>
      </c>
      <c r="O113" s="7" t="str">
        <f>IF(BudgetsTable[[#This Row],[pi_last_name]]=" ","",HYPERLINK("mailto:"&amp;BudgetsTable[[#This Row],[pi_email]]&amp;"&amp;subject=Your NSF Proposal:  "&amp;BudgetsTable[[#This Row],[prop_id]],BudgetsTable[[#This Row],[pi_email]]))</f>
        <v/>
      </c>
      <c r="P113" s="79" t="s">
        <v>13</v>
      </c>
      <c r="Q113" s="79">
        <v>1</v>
      </c>
      <c r="R113" s="79">
        <v>1</v>
      </c>
      <c r="S113" s="80">
        <v>0</v>
      </c>
      <c r="T113" s="80">
        <v>4000</v>
      </c>
      <c r="U113" s="80">
        <v>16000</v>
      </c>
      <c r="V113" s="81">
        <v>116624</v>
      </c>
      <c r="W113" s="79">
        <v>0</v>
      </c>
      <c r="X113" s="79">
        <v>1</v>
      </c>
      <c r="Y113" s="11" t="str">
        <f ca="1">IF(ISBLANK(BudgetsTable[[#This Row],[budg_seq_yr]]),"FY"&amp;fiscalyear,"FY"&amp;fiscalyear-1+BudgetsTable[[#This Row],[budg_seq_yr]])</f>
        <v>FY18</v>
      </c>
      <c r="Z113" s="80">
        <v>116624</v>
      </c>
      <c r="AA113" s="79" t="s">
        <v>477</v>
      </c>
      <c r="AB113" s="79" t="s">
        <v>582</v>
      </c>
      <c r="AC113" s="77" t="s">
        <v>94</v>
      </c>
      <c r="AD113" s="79" t="s">
        <v>1432</v>
      </c>
    </row>
    <row r="114" spans="1:30" x14ac:dyDescent="0.4">
      <c r="A114" s="10" t="s">
        <v>851</v>
      </c>
      <c r="B114" s="77" t="s">
        <v>95</v>
      </c>
      <c r="C114" s="77">
        <f>C113+(BudgetsTable[[#This Row],[lead]]&lt;&gt;K113)</f>
        <v>29</v>
      </c>
      <c r="D114" s="77">
        <f>D113*(BudgetsTable[[#This Row],[lead]]=K113)+(BudgetsTable[[#This Row],[prop_id]]&lt;&gt;A113)</f>
        <v>1</v>
      </c>
      <c r="E114" s="78">
        <v>42935.387499999997</v>
      </c>
      <c r="F114" s="79" t="s">
        <v>1430</v>
      </c>
      <c r="G114" s="79" t="s">
        <v>477</v>
      </c>
      <c r="H114" s="79" t="s">
        <v>582</v>
      </c>
      <c r="I114" s="77" t="s">
        <v>654</v>
      </c>
      <c r="J114" s="77" t="s">
        <v>13</v>
      </c>
      <c r="K114" s="79" t="s">
        <v>851</v>
      </c>
      <c r="L114" s="7" t="str">
        <f>IF(BudgetsTable[[#This Row],[pi_last_name]]=" ","",HYPERLINK("https://www.ejacket.nsf.gov/ej/showProposal.do?Continue=Y&amp;ID="&amp;BudgetsTable[[#This Row],[prop_id]],BudgetsTable[[#This Row],[prop_id]]))</f>
        <v/>
      </c>
      <c r="M114" s="15" t="str">
        <f>IF(BudgetsTable[[#This Row],[pi_last_name]]=" ","",HYPERLINK("https://www.ejacket.nsf.gov/ej/processReviewAnalysis.do?dispatch=add&amp;uniqId="&amp;BudgetsTable[[#This Row],[prop_id]]&amp;PO_id,"&gt;ra"))</f>
        <v/>
      </c>
      <c r="N114" s="79" t="s">
        <v>13</v>
      </c>
      <c r="O114" s="7" t="str">
        <f>IF(BudgetsTable[[#This Row],[pi_last_name]]=" ","",HYPERLINK("mailto:"&amp;BudgetsTable[[#This Row],[pi_email]]&amp;"&amp;subject=Your NSF Proposal:  "&amp;BudgetsTable[[#This Row],[prop_id]],BudgetsTable[[#This Row],[pi_email]]))</f>
        <v/>
      </c>
      <c r="P114" s="79" t="s">
        <v>13</v>
      </c>
      <c r="Q114" s="79">
        <v>1</v>
      </c>
      <c r="R114" s="79">
        <v>1</v>
      </c>
      <c r="S114" s="80">
        <v>0</v>
      </c>
      <c r="T114" s="80">
        <v>4100</v>
      </c>
      <c r="U114" s="80">
        <v>0</v>
      </c>
      <c r="V114" s="81">
        <v>103527</v>
      </c>
      <c r="W114" s="79">
        <v>0</v>
      </c>
      <c r="X114" s="79">
        <v>2</v>
      </c>
      <c r="Y114" s="11" t="str">
        <f ca="1">IF(ISBLANK(BudgetsTable[[#This Row],[budg_seq_yr]]),"FY"&amp;fiscalyear,"FY"&amp;fiscalyear-1+BudgetsTable[[#This Row],[budg_seq_yr]])</f>
        <v>FY19</v>
      </c>
      <c r="Z114" s="80">
        <v>103527</v>
      </c>
      <c r="AA114" s="79" t="s">
        <v>477</v>
      </c>
      <c r="AB114" s="79" t="s">
        <v>582</v>
      </c>
      <c r="AC114" s="77" t="s">
        <v>94</v>
      </c>
      <c r="AD114" s="79" t="s">
        <v>1432</v>
      </c>
    </row>
    <row r="115" spans="1:30" x14ac:dyDescent="0.4">
      <c r="A115" s="10" t="s">
        <v>851</v>
      </c>
      <c r="B115" s="77" t="s">
        <v>95</v>
      </c>
      <c r="C115" s="77">
        <f>C114+(BudgetsTable[[#This Row],[lead]]&lt;&gt;K114)</f>
        <v>29</v>
      </c>
      <c r="D115" s="77">
        <f>D114*(BudgetsTable[[#This Row],[lead]]=K114)+(BudgetsTable[[#This Row],[prop_id]]&lt;&gt;A114)</f>
        <v>1</v>
      </c>
      <c r="E115" s="78">
        <v>42935.387499999997</v>
      </c>
      <c r="F115" s="79" t="s">
        <v>1430</v>
      </c>
      <c r="G115" s="79" t="s">
        <v>477</v>
      </c>
      <c r="H115" s="79" t="s">
        <v>582</v>
      </c>
      <c r="I115" s="77" t="s">
        <v>654</v>
      </c>
      <c r="J115" s="77" t="s">
        <v>13</v>
      </c>
      <c r="K115" s="79" t="s">
        <v>851</v>
      </c>
      <c r="L115" s="7" t="str">
        <f>IF(BudgetsTable[[#This Row],[pi_last_name]]=" ","",HYPERLINK("https://www.ejacket.nsf.gov/ej/showProposal.do?Continue=Y&amp;ID="&amp;BudgetsTable[[#This Row],[prop_id]],BudgetsTable[[#This Row],[prop_id]]))</f>
        <v/>
      </c>
      <c r="M115" s="15" t="str">
        <f>IF(BudgetsTable[[#This Row],[pi_last_name]]=" ","",HYPERLINK("https://www.ejacket.nsf.gov/ej/processReviewAnalysis.do?dispatch=add&amp;uniqId="&amp;BudgetsTable[[#This Row],[prop_id]]&amp;PO_id,"&gt;ra"))</f>
        <v/>
      </c>
      <c r="N115" s="79" t="s">
        <v>13</v>
      </c>
      <c r="O115" s="7" t="str">
        <f>IF(BudgetsTable[[#This Row],[pi_last_name]]=" ","",HYPERLINK("mailto:"&amp;BudgetsTable[[#This Row],[pi_email]]&amp;"&amp;subject=Your NSF Proposal:  "&amp;BudgetsTable[[#This Row],[prop_id]],BudgetsTable[[#This Row],[pi_email]]))</f>
        <v/>
      </c>
      <c r="P115" s="79" t="s">
        <v>13</v>
      </c>
      <c r="Q115" s="79">
        <v>1</v>
      </c>
      <c r="R115" s="79">
        <v>1</v>
      </c>
      <c r="S115" s="80">
        <v>0</v>
      </c>
      <c r="T115" s="80">
        <v>4203</v>
      </c>
      <c r="U115" s="80">
        <v>0</v>
      </c>
      <c r="V115" s="81">
        <v>106655</v>
      </c>
      <c r="W115" s="79">
        <v>0</v>
      </c>
      <c r="X115" s="79">
        <v>3</v>
      </c>
      <c r="Y115" s="11" t="str">
        <f ca="1">IF(ISBLANK(BudgetsTable[[#This Row],[budg_seq_yr]]),"FY"&amp;fiscalyear,"FY"&amp;fiscalyear-1+BudgetsTable[[#This Row],[budg_seq_yr]])</f>
        <v>FY20</v>
      </c>
      <c r="Z115" s="80">
        <v>106655</v>
      </c>
      <c r="AA115" s="79" t="s">
        <v>477</v>
      </c>
      <c r="AB115" s="79" t="s">
        <v>582</v>
      </c>
      <c r="AC115" s="77" t="s">
        <v>94</v>
      </c>
      <c r="AD115" s="79" t="s">
        <v>1432</v>
      </c>
    </row>
    <row r="116" spans="1:30" x14ac:dyDescent="0.4">
      <c r="A116" s="10" t="s">
        <v>851</v>
      </c>
      <c r="B116" s="77" t="s">
        <v>95</v>
      </c>
      <c r="C116" s="77">
        <f>C115+(BudgetsTable[[#This Row],[lead]]&lt;&gt;K115)</f>
        <v>29</v>
      </c>
      <c r="D116" s="77">
        <f>D115*(BudgetsTable[[#This Row],[lead]]=K115)+(BudgetsTable[[#This Row],[prop_id]]&lt;&gt;A115)</f>
        <v>1</v>
      </c>
      <c r="E116" s="78">
        <v>42935.387499999997</v>
      </c>
      <c r="F116" s="79" t="s">
        <v>1430</v>
      </c>
      <c r="G116" s="79" t="s">
        <v>477</v>
      </c>
      <c r="H116" s="79" t="s">
        <v>582</v>
      </c>
      <c r="I116" s="77" t="s">
        <v>654</v>
      </c>
      <c r="J116" s="77" t="s">
        <v>13</v>
      </c>
      <c r="K116" s="79" t="s">
        <v>851</v>
      </c>
      <c r="L116" s="7" t="str">
        <f>IF(BudgetsTable[[#This Row],[pi_last_name]]=" ","",HYPERLINK("https://www.ejacket.nsf.gov/ej/showProposal.do?Continue=Y&amp;ID="&amp;BudgetsTable[[#This Row],[prop_id]],BudgetsTable[[#This Row],[prop_id]]))</f>
        <v/>
      </c>
      <c r="M116" s="15" t="str">
        <f>IF(BudgetsTable[[#This Row],[pi_last_name]]=" ","",HYPERLINK("https://www.ejacket.nsf.gov/ej/processReviewAnalysis.do?dispatch=add&amp;uniqId="&amp;BudgetsTable[[#This Row],[prop_id]]&amp;PO_id,"&gt;ra"))</f>
        <v/>
      </c>
      <c r="N116" s="79" t="s">
        <v>13</v>
      </c>
      <c r="O116" s="7" t="str">
        <f>IF(BudgetsTable[[#This Row],[pi_last_name]]=" ","",HYPERLINK("mailto:"&amp;BudgetsTable[[#This Row],[pi_email]]&amp;"&amp;subject=Your NSF Proposal:  "&amp;BudgetsTable[[#This Row],[prop_id]],BudgetsTable[[#This Row],[pi_email]]))</f>
        <v/>
      </c>
      <c r="P116" s="79" t="s">
        <v>13</v>
      </c>
      <c r="Q116" s="79">
        <v>1</v>
      </c>
      <c r="R116" s="79">
        <v>2</v>
      </c>
      <c r="S116" s="80">
        <v>0</v>
      </c>
      <c r="T116" s="80">
        <v>4308</v>
      </c>
      <c r="U116" s="80">
        <v>0</v>
      </c>
      <c r="V116" s="81">
        <v>135919</v>
      </c>
      <c r="W116" s="79">
        <v>0</v>
      </c>
      <c r="X116" s="79">
        <v>4</v>
      </c>
      <c r="Y116" s="11" t="str">
        <f ca="1">IF(ISBLANK(BudgetsTable[[#This Row],[budg_seq_yr]]),"FY"&amp;fiscalyear,"FY"&amp;fiscalyear-1+BudgetsTable[[#This Row],[budg_seq_yr]])</f>
        <v>FY21</v>
      </c>
      <c r="Z116" s="80">
        <v>135919</v>
      </c>
      <c r="AA116" s="79" t="s">
        <v>477</v>
      </c>
      <c r="AB116" s="79" t="s">
        <v>582</v>
      </c>
      <c r="AC116" s="77" t="s">
        <v>94</v>
      </c>
      <c r="AD116" s="79" t="s">
        <v>1432</v>
      </c>
    </row>
    <row r="117" spans="1:30" x14ac:dyDescent="0.4">
      <c r="A117" s="10" t="s">
        <v>851</v>
      </c>
      <c r="B117" s="77" t="s">
        <v>95</v>
      </c>
      <c r="C117" s="77">
        <f>C116+(BudgetsTable[[#This Row],[lead]]&lt;&gt;K116)</f>
        <v>29</v>
      </c>
      <c r="D117" s="77">
        <f>D116*(BudgetsTable[[#This Row],[lead]]=K116)+(BudgetsTable[[#This Row],[prop_id]]&lt;&gt;A116)</f>
        <v>1</v>
      </c>
      <c r="E117" s="78">
        <v>42935.387499999997</v>
      </c>
      <c r="F117" s="79" t="s">
        <v>1430</v>
      </c>
      <c r="G117" s="79" t="s">
        <v>477</v>
      </c>
      <c r="H117" s="79" t="s">
        <v>582</v>
      </c>
      <c r="I117" s="77" t="s">
        <v>654</v>
      </c>
      <c r="J117" s="77" t="s">
        <v>13</v>
      </c>
      <c r="K117" s="79" t="s">
        <v>851</v>
      </c>
      <c r="L117" s="7" t="str">
        <f>IF(BudgetsTable[[#This Row],[pi_last_name]]=" ","",HYPERLINK("https://www.ejacket.nsf.gov/ej/showProposal.do?Continue=Y&amp;ID="&amp;BudgetsTable[[#This Row],[prop_id]],BudgetsTable[[#This Row],[prop_id]]))</f>
        <v/>
      </c>
      <c r="M117" s="15" t="str">
        <f>IF(BudgetsTable[[#This Row],[pi_last_name]]=" ","",HYPERLINK("https://www.ejacket.nsf.gov/ej/processReviewAnalysis.do?dispatch=add&amp;uniqId="&amp;BudgetsTable[[#This Row],[prop_id]]&amp;PO_id,"&gt;ra"))</f>
        <v/>
      </c>
      <c r="N117" s="79" t="s">
        <v>13</v>
      </c>
      <c r="O117" s="7" t="str">
        <f>IF(BudgetsTable[[#This Row],[pi_last_name]]=" ","",HYPERLINK("mailto:"&amp;BudgetsTable[[#This Row],[pi_email]]&amp;"&amp;subject=Your NSF Proposal:  "&amp;BudgetsTable[[#This Row],[prop_id]],BudgetsTable[[#This Row],[pi_email]]))</f>
        <v/>
      </c>
      <c r="P117" s="79" t="s">
        <v>13</v>
      </c>
      <c r="Q117" s="79">
        <v>1</v>
      </c>
      <c r="R117" s="79">
        <v>2</v>
      </c>
      <c r="S117" s="80">
        <v>0</v>
      </c>
      <c r="T117" s="80">
        <v>4415</v>
      </c>
      <c r="U117" s="80">
        <v>0</v>
      </c>
      <c r="V117" s="81">
        <v>139563</v>
      </c>
      <c r="W117" s="79">
        <v>0</v>
      </c>
      <c r="X117" s="79">
        <v>5</v>
      </c>
      <c r="Y117" s="11" t="str">
        <f ca="1">IF(ISBLANK(BudgetsTable[[#This Row],[budg_seq_yr]]),"FY"&amp;fiscalyear,"FY"&amp;fiscalyear-1+BudgetsTable[[#This Row],[budg_seq_yr]])</f>
        <v>FY22</v>
      </c>
      <c r="Z117" s="80">
        <v>139563</v>
      </c>
      <c r="AA117" s="79" t="s">
        <v>477</v>
      </c>
      <c r="AB117" s="79" t="s">
        <v>582</v>
      </c>
      <c r="AC117" s="77" t="s">
        <v>94</v>
      </c>
      <c r="AD117" s="79" t="s">
        <v>1432</v>
      </c>
    </row>
    <row r="118" spans="1:30" x14ac:dyDescent="0.4">
      <c r="A118" s="10" t="s">
        <v>859</v>
      </c>
      <c r="B118" s="77" t="s">
        <v>95</v>
      </c>
      <c r="C118" s="77">
        <f>C117+(BudgetsTable[[#This Row],[lead]]&lt;&gt;K117)</f>
        <v>30</v>
      </c>
      <c r="D118" s="77">
        <f>D117*(BudgetsTable[[#This Row],[lead]]=K117)+(BudgetsTable[[#This Row],[prop_id]]&lt;&gt;A117)</f>
        <v>1</v>
      </c>
      <c r="E118" s="78">
        <v>42935.475694444445</v>
      </c>
      <c r="F118" s="79" t="s">
        <v>1430</v>
      </c>
      <c r="G118" s="79" t="s">
        <v>477</v>
      </c>
      <c r="H118" s="79" t="s">
        <v>582</v>
      </c>
      <c r="I118" s="77" t="s">
        <v>654</v>
      </c>
      <c r="J118" s="77" t="s">
        <v>1527</v>
      </c>
      <c r="K118" s="79" t="s">
        <v>859</v>
      </c>
      <c r="L118" s="7" t="str">
        <f>IF(BudgetsTable[[#This Row],[pi_last_name]]=" ","",HYPERLINK("https://www.ejacket.nsf.gov/ej/showProposal.do?Continue=Y&amp;ID="&amp;BudgetsTable[[#This Row],[prop_id]],BudgetsTable[[#This Row],[prop_id]]))</f>
        <v>1750302</v>
      </c>
      <c r="M118" s="15" t="e">
        <f>IF(BudgetsTable[[#This Row],[pi_last_name]]=" ","",HYPERLINK("https://www.ejacket.nsf.gov/ej/processReviewAnalysis.do?dispatch=add&amp;uniqId="&amp;BudgetsTable[[#This Row],[prop_id]]&amp;PO_id,"&gt;ra"))</f>
        <v>#REF!</v>
      </c>
      <c r="N118" s="79" t="s">
        <v>860</v>
      </c>
      <c r="O118" s="7" t="str">
        <f>IF(BudgetsTable[[#This Row],[pi_last_name]]=" ","",HYPERLINK("mailto:"&amp;BudgetsTable[[#This Row],[pi_email]]&amp;"&amp;subject=Your NSF Proposal:  "&amp;BudgetsTable[[#This Row],[prop_id]],BudgetsTable[[#This Row],[pi_email]]))</f>
        <v>mdinitz@cs.jhu.edu</v>
      </c>
      <c r="P118" s="79" t="s">
        <v>1525</v>
      </c>
      <c r="Q118" s="79"/>
      <c r="R118" s="79"/>
      <c r="S118" s="80"/>
      <c r="T118" s="80"/>
      <c r="U118" s="80"/>
      <c r="V118" s="81"/>
      <c r="W118" s="79">
        <v>0</v>
      </c>
      <c r="X118" s="79"/>
      <c r="Y118" s="11" t="str">
        <f ca="1">IF(ISBLANK(BudgetsTable[[#This Row],[budg_seq_yr]]),"FY"&amp;fiscalyear,"FY"&amp;fiscalyear-1+BudgetsTable[[#This Row],[budg_seq_yr]])</f>
        <v>FY18</v>
      </c>
      <c r="Z118" s="80">
        <v>507459</v>
      </c>
      <c r="AA118" s="79" t="s">
        <v>477</v>
      </c>
      <c r="AB118" s="79" t="s">
        <v>582</v>
      </c>
      <c r="AC118" s="77" t="s">
        <v>94</v>
      </c>
      <c r="AD118" s="79" t="s">
        <v>1432</v>
      </c>
    </row>
    <row r="119" spans="1:30" x14ac:dyDescent="0.4">
      <c r="A119" s="10" t="s">
        <v>859</v>
      </c>
      <c r="B119" s="77" t="s">
        <v>95</v>
      </c>
      <c r="C119" s="77">
        <f>C118+(BudgetsTable[[#This Row],[lead]]&lt;&gt;K118)</f>
        <v>30</v>
      </c>
      <c r="D119" s="77">
        <f>D118*(BudgetsTable[[#This Row],[lead]]=K118)+(BudgetsTable[[#This Row],[prop_id]]&lt;&gt;A118)</f>
        <v>1</v>
      </c>
      <c r="E119" s="78">
        <v>42935.475694444445</v>
      </c>
      <c r="F119" s="79" t="s">
        <v>1430</v>
      </c>
      <c r="G119" s="79" t="s">
        <v>477</v>
      </c>
      <c r="H119" s="79" t="s">
        <v>582</v>
      </c>
      <c r="I119" s="77" t="s">
        <v>654</v>
      </c>
      <c r="J119" s="77" t="s">
        <v>13</v>
      </c>
      <c r="K119" s="79" t="s">
        <v>859</v>
      </c>
      <c r="L119" s="7" t="str">
        <f>IF(BudgetsTable[[#This Row],[pi_last_name]]=" ","",HYPERLINK("https://www.ejacket.nsf.gov/ej/showProposal.do?Continue=Y&amp;ID="&amp;BudgetsTable[[#This Row],[prop_id]],BudgetsTable[[#This Row],[prop_id]]))</f>
        <v/>
      </c>
      <c r="M119" s="15" t="str">
        <f>IF(BudgetsTable[[#This Row],[pi_last_name]]=" ","",HYPERLINK("https://www.ejacket.nsf.gov/ej/processReviewAnalysis.do?dispatch=add&amp;uniqId="&amp;BudgetsTable[[#This Row],[prop_id]]&amp;PO_id,"&gt;ra"))</f>
        <v/>
      </c>
      <c r="N119" s="79" t="s">
        <v>13</v>
      </c>
      <c r="O119" s="7" t="str">
        <f>IF(BudgetsTable[[#This Row],[pi_last_name]]=" ","",HYPERLINK("mailto:"&amp;BudgetsTable[[#This Row],[pi_email]]&amp;"&amp;subject=Your NSF Proposal:  "&amp;BudgetsTable[[#This Row],[prop_id]],BudgetsTable[[#This Row],[pi_email]]))</f>
        <v/>
      </c>
      <c r="P119" s="79" t="s">
        <v>13</v>
      </c>
      <c r="Q119" s="79">
        <v>1</v>
      </c>
      <c r="R119" s="79">
        <v>0</v>
      </c>
      <c r="S119" s="80">
        <v>0</v>
      </c>
      <c r="T119" s="80">
        <v>2100</v>
      </c>
      <c r="U119" s="80">
        <v>0</v>
      </c>
      <c r="V119" s="81">
        <v>102907</v>
      </c>
      <c r="W119" s="79">
        <v>0</v>
      </c>
      <c r="X119" s="79">
        <v>1</v>
      </c>
      <c r="Y119" s="11" t="str">
        <f ca="1">IF(ISBLANK(BudgetsTable[[#This Row],[budg_seq_yr]]),"FY"&amp;fiscalyear,"FY"&amp;fiscalyear-1+BudgetsTable[[#This Row],[budg_seq_yr]])</f>
        <v>FY18</v>
      </c>
      <c r="Z119" s="80">
        <v>102907</v>
      </c>
      <c r="AA119" s="79" t="s">
        <v>477</v>
      </c>
      <c r="AB119" s="79" t="s">
        <v>582</v>
      </c>
      <c r="AC119" s="77" t="s">
        <v>94</v>
      </c>
      <c r="AD119" s="79" t="s">
        <v>1432</v>
      </c>
    </row>
    <row r="120" spans="1:30" x14ac:dyDescent="0.4">
      <c r="A120" s="10" t="s">
        <v>859</v>
      </c>
      <c r="B120" s="77" t="s">
        <v>95</v>
      </c>
      <c r="C120" s="77">
        <f>C119+(BudgetsTable[[#This Row],[lead]]&lt;&gt;K119)</f>
        <v>30</v>
      </c>
      <c r="D120" s="77">
        <f>D119*(BudgetsTable[[#This Row],[lead]]=K119)+(BudgetsTable[[#This Row],[prop_id]]&lt;&gt;A119)</f>
        <v>1</v>
      </c>
      <c r="E120" s="78">
        <v>42935.475694444445</v>
      </c>
      <c r="F120" s="79" t="s">
        <v>1430</v>
      </c>
      <c r="G120" s="79" t="s">
        <v>477</v>
      </c>
      <c r="H120" s="79" t="s">
        <v>582</v>
      </c>
      <c r="I120" s="77" t="s">
        <v>654</v>
      </c>
      <c r="J120" s="77" t="s">
        <v>13</v>
      </c>
      <c r="K120" s="79" t="s">
        <v>859</v>
      </c>
      <c r="L120" s="7" t="str">
        <f>IF(BudgetsTable[[#This Row],[pi_last_name]]=" ","",HYPERLINK("https://www.ejacket.nsf.gov/ej/showProposal.do?Continue=Y&amp;ID="&amp;BudgetsTable[[#This Row],[prop_id]],BudgetsTable[[#This Row],[prop_id]]))</f>
        <v/>
      </c>
      <c r="M120" s="15" t="str">
        <f>IF(BudgetsTable[[#This Row],[pi_last_name]]=" ","",HYPERLINK("https://www.ejacket.nsf.gov/ej/processReviewAnalysis.do?dispatch=add&amp;uniqId="&amp;BudgetsTable[[#This Row],[prop_id]]&amp;PO_id,"&gt;ra"))</f>
        <v/>
      </c>
      <c r="N120" s="79" t="s">
        <v>13</v>
      </c>
      <c r="O120" s="7" t="str">
        <f>IF(BudgetsTable[[#This Row],[pi_last_name]]=" ","",HYPERLINK("mailto:"&amp;BudgetsTable[[#This Row],[pi_email]]&amp;"&amp;subject=Your NSF Proposal:  "&amp;BudgetsTable[[#This Row],[prop_id]],BudgetsTable[[#This Row],[pi_email]]))</f>
        <v/>
      </c>
      <c r="P120" s="79" t="s">
        <v>13</v>
      </c>
      <c r="Q120" s="79">
        <v>1</v>
      </c>
      <c r="R120" s="79">
        <v>0</v>
      </c>
      <c r="S120" s="80">
        <v>0</v>
      </c>
      <c r="T120" s="80">
        <v>2100</v>
      </c>
      <c r="U120" s="80">
        <v>0</v>
      </c>
      <c r="V120" s="81">
        <v>101935</v>
      </c>
      <c r="W120" s="79">
        <v>0</v>
      </c>
      <c r="X120" s="79">
        <v>2</v>
      </c>
      <c r="Y120" s="11" t="str">
        <f ca="1">IF(ISBLANK(BudgetsTable[[#This Row],[budg_seq_yr]]),"FY"&amp;fiscalyear,"FY"&amp;fiscalyear-1+BudgetsTable[[#This Row],[budg_seq_yr]])</f>
        <v>FY19</v>
      </c>
      <c r="Z120" s="80">
        <v>101935</v>
      </c>
      <c r="AA120" s="79" t="s">
        <v>477</v>
      </c>
      <c r="AB120" s="79" t="s">
        <v>582</v>
      </c>
      <c r="AC120" s="77" t="s">
        <v>94</v>
      </c>
      <c r="AD120" s="79" t="s">
        <v>1432</v>
      </c>
    </row>
    <row r="121" spans="1:30" x14ac:dyDescent="0.4">
      <c r="A121" s="10" t="s">
        <v>859</v>
      </c>
      <c r="B121" s="77" t="s">
        <v>95</v>
      </c>
      <c r="C121" s="77">
        <f>C120+(BudgetsTable[[#This Row],[lead]]&lt;&gt;K120)</f>
        <v>30</v>
      </c>
      <c r="D121" s="77">
        <f>D120*(BudgetsTable[[#This Row],[lead]]=K120)+(BudgetsTable[[#This Row],[prop_id]]&lt;&gt;A120)</f>
        <v>1</v>
      </c>
      <c r="E121" s="78">
        <v>42935.475694444445</v>
      </c>
      <c r="F121" s="79" t="s">
        <v>1430</v>
      </c>
      <c r="G121" s="79" t="s">
        <v>477</v>
      </c>
      <c r="H121" s="79" t="s">
        <v>582</v>
      </c>
      <c r="I121" s="77" t="s">
        <v>654</v>
      </c>
      <c r="J121" s="77" t="s">
        <v>13</v>
      </c>
      <c r="K121" s="79" t="s">
        <v>859</v>
      </c>
      <c r="L121" s="7" t="str">
        <f>IF(BudgetsTable[[#This Row],[pi_last_name]]=" ","",HYPERLINK("https://www.ejacket.nsf.gov/ej/showProposal.do?Continue=Y&amp;ID="&amp;BudgetsTable[[#This Row],[prop_id]],BudgetsTable[[#This Row],[prop_id]]))</f>
        <v/>
      </c>
      <c r="M121" s="15" t="str">
        <f>IF(BudgetsTable[[#This Row],[pi_last_name]]=" ","",HYPERLINK("https://www.ejacket.nsf.gov/ej/processReviewAnalysis.do?dispatch=add&amp;uniqId="&amp;BudgetsTable[[#This Row],[prop_id]]&amp;PO_id,"&gt;ra"))</f>
        <v/>
      </c>
      <c r="N121" s="79" t="s">
        <v>13</v>
      </c>
      <c r="O121" s="7" t="str">
        <f>IF(BudgetsTable[[#This Row],[pi_last_name]]=" ","",HYPERLINK("mailto:"&amp;BudgetsTable[[#This Row],[pi_email]]&amp;"&amp;subject=Your NSF Proposal:  "&amp;BudgetsTable[[#This Row],[prop_id]],BudgetsTable[[#This Row],[pi_email]]))</f>
        <v/>
      </c>
      <c r="P121" s="79" t="s">
        <v>13</v>
      </c>
      <c r="Q121" s="79">
        <v>1</v>
      </c>
      <c r="R121" s="79">
        <v>0</v>
      </c>
      <c r="S121" s="80">
        <v>0</v>
      </c>
      <c r="T121" s="80">
        <v>0</v>
      </c>
      <c r="U121" s="80">
        <v>0</v>
      </c>
      <c r="V121" s="81">
        <v>100630</v>
      </c>
      <c r="W121" s="79">
        <v>0</v>
      </c>
      <c r="X121" s="79">
        <v>3</v>
      </c>
      <c r="Y121" s="11" t="str">
        <f ca="1">IF(ISBLANK(BudgetsTable[[#This Row],[budg_seq_yr]]),"FY"&amp;fiscalyear,"FY"&amp;fiscalyear-1+BudgetsTable[[#This Row],[budg_seq_yr]])</f>
        <v>FY20</v>
      </c>
      <c r="Z121" s="80">
        <v>100630</v>
      </c>
      <c r="AA121" s="79" t="s">
        <v>477</v>
      </c>
      <c r="AB121" s="79" t="s">
        <v>582</v>
      </c>
      <c r="AC121" s="77" t="s">
        <v>94</v>
      </c>
      <c r="AD121" s="79" t="s">
        <v>1432</v>
      </c>
    </row>
    <row r="122" spans="1:30" x14ac:dyDescent="0.4">
      <c r="A122" s="10" t="s">
        <v>859</v>
      </c>
      <c r="B122" s="77" t="s">
        <v>95</v>
      </c>
      <c r="C122" s="77">
        <f>C121+(BudgetsTable[[#This Row],[lead]]&lt;&gt;K121)</f>
        <v>30</v>
      </c>
      <c r="D122" s="77">
        <f>D121*(BudgetsTable[[#This Row],[lead]]=K121)+(BudgetsTable[[#This Row],[prop_id]]&lt;&gt;A121)</f>
        <v>1</v>
      </c>
      <c r="E122" s="78">
        <v>42935.475694444445</v>
      </c>
      <c r="F122" s="79" t="s">
        <v>1430</v>
      </c>
      <c r="G122" s="79" t="s">
        <v>477</v>
      </c>
      <c r="H122" s="79" t="s">
        <v>582</v>
      </c>
      <c r="I122" s="77" t="s">
        <v>654</v>
      </c>
      <c r="J122" s="77" t="s">
        <v>13</v>
      </c>
      <c r="K122" s="79" t="s">
        <v>859</v>
      </c>
      <c r="L122" s="7" t="str">
        <f>IF(BudgetsTable[[#This Row],[pi_last_name]]=" ","",HYPERLINK("https://www.ejacket.nsf.gov/ej/showProposal.do?Continue=Y&amp;ID="&amp;BudgetsTable[[#This Row],[prop_id]],BudgetsTable[[#This Row],[prop_id]]))</f>
        <v/>
      </c>
      <c r="M122" s="15" t="str">
        <f>IF(BudgetsTable[[#This Row],[pi_last_name]]=" ","",HYPERLINK("https://www.ejacket.nsf.gov/ej/processReviewAnalysis.do?dispatch=add&amp;uniqId="&amp;BudgetsTable[[#This Row],[prop_id]]&amp;PO_id,"&gt;ra"))</f>
        <v/>
      </c>
      <c r="N122" s="79" t="s">
        <v>13</v>
      </c>
      <c r="O122" s="7" t="str">
        <f>IF(BudgetsTable[[#This Row],[pi_last_name]]=" ","",HYPERLINK("mailto:"&amp;BudgetsTable[[#This Row],[pi_email]]&amp;"&amp;subject=Your NSF Proposal:  "&amp;BudgetsTable[[#This Row],[prop_id]],BudgetsTable[[#This Row],[pi_email]]))</f>
        <v/>
      </c>
      <c r="P122" s="79" t="s">
        <v>13</v>
      </c>
      <c r="Q122" s="79">
        <v>1</v>
      </c>
      <c r="R122" s="79">
        <v>0</v>
      </c>
      <c r="S122" s="80">
        <v>0</v>
      </c>
      <c r="T122" s="80">
        <v>0</v>
      </c>
      <c r="U122" s="80">
        <v>0</v>
      </c>
      <c r="V122" s="81">
        <v>99873</v>
      </c>
      <c r="W122" s="79">
        <v>0</v>
      </c>
      <c r="X122" s="79">
        <v>4</v>
      </c>
      <c r="Y122" s="11" t="str">
        <f ca="1">IF(ISBLANK(BudgetsTable[[#This Row],[budg_seq_yr]]),"FY"&amp;fiscalyear,"FY"&amp;fiscalyear-1+BudgetsTable[[#This Row],[budg_seq_yr]])</f>
        <v>FY21</v>
      </c>
      <c r="Z122" s="80">
        <v>99873</v>
      </c>
      <c r="AA122" s="79" t="s">
        <v>477</v>
      </c>
      <c r="AB122" s="79" t="s">
        <v>582</v>
      </c>
      <c r="AC122" s="77" t="s">
        <v>94</v>
      </c>
      <c r="AD122" s="79" t="s">
        <v>1432</v>
      </c>
    </row>
    <row r="123" spans="1:30" x14ac:dyDescent="0.4">
      <c r="A123" s="10" t="s">
        <v>859</v>
      </c>
      <c r="B123" s="77" t="s">
        <v>95</v>
      </c>
      <c r="C123" s="77">
        <f>C122+(BudgetsTable[[#This Row],[lead]]&lt;&gt;K122)</f>
        <v>30</v>
      </c>
      <c r="D123" s="77">
        <f>D122*(BudgetsTable[[#This Row],[lead]]=K122)+(BudgetsTable[[#This Row],[prop_id]]&lt;&gt;A122)</f>
        <v>1</v>
      </c>
      <c r="E123" s="78">
        <v>42935.475694444445</v>
      </c>
      <c r="F123" s="79" t="s">
        <v>1430</v>
      </c>
      <c r="G123" s="79" t="s">
        <v>477</v>
      </c>
      <c r="H123" s="79" t="s">
        <v>582</v>
      </c>
      <c r="I123" s="77" t="s">
        <v>654</v>
      </c>
      <c r="J123" s="77" t="s">
        <v>13</v>
      </c>
      <c r="K123" s="79" t="s">
        <v>859</v>
      </c>
      <c r="L123" s="7" t="str">
        <f>IF(BudgetsTable[[#This Row],[pi_last_name]]=" ","",HYPERLINK("https://www.ejacket.nsf.gov/ej/showProposal.do?Continue=Y&amp;ID="&amp;BudgetsTable[[#This Row],[prop_id]],BudgetsTable[[#This Row],[prop_id]]))</f>
        <v/>
      </c>
      <c r="M123" s="15" t="str">
        <f>IF(BudgetsTable[[#This Row],[pi_last_name]]=" ","",HYPERLINK("https://www.ejacket.nsf.gov/ej/processReviewAnalysis.do?dispatch=add&amp;uniqId="&amp;BudgetsTable[[#This Row],[prop_id]]&amp;PO_id,"&gt;ra"))</f>
        <v/>
      </c>
      <c r="N123" s="79" t="s">
        <v>13</v>
      </c>
      <c r="O123" s="7" t="str">
        <f>IF(BudgetsTable[[#This Row],[pi_last_name]]=" ","",HYPERLINK("mailto:"&amp;BudgetsTable[[#This Row],[pi_email]]&amp;"&amp;subject=Your NSF Proposal:  "&amp;BudgetsTable[[#This Row],[prop_id]],BudgetsTable[[#This Row],[pi_email]]))</f>
        <v/>
      </c>
      <c r="P123" s="79" t="s">
        <v>13</v>
      </c>
      <c r="Q123" s="79">
        <v>1</v>
      </c>
      <c r="R123" s="79">
        <v>0</v>
      </c>
      <c r="S123" s="80">
        <v>0</v>
      </c>
      <c r="T123" s="80">
        <v>0</v>
      </c>
      <c r="U123" s="80">
        <v>0</v>
      </c>
      <c r="V123" s="81">
        <v>102114</v>
      </c>
      <c r="W123" s="79">
        <v>0</v>
      </c>
      <c r="X123" s="79">
        <v>5</v>
      </c>
      <c r="Y123" s="11" t="str">
        <f ca="1">IF(ISBLANK(BudgetsTable[[#This Row],[budg_seq_yr]]),"FY"&amp;fiscalyear,"FY"&amp;fiscalyear-1+BudgetsTable[[#This Row],[budg_seq_yr]])</f>
        <v>FY22</v>
      </c>
      <c r="Z123" s="80">
        <v>102114</v>
      </c>
      <c r="AA123" s="79" t="s">
        <v>477</v>
      </c>
      <c r="AB123" s="79" t="s">
        <v>582</v>
      </c>
      <c r="AC123" s="77" t="s">
        <v>94</v>
      </c>
      <c r="AD123" s="79" t="s">
        <v>1432</v>
      </c>
    </row>
    <row r="124" spans="1:30" x14ac:dyDescent="0.4">
      <c r="A124" s="10" t="s">
        <v>868</v>
      </c>
      <c r="B124" s="77" t="s">
        <v>95</v>
      </c>
      <c r="C124" s="77">
        <f>C123+(BudgetsTable[[#This Row],[lead]]&lt;&gt;K123)</f>
        <v>31</v>
      </c>
      <c r="D124" s="77">
        <f>D123*(BudgetsTable[[#This Row],[lead]]=K123)+(BudgetsTable[[#This Row],[prop_id]]&lt;&gt;A123)</f>
        <v>1</v>
      </c>
      <c r="E124" s="78">
        <v>42935.488888888889</v>
      </c>
      <c r="F124" s="79" t="s">
        <v>1430</v>
      </c>
      <c r="G124" s="79" t="s">
        <v>477</v>
      </c>
      <c r="H124" s="79" t="s">
        <v>582</v>
      </c>
      <c r="I124" s="77" t="s">
        <v>654</v>
      </c>
      <c r="J124" s="77" t="s">
        <v>1532</v>
      </c>
      <c r="K124" s="79" t="s">
        <v>868</v>
      </c>
      <c r="L124" s="7" t="str">
        <f>IF(BudgetsTable[[#This Row],[pi_last_name]]=" ","",HYPERLINK("https://www.ejacket.nsf.gov/ej/showProposal.do?Continue=Y&amp;ID="&amp;BudgetsTable[[#This Row],[prop_id]],BudgetsTable[[#This Row],[prop_id]]))</f>
        <v>1750333</v>
      </c>
      <c r="M124" s="15" t="e">
        <f>IF(BudgetsTable[[#This Row],[pi_last_name]]=" ","",HYPERLINK("https://www.ejacket.nsf.gov/ej/processReviewAnalysis.do?dispatch=add&amp;uniqId="&amp;BudgetsTable[[#This Row],[prop_id]]&amp;PO_id,"&gt;ra"))</f>
        <v>#REF!</v>
      </c>
      <c r="N124" s="79" t="s">
        <v>869</v>
      </c>
      <c r="O124" s="7" t="str">
        <f>IF(BudgetsTable[[#This Row],[pi_last_name]]=" ","",HYPERLINK("mailto:"&amp;BudgetsTable[[#This Row],[pi_email]]&amp;"&amp;subject=Your NSF Proposal:  "&amp;BudgetsTable[[#This Row],[prop_id]],BudgetsTable[[#This Row],[pi_email]]))</f>
        <v>aene@bu.edu</v>
      </c>
      <c r="P124" s="79" t="s">
        <v>1529</v>
      </c>
      <c r="Q124" s="79"/>
      <c r="R124" s="79"/>
      <c r="S124" s="80"/>
      <c r="T124" s="80"/>
      <c r="U124" s="80"/>
      <c r="V124" s="81"/>
      <c r="W124" s="79">
        <v>0</v>
      </c>
      <c r="X124" s="79"/>
      <c r="Y124" s="11" t="str">
        <f ca="1">IF(ISBLANK(BudgetsTable[[#This Row],[budg_seq_yr]]),"FY"&amp;fiscalyear,"FY"&amp;fiscalyear-1+BudgetsTable[[#This Row],[budg_seq_yr]])</f>
        <v>FY18</v>
      </c>
      <c r="Z124" s="80">
        <v>507423</v>
      </c>
      <c r="AA124" s="79" t="s">
        <v>477</v>
      </c>
      <c r="AB124" s="79" t="s">
        <v>582</v>
      </c>
      <c r="AC124" s="77" t="s">
        <v>94</v>
      </c>
      <c r="AD124" s="79" t="s">
        <v>1432</v>
      </c>
    </row>
    <row r="125" spans="1:30" x14ac:dyDescent="0.4">
      <c r="A125" s="10" t="s">
        <v>868</v>
      </c>
      <c r="B125" s="77" t="s">
        <v>95</v>
      </c>
      <c r="C125" s="77">
        <f>C124+(BudgetsTable[[#This Row],[lead]]&lt;&gt;K124)</f>
        <v>31</v>
      </c>
      <c r="D125" s="77">
        <f>D124*(BudgetsTable[[#This Row],[lead]]=K124)+(BudgetsTable[[#This Row],[prop_id]]&lt;&gt;A124)</f>
        <v>1</v>
      </c>
      <c r="E125" s="78">
        <v>42935.488888888889</v>
      </c>
      <c r="F125" s="79" t="s">
        <v>1430</v>
      </c>
      <c r="G125" s="79" t="s">
        <v>477</v>
      </c>
      <c r="H125" s="79" t="s">
        <v>582</v>
      </c>
      <c r="I125" s="77" t="s">
        <v>654</v>
      </c>
      <c r="J125" s="77" t="s">
        <v>13</v>
      </c>
      <c r="K125" s="79" t="s">
        <v>868</v>
      </c>
      <c r="L125" s="7" t="str">
        <f>IF(BudgetsTable[[#This Row],[pi_last_name]]=" ","",HYPERLINK("https://www.ejacket.nsf.gov/ej/showProposal.do?Continue=Y&amp;ID="&amp;BudgetsTable[[#This Row],[prop_id]],BudgetsTable[[#This Row],[prop_id]]))</f>
        <v/>
      </c>
      <c r="M125" s="15" t="str">
        <f>IF(BudgetsTable[[#This Row],[pi_last_name]]=" ","",HYPERLINK("https://www.ejacket.nsf.gov/ej/processReviewAnalysis.do?dispatch=add&amp;uniqId="&amp;BudgetsTable[[#This Row],[prop_id]]&amp;PO_id,"&gt;ra"))</f>
        <v/>
      </c>
      <c r="N125" s="79" t="s">
        <v>13</v>
      </c>
      <c r="O125" s="7" t="str">
        <f>IF(BudgetsTable[[#This Row],[pi_last_name]]=" ","",HYPERLINK("mailto:"&amp;BudgetsTable[[#This Row],[pi_email]]&amp;"&amp;subject=Your NSF Proposal:  "&amp;BudgetsTable[[#This Row],[prop_id]],BudgetsTable[[#This Row],[pi_email]]))</f>
        <v/>
      </c>
      <c r="P125" s="79" t="s">
        <v>13</v>
      </c>
      <c r="Q125" s="79">
        <v>1</v>
      </c>
      <c r="R125" s="79">
        <v>1</v>
      </c>
      <c r="S125" s="80">
        <v>0</v>
      </c>
      <c r="T125" s="80">
        <v>3000</v>
      </c>
      <c r="U125" s="80">
        <v>0</v>
      </c>
      <c r="V125" s="81">
        <v>99138</v>
      </c>
      <c r="W125" s="79">
        <v>0</v>
      </c>
      <c r="X125" s="79">
        <v>1</v>
      </c>
      <c r="Y125" s="11" t="str">
        <f ca="1">IF(ISBLANK(BudgetsTable[[#This Row],[budg_seq_yr]]),"FY"&amp;fiscalyear,"FY"&amp;fiscalyear-1+BudgetsTable[[#This Row],[budg_seq_yr]])</f>
        <v>FY18</v>
      </c>
      <c r="Z125" s="80">
        <v>99138</v>
      </c>
      <c r="AA125" s="79" t="s">
        <v>477</v>
      </c>
      <c r="AB125" s="79" t="s">
        <v>582</v>
      </c>
      <c r="AC125" s="77" t="s">
        <v>94</v>
      </c>
      <c r="AD125" s="79" t="s">
        <v>1432</v>
      </c>
    </row>
    <row r="126" spans="1:30" x14ac:dyDescent="0.4">
      <c r="A126" s="10" t="s">
        <v>868</v>
      </c>
      <c r="B126" s="77" t="s">
        <v>95</v>
      </c>
      <c r="C126" s="77">
        <f>C125+(BudgetsTable[[#This Row],[lead]]&lt;&gt;K125)</f>
        <v>31</v>
      </c>
      <c r="D126" s="77">
        <f>D125*(BudgetsTable[[#This Row],[lead]]=K125)+(BudgetsTable[[#This Row],[prop_id]]&lt;&gt;A125)</f>
        <v>1</v>
      </c>
      <c r="E126" s="78">
        <v>42935.488888888889</v>
      </c>
      <c r="F126" s="79" t="s">
        <v>1430</v>
      </c>
      <c r="G126" s="79" t="s">
        <v>477</v>
      </c>
      <c r="H126" s="79" t="s">
        <v>582</v>
      </c>
      <c r="I126" s="77" t="s">
        <v>654</v>
      </c>
      <c r="J126" s="77" t="s">
        <v>13</v>
      </c>
      <c r="K126" s="79" t="s">
        <v>868</v>
      </c>
      <c r="L126" s="7" t="str">
        <f>IF(BudgetsTable[[#This Row],[pi_last_name]]=" ","",HYPERLINK("https://www.ejacket.nsf.gov/ej/showProposal.do?Continue=Y&amp;ID="&amp;BudgetsTable[[#This Row],[prop_id]],BudgetsTable[[#This Row],[prop_id]]))</f>
        <v/>
      </c>
      <c r="M126" s="15" t="str">
        <f>IF(BudgetsTable[[#This Row],[pi_last_name]]=" ","",HYPERLINK("https://www.ejacket.nsf.gov/ej/processReviewAnalysis.do?dispatch=add&amp;uniqId="&amp;BudgetsTable[[#This Row],[prop_id]]&amp;PO_id,"&gt;ra"))</f>
        <v/>
      </c>
      <c r="N126" s="79" t="s">
        <v>13</v>
      </c>
      <c r="O126" s="7" t="str">
        <f>IF(BudgetsTable[[#This Row],[pi_last_name]]=" ","",HYPERLINK("mailto:"&amp;BudgetsTable[[#This Row],[pi_email]]&amp;"&amp;subject=Your NSF Proposal:  "&amp;BudgetsTable[[#This Row],[prop_id]],BudgetsTable[[#This Row],[pi_email]]))</f>
        <v/>
      </c>
      <c r="P126" s="79" t="s">
        <v>13</v>
      </c>
      <c r="Q126" s="79">
        <v>1</v>
      </c>
      <c r="R126" s="79">
        <v>1</v>
      </c>
      <c r="S126" s="80">
        <v>0</v>
      </c>
      <c r="T126" s="80">
        <v>3000</v>
      </c>
      <c r="U126" s="80">
        <v>0</v>
      </c>
      <c r="V126" s="81">
        <v>97771</v>
      </c>
      <c r="W126" s="79">
        <v>0</v>
      </c>
      <c r="X126" s="79">
        <v>2</v>
      </c>
      <c r="Y126" s="11" t="str">
        <f ca="1">IF(ISBLANK(BudgetsTable[[#This Row],[budg_seq_yr]]),"FY"&amp;fiscalyear,"FY"&amp;fiscalyear-1+BudgetsTable[[#This Row],[budg_seq_yr]])</f>
        <v>FY19</v>
      </c>
      <c r="Z126" s="80">
        <v>97771</v>
      </c>
      <c r="AA126" s="79" t="s">
        <v>477</v>
      </c>
      <c r="AB126" s="79" t="s">
        <v>582</v>
      </c>
      <c r="AC126" s="77" t="s">
        <v>94</v>
      </c>
      <c r="AD126" s="79" t="s">
        <v>1432</v>
      </c>
    </row>
    <row r="127" spans="1:30" x14ac:dyDescent="0.4">
      <c r="A127" s="10" t="s">
        <v>868</v>
      </c>
      <c r="B127" s="77" t="s">
        <v>95</v>
      </c>
      <c r="C127" s="77">
        <f>C126+(BudgetsTable[[#This Row],[lead]]&lt;&gt;K126)</f>
        <v>31</v>
      </c>
      <c r="D127" s="77">
        <f>D126*(BudgetsTable[[#This Row],[lead]]=K126)+(BudgetsTable[[#This Row],[prop_id]]&lt;&gt;A126)</f>
        <v>1</v>
      </c>
      <c r="E127" s="78">
        <v>42935.488888888889</v>
      </c>
      <c r="F127" s="79" t="s">
        <v>1430</v>
      </c>
      <c r="G127" s="79" t="s">
        <v>477</v>
      </c>
      <c r="H127" s="79" t="s">
        <v>582</v>
      </c>
      <c r="I127" s="77" t="s">
        <v>654</v>
      </c>
      <c r="J127" s="77" t="s">
        <v>13</v>
      </c>
      <c r="K127" s="79" t="s">
        <v>868</v>
      </c>
      <c r="L127" s="7" t="str">
        <f>IF(BudgetsTable[[#This Row],[pi_last_name]]=" ","",HYPERLINK("https://www.ejacket.nsf.gov/ej/showProposal.do?Continue=Y&amp;ID="&amp;BudgetsTable[[#This Row],[prop_id]],BudgetsTable[[#This Row],[prop_id]]))</f>
        <v/>
      </c>
      <c r="M127" s="15" t="str">
        <f>IF(BudgetsTable[[#This Row],[pi_last_name]]=" ","",HYPERLINK("https://www.ejacket.nsf.gov/ej/processReviewAnalysis.do?dispatch=add&amp;uniqId="&amp;BudgetsTable[[#This Row],[prop_id]]&amp;PO_id,"&gt;ra"))</f>
        <v/>
      </c>
      <c r="N127" s="79" t="s">
        <v>13</v>
      </c>
      <c r="O127" s="7" t="str">
        <f>IF(BudgetsTable[[#This Row],[pi_last_name]]=" ","",HYPERLINK("mailto:"&amp;BudgetsTable[[#This Row],[pi_email]]&amp;"&amp;subject=Your NSF Proposal:  "&amp;BudgetsTable[[#This Row],[prop_id]],BudgetsTable[[#This Row],[pi_email]]))</f>
        <v/>
      </c>
      <c r="P127" s="79" t="s">
        <v>13</v>
      </c>
      <c r="Q127" s="79">
        <v>1</v>
      </c>
      <c r="R127" s="79">
        <v>1</v>
      </c>
      <c r="S127" s="80">
        <v>0</v>
      </c>
      <c r="T127" s="80">
        <v>3000</v>
      </c>
      <c r="U127" s="80">
        <v>0</v>
      </c>
      <c r="V127" s="81">
        <v>100459</v>
      </c>
      <c r="W127" s="79">
        <v>0</v>
      </c>
      <c r="X127" s="79">
        <v>3</v>
      </c>
      <c r="Y127" s="11" t="str">
        <f ca="1">IF(ISBLANK(BudgetsTable[[#This Row],[budg_seq_yr]]),"FY"&amp;fiscalyear,"FY"&amp;fiscalyear-1+BudgetsTable[[#This Row],[budg_seq_yr]])</f>
        <v>FY20</v>
      </c>
      <c r="Z127" s="80">
        <v>100459</v>
      </c>
      <c r="AA127" s="79" t="s">
        <v>477</v>
      </c>
      <c r="AB127" s="79" t="s">
        <v>582</v>
      </c>
      <c r="AC127" s="77" t="s">
        <v>94</v>
      </c>
      <c r="AD127" s="79" t="s">
        <v>1432</v>
      </c>
    </row>
    <row r="128" spans="1:30" x14ac:dyDescent="0.4">
      <c r="A128" s="10" t="s">
        <v>868</v>
      </c>
      <c r="B128" s="77" t="s">
        <v>95</v>
      </c>
      <c r="C128" s="77">
        <f>C127+(BudgetsTable[[#This Row],[lead]]&lt;&gt;K127)</f>
        <v>31</v>
      </c>
      <c r="D128" s="77">
        <f>D127*(BudgetsTable[[#This Row],[lead]]=K127)+(BudgetsTable[[#This Row],[prop_id]]&lt;&gt;A127)</f>
        <v>1</v>
      </c>
      <c r="E128" s="78">
        <v>42935.488888888889</v>
      </c>
      <c r="F128" s="79" t="s">
        <v>1430</v>
      </c>
      <c r="G128" s="79" t="s">
        <v>477</v>
      </c>
      <c r="H128" s="79" t="s">
        <v>582</v>
      </c>
      <c r="I128" s="77" t="s">
        <v>654</v>
      </c>
      <c r="J128" s="77" t="s">
        <v>13</v>
      </c>
      <c r="K128" s="79" t="s">
        <v>868</v>
      </c>
      <c r="L128" s="7" t="str">
        <f>IF(BudgetsTable[[#This Row],[pi_last_name]]=" ","",HYPERLINK("https://www.ejacket.nsf.gov/ej/showProposal.do?Continue=Y&amp;ID="&amp;BudgetsTable[[#This Row],[prop_id]],BudgetsTable[[#This Row],[prop_id]]))</f>
        <v/>
      </c>
      <c r="M128" s="15" t="str">
        <f>IF(BudgetsTable[[#This Row],[pi_last_name]]=" ","",HYPERLINK("https://www.ejacket.nsf.gov/ej/processReviewAnalysis.do?dispatch=add&amp;uniqId="&amp;BudgetsTable[[#This Row],[prop_id]]&amp;PO_id,"&gt;ra"))</f>
        <v/>
      </c>
      <c r="N128" s="79" t="s">
        <v>13</v>
      </c>
      <c r="O128" s="7" t="str">
        <f>IF(BudgetsTable[[#This Row],[pi_last_name]]=" ","",HYPERLINK("mailto:"&amp;BudgetsTable[[#This Row],[pi_email]]&amp;"&amp;subject=Your NSF Proposal:  "&amp;BudgetsTable[[#This Row],[prop_id]],BudgetsTable[[#This Row],[pi_email]]))</f>
        <v/>
      </c>
      <c r="P128" s="79" t="s">
        <v>13</v>
      </c>
      <c r="Q128" s="79">
        <v>1</v>
      </c>
      <c r="R128" s="79">
        <v>1</v>
      </c>
      <c r="S128" s="80">
        <v>0</v>
      </c>
      <c r="T128" s="80">
        <v>3000</v>
      </c>
      <c r="U128" s="80">
        <v>0</v>
      </c>
      <c r="V128" s="81">
        <v>103224</v>
      </c>
      <c r="W128" s="79">
        <v>0</v>
      </c>
      <c r="X128" s="79">
        <v>4</v>
      </c>
      <c r="Y128" s="11" t="str">
        <f ca="1">IF(ISBLANK(BudgetsTable[[#This Row],[budg_seq_yr]]),"FY"&amp;fiscalyear,"FY"&amp;fiscalyear-1+BudgetsTable[[#This Row],[budg_seq_yr]])</f>
        <v>FY21</v>
      </c>
      <c r="Z128" s="80">
        <v>103224</v>
      </c>
      <c r="AA128" s="79" t="s">
        <v>477</v>
      </c>
      <c r="AB128" s="79" t="s">
        <v>582</v>
      </c>
      <c r="AC128" s="77" t="s">
        <v>94</v>
      </c>
      <c r="AD128" s="79" t="s">
        <v>1432</v>
      </c>
    </row>
    <row r="129" spans="1:30" x14ac:dyDescent="0.4">
      <c r="A129" s="10" t="s">
        <v>868</v>
      </c>
      <c r="B129" s="77" t="s">
        <v>95</v>
      </c>
      <c r="C129" s="77">
        <f>C128+(BudgetsTable[[#This Row],[lead]]&lt;&gt;K128)</f>
        <v>31</v>
      </c>
      <c r="D129" s="77">
        <f>D128*(BudgetsTable[[#This Row],[lead]]=K128)+(BudgetsTable[[#This Row],[prop_id]]&lt;&gt;A128)</f>
        <v>1</v>
      </c>
      <c r="E129" s="78">
        <v>42935.488888888889</v>
      </c>
      <c r="F129" s="79" t="s">
        <v>1430</v>
      </c>
      <c r="G129" s="79" t="s">
        <v>477</v>
      </c>
      <c r="H129" s="79" t="s">
        <v>582</v>
      </c>
      <c r="I129" s="77" t="s">
        <v>654</v>
      </c>
      <c r="J129" s="77" t="s">
        <v>13</v>
      </c>
      <c r="K129" s="79" t="s">
        <v>868</v>
      </c>
      <c r="L129" s="7" t="str">
        <f>IF(BudgetsTable[[#This Row],[pi_last_name]]=" ","",HYPERLINK("https://www.ejacket.nsf.gov/ej/showProposal.do?Continue=Y&amp;ID="&amp;BudgetsTable[[#This Row],[prop_id]],BudgetsTable[[#This Row],[prop_id]]))</f>
        <v/>
      </c>
      <c r="M129" s="15" t="str">
        <f>IF(BudgetsTable[[#This Row],[pi_last_name]]=" ","",HYPERLINK("https://www.ejacket.nsf.gov/ej/processReviewAnalysis.do?dispatch=add&amp;uniqId="&amp;BudgetsTable[[#This Row],[prop_id]]&amp;PO_id,"&gt;ra"))</f>
        <v/>
      </c>
      <c r="N129" s="79" t="s">
        <v>13</v>
      </c>
      <c r="O129" s="7" t="str">
        <f>IF(BudgetsTable[[#This Row],[pi_last_name]]=" ","",HYPERLINK("mailto:"&amp;BudgetsTable[[#This Row],[pi_email]]&amp;"&amp;subject=Your NSF Proposal:  "&amp;BudgetsTable[[#This Row],[prop_id]],BudgetsTable[[#This Row],[pi_email]]))</f>
        <v/>
      </c>
      <c r="P129" s="79" t="s">
        <v>13</v>
      </c>
      <c r="Q129" s="79">
        <v>1</v>
      </c>
      <c r="R129" s="79">
        <v>1</v>
      </c>
      <c r="S129" s="80">
        <v>0</v>
      </c>
      <c r="T129" s="80">
        <v>3000</v>
      </c>
      <c r="U129" s="80">
        <v>0</v>
      </c>
      <c r="V129" s="81">
        <v>106831</v>
      </c>
      <c r="W129" s="79">
        <v>0</v>
      </c>
      <c r="X129" s="79">
        <v>5</v>
      </c>
      <c r="Y129" s="11" t="str">
        <f ca="1">IF(ISBLANK(BudgetsTable[[#This Row],[budg_seq_yr]]),"FY"&amp;fiscalyear,"FY"&amp;fiscalyear-1+BudgetsTable[[#This Row],[budg_seq_yr]])</f>
        <v>FY22</v>
      </c>
      <c r="Z129" s="80">
        <v>106831</v>
      </c>
      <c r="AA129" s="79" t="s">
        <v>477</v>
      </c>
      <c r="AB129" s="79" t="s">
        <v>582</v>
      </c>
      <c r="AC129" s="77" t="s">
        <v>94</v>
      </c>
      <c r="AD129" s="79" t="s">
        <v>1432</v>
      </c>
    </row>
    <row r="130" spans="1:30" x14ac:dyDescent="0.4">
      <c r="A130" s="10" t="s">
        <v>875</v>
      </c>
      <c r="B130" s="77" t="s">
        <v>95</v>
      </c>
      <c r="C130" s="77">
        <f>C129+(BudgetsTable[[#This Row],[lead]]&lt;&gt;K129)</f>
        <v>32</v>
      </c>
      <c r="D130" s="77">
        <f>D129*(BudgetsTable[[#This Row],[lead]]=K129)+(BudgetsTable[[#This Row],[prop_id]]&lt;&gt;A129)</f>
        <v>1</v>
      </c>
      <c r="E130" s="78">
        <v>42935.491666666669</v>
      </c>
      <c r="F130" s="79" t="s">
        <v>1430</v>
      </c>
      <c r="G130" s="79" t="s">
        <v>477</v>
      </c>
      <c r="H130" s="79" t="s">
        <v>582</v>
      </c>
      <c r="I130" s="77" t="s">
        <v>654</v>
      </c>
      <c r="J130" s="77" t="s">
        <v>1538</v>
      </c>
      <c r="K130" s="79" t="s">
        <v>875</v>
      </c>
      <c r="L130" s="7" t="str">
        <f>IF(BudgetsTable[[#This Row],[pi_last_name]]=" ","",HYPERLINK("https://www.ejacket.nsf.gov/ej/showProposal.do?Continue=Y&amp;ID="&amp;BudgetsTable[[#This Row],[prop_id]],BudgetsTable[[#This Row],[prop_id]]))</f>
        <v>1750344</v>
      </c>
      <c r="M130" s="15" t="e">
        <f>IF(BudgetsTable[[#This Row],[pi_last_name]]=" ","",HYPERLINK("https://www.ejacket.nsf.gov/ej/processReviewAnalysis.do?dispatch=add&amp;uniqId="&amp;BudgetsTable[[#This Row],[prop_id]]&amp;PO_id,"&gt;ra"))</f>
        <v>#REF!</v>
      </c>
      <c r="N130" s="79" t="s">
        <v>876</v>
      </c>
      <c r="O130" s="7" t="str">
        <f>IF(BudgetsTable[[#This Row],[pi_last_name]]=" ","",HYPERLINK("mailto:"&amp;BudgetsTable[[#This Row],[pi_email]]&amp;"&amp;subject=Your NSF Proposal:  "&amp;BudgetsTable[[#This Row],[prop_id]],BudgetsTable[[#This Row],[pi_email]]))</f>
        <v>pvaliant@gmail.com</v>
      </c>
      <c r="P130" s="79" t="s">
        <v>1535</v>
      </c>
      <c r="Q130" s="79"/>
      <c r="R130" s="79"/>
      <c r="S130" s="80"/>
      <c r="T130" s="80"/>
      <c r="U130" s="80"/>
      <c r="V130" s="81"/>
      <c r="W130" s="79">
        <v>0</v>
      </c>
      <c r="X130" s="79"/>
      <c r="Y130" s="11" t="str">
        <f ca="1">IF(ISBLANK(BudgetsTable[[#This Row],[budg_seq_yr]]),"FY"&amp;fiscalyear,"FY"&amp;fiscalyear-1+BudgetsTable[[#This Row],[budg_seq_yr]])</f>
        <v>FY18</v>
      </c>
      <c r="Z130" s="80">
        <v>666111</v>
      </c>
      <c r="AA130" s="79" t="s">
        <v>477</v>
      </c>
      <c r="AB130" s="79" t="s">
        <v>582</v>
      </c>
      <c r="AC130" s="77" t="s">
        <v>94</v>
      </c>
      <c r="AD130" s="79" t="s">
        <v>1533</v>
      </c>
    </row>
    <row r="131" spans="1:30" x14ac:dyDescent="0.4">
      <c r="A131" s="10" t="s">
        <v>875</v>
      </c>
      <c r="B131" s="77" t="s">
        <v>95</v>
      </c>
      <c r="C131" s="77">
        <f>C130+(BudgetsTable[[#This Row],[lead]]&lt;&gt;K130)</f>
        <v>32</v>
      </c>
      <c r="D131" s="77">
        <f>D130*(BudgetsTable[[#This Row],[lead]]=K130)+(BudgetsTable[[#This Row],[prop_id]]&lt;&gt;A130)</f>
        <v>1</v>
      </c>
      <c r="E131" s="78">
        <v>42935.491666666669</v>
      </c>
      <c r="F131" s="79" t="s">
        <v>1430</v>
      </c>
      <c r="G131" s="79" t="s">
        <v>477</v>
      </c>
      <c r="H131" s="79" t="s">
        <v>582</v>
      </c>
      <c r="I131" s="77" t="s">
        <v>654</v>
      </c>
      <c r="J131" s="77" t="s">
        <v>13</v>
      </c>
      <c r="K131" s="79" t="s">
        <v>875</v>
      </c>
      <c r="L131" s="7" t="str">
        <f>IF(BudgetsTable[[#This Row],[pi_last_name]]=" ","",HYPERLINK("https://www.ejacket.nsf.gov/ej/showProposal.do?Continue=Y&amp;ID="&amp;BudgetsTable[[#This Row],[prop_id]],BudgetsTable[[#This Row],[prop_id]]))</f>
        <v/>
      </c>
      <c r="M131" s="15" t="str">
        <f>IF(BudgetsTable[[#This Row],[pi_last_name]]=" ","",HYPERLINK("https://www.ejacket.nsf.gov/ej/processReviewAnalysis.do?dispatch=add&amp;uniqId="&amp;BudgetsTable[[#This Row],[prop_id]]&amp;PO_id,"&gt;ra"))</f>
        <v/>
      </c>
      <c r="N131" s="79" t="s">
        <v>13</v>
      </c>
      <c r="O131" s="7" t="str">
        <f>IF(BudgetsTable[[#This Row],[pi_last_name]]=" ","",HYPERLINK("mailto:"&amp;BudgetsTable[[#This Row],[pi_email]]&amp;"&amp;subject=Your NSF Proposal:  "&amp;BudgetsTable[[#This Row],[prop_id]],BudgetsTable[[#This Row],[pi_email]]))</f>
        <v/>
      </c>
      <c r="P131" s="79" t="s">
        <v>13</v>
      </c>
      <c r="Q131" s="79">
        <v>1</v>
      </c>
      <c r="R131" s="79">
        <v>1</v>
      </c>
      <c r="S131" s="80">
        <v>0</v>
      </c>
      <c r="T131" s="80">
        <v>2000</v>
      </c>
      <c r="U131" s="80">
        <v>0</v>
      </c>
      <c r="V131" s="81">
        <v>124310</v>
      </c>
      <c r="W131" s="79">
        <v>0</v>
      </c>
      <c r="X131" s="79">
        <v>1</v>
      </c>
      <c r="Y131" s="11" t="str">
        <f ca="1">IF(ISBLANK(BudgetsTable[[#This Row],[budg_seq_yr]]),"FY"&amp;fiscalyear,"FY"&amp;fiscalyear-1+BudgetsTable[[#This Row],[budg_seq_yr]])</f>
        <v>FY18</v>
      </c>
      <c r="Z131" s="80">
        <v>124310</v>
      </c>
      <c r="AA131" s="79" t="s">
        <v>477</v>
      </c>
      <c r="AB131" s="79" t="s">
        <v>582</v>
      </c>
      <c r="AC131" s="77" t="s">
        <v>94</v>
      </c>
      <c r="AD131" s="79" t="s">
        <v>1533</v>
      </c>
    </row>
    <row r="132" spans="1:30" x14ac:dyDescent="0.4">
      <c r="A132" s="10" t="s">
        <v>875</v>
      </c>
      <c r="B132" s="77" t="s">
        <v>95</v>
      </c>
      <c r="C132" s="77">
        <f>C131+(BudgetsTable[[#This Row],[lead]]&lt;&gt;K131)</f>
        <v>32</v>
      </c>
      <c r="D132" s="77">
        <f>D131*(BudgetsTable[[#This Row],[lead]]=K131)+(BudgetsTable[[#This Row],[prop_id]]&lt;&gt;A131)</f>
        <v>1</v>
      </c>
      <c r="E132" s="78">
        <v>42935.491666666669</v>
      </c>
      <c r="F132" s="79" t="s">
        <v>1430</v>
      </c>
      <c r="G132" s="79" t="s">
        <v>477</v>
      </c>
      <c r="H132" s="79" t="s">
        <v>582</v>
      </c>
      <c r="I132" s="77" t="s">
        <v>654</v>
      </c>
      <c r="J132" s="77" t="s">
        <v>13</v>
      </c>
      <c r="K132" s="79" t="s">
        <v>875</v>
      </c>
      <c r="L132" s="7" t="str">
        <f>IF(BudgetsTable[[#This Row],[pi_last_name]]=" ","",HYPERLINK("https://www.ejacket.nsf.gov/ej/showProposal.do?Continue=Y&amp;ID="&amp;BudgetsTable[[#This Row],[prop_id]],BudgetsTable[[#This Row],[prop_id]]))</f>
        <v/>
      </c>
      <c r="M132" s="15" t="str">
        <f>IF(BudgetsTable[[#This Row],[pi_last_name]]=" ","",HYPERLINK("https://www.ejacket.nsf.gov/ej/processReviewAnalysis.do?dispatch=add&amp;uniqId="&amp;BudgetsTable[[#This Row],[prop_id]]&amp;PO_id,"&gt;ra"))</f>
        <v/>
      </c>
      <c r="N132" s="79" t="s">
        <v>13</v>
      </c>
      <c r="O132" s="7" t="str">
        <f>IF(BudgetsTable[[#This Row],[pi_last_name]]=" ","",HYPERLINK("mailto:"&amp;BudgetsTable[[#This Row],[pi_email]]&amp;"&amp;subject=Your NSF Proposal:  "&amp;BudgetsTable[[#This Row],[prop_id]],BudgetsTable[[#This Row],[pi_email]]))</f>
        <v/>
      </c>
      <c r="P132" s="79" t="s">
        <v>13</v>
      </c>
      <c r="Q132" s="79">
        <v>1</v>
      </c>
      <c r="R132" s="79">
        <v>1</v>
      </c>
      <c r="S132" s="80">
        <v>0</v>
      </c>
      <c r="T132" s="80">
        <v>2060</v>
      </c>
      <c r="U132" s="80">
        <v>0</v>
      </c>
      <c r="V132" s="81">
        <v>128605</v>
      </c>
      <c r="W132" s="79">
        <v>0</v>
      </c>
      <c r="X132" s="79">
        <v>2</v>
      </c>
      <c r="Y132" s="11" t="str">
        <f ca="1">IF(ISBLANK(BudgetsTable[[#This Row],[budg_seq_yr]]),"FY"&amp;fiscalyear,"FY"&amp;fiscalyear-1+BudgetsTable[[#This Row],[budg_seq_yr]])</f>
        <v>FY19</v>
      </c>
      <c r="Z132" s="80">
        <v>128605</v>
      </c>
      <c r="AA132" s="79" t="s">
        <v>477</v>
      </c>
      <c r="AB132" s="79" t="s">
        <v>582</v>
      </c>
      <c r="AC132" s="77" t="s">
        <v>94</v>
      </c>
      <c r="AD132" s="79" t="s">
        <v>1533</v>
      </c>
    </row>
    <row r="133" spans="1:30" x14ac:dyDescent="0.4">
      <c r="A133" s="10" t="s">
        <v>875</v>
      </c>
      <c r="B133" s="77" t="s">
        <v>95</v>
      </c>
      <c r="C133" s="77">
        <f>C132+(BudgetsTable[[#This Row],[lead]]&lt;&gt;K132)</f>
        <v>32</v>
      </c>
      <c r="D133" s="77">
        <f>D132*(BudgetsTable[[#This Row],[lead]]=K132)+(BudgetsTable[[#This Row],[prop_id]]&lt;&gt;A132)</f>
        <v>1</v>
      </c>
      <c r="E133" s="78">
        <v>42935.491666666669</v>
      </c>
      <c r="F133" s="79" t="s">
        <v>1430</v>
      </c>
      <c r="G133" s="79" t="s">
        <v>477</v>
      </c>
      <c r="H133" s="79" t="s">
        <v>582</v>
      </c>
      <c r="I133" s="77" t="s">
        <v>654</v>
      </c>
      <c r="J133" s="77" t="s">
        <v>13</v>
      </c>
      <c r="K133" s="79" t="s">
        <v>875</v>
      </c>
      <c r="L133" s="7" t="str">
        <f>IF(BudgetsTable[[#This Row],[pi_last_name]]=" ","",HYPERLINK("https://www.ejacket.nsf.gov/ej/showProposal.do?Continue=Y&amp;ID="&amp;BudgetsTable[[#This Row],[prop_id]],BudgetsTable[[#This Row],[prop_id]]))</f>
        <v/>
      </c>
      <c r="M133" s="15" t="str">
        <f>IF(BudgetsTable[[#This Row],[pi_last_name]]=" ","",HYPERLINK("https://www.ejacket.nsf.gov/ej/processReviewAnalysis.do?dispatch=add&amp;uniqId="&amp;BudgetsTable[[#This Row],[prop_id]]&amp;PO_id,"&gt;ra"))</f>
        <v/>
      </c>
      <c r="N133" s="79" t="s">
        <v>13</v>
      </c>
      <c r="O133" s="7" t="str">
        <f>IF(BudgetsTable[[#This Row],[pi_last_name]]=" ","",HYPERLINK("mailto:"&amp;BudgetsTable[[#This Row],[pi_email]]&amp;"&amp;subject=Your NSF Proposal:  "&amp;BudgetsTable[[#This Row],[prop_id]],BudgetsTable[[#This Row],[pi_email]]))</f>
        <v/>
      </c>
      <c r="P133" s="79" t="s">
        <v>13</v>
      </c>
      <c r="Q133" s="79">
        <v>1</v>
      </c>
      <c r="R133" s="79">
        <v>1</v>
      </c>
      <c r="S133" s="80">
        <v>0</v>
      </c>
      <c r="T133" s="80">
        <v>2122</v>
      </c>
      <c r="U133" s="80">
        <v>0</v>
      </c>
      <c r="V133" s="81">
        <v>133063</v>
      </c>
      <c r="W133" s="79">
        <v>0</v>
      </c>
      <c r="X133" s="79">
        <v>3</v>
      </c>
      <c r="Y133" s="11" t="str">
        <f ca="1">IF(ISBLANK(BudgetsTable[[#This Row],[budg_seq_yr]]),"FY"&amp;fiscalyear,"FY"&amp;fiscalyear-1+BudgetsTable[[#This Row],[budg_seq_yr]])</f>
        <v>FY20</v>
      </c>
      <c r="Z133" s="80">
        <v>133063</v>
      </c>
      <c r="AA133" s="79" t="s">
        <v>477</v>
      </c>
      <c r="AB133" s="79" t="s">
        <v>582</v>
      </c>
      <c r="AC133" s="77" t="s">
        <v>94</v>
      </c>
      <c r="AD133" s="79" t="s">
        <v>1533</v>
      </c>
    </row>
    <row r="134" spans="1:30" x14ac:dyDescent="0.4">
      <c r="A134" s="10" t="s">
        <v>875</v>
      </c>
      <c r="B134" s="77" t="s">
        <v>95</v>
      </c>
      <c r="C134" s="77">
        <f>C133+(BudgetsTable[[#This Row],[lead]]&lt;&gt;K133)</f>
        <v>32</v>
      </c>
      <c r="D134" s="77">
        <f>D133*(BudgetsTable[[#This Row],[lead]]=K133)+(BudgetsTable[[#This Row],[prop_id]]&lt;&gt;A133)</f>
        <v>1</v>
      </c>
      <c r="E134" s="78">
        <v>42935.491666666669</v>
      </c>
      <c r="F134" s="79" t="s">
        <v>1430</v>
      </c>
      <c r="G134" s="79" t="s">
        <v>477</v>
      </c>
      <c r="H134" s="79" t="s">
        <v>582</v>
      </c>
      <c r="I134" s="77" t="s">
        <v>654</v>
      </c>
      <c r="J134" s="77" t="s">
        <v>13</v>
      </c>
      <c r="K134" s="79" t="s">
        <v>875</v>
      </c>
      <c r="L134" s="7" t="str">
        <f>IF(BudgetsTable[[#This Row],[pi_last_name]]=" ","",HYPERLINK("https://www.ejacket.nsf.gov/ej/showProposal.do?Continue=Y&amp;ID="&amp;BudgetsTable[[#This Row],[prop_id]],BudgetsTable[[#This Row],[prop_id]]))</f>
        <v/>
      </c>
      <c r="M134" s="15" t="str">
        <f>IF(BudgetsTable[[#This Row],[pi_last_name]]=" ","",HYPERLINK("https://www.ejacket.nsf.gov/ej/processReviewAnalysis.do?dispatch=add&amp;uniqId="&amp;BudgetsTable[[#This Row],[prop_id]]&amp;PO_id,"&gt;ra"))</f>
        <v/>
      </c>
      <c r="N134" s="79" t="s">
        <v>13</v>
      </c>
      <c r="O134" s="7" t="str">
        <f>IF(BudgetsTable[[#This Row],[pi_last_name]]=" ","",HYPERLINK("mailto:"&amp;BudgetsTable[[#This Row],[pi_email]]&amp;"&amp;subject=Your NSF Proposal:  "&amp;BudgetsTable[[#This Row],[prop_id]],BudgetsTable[[#This Row],[pi_email]]))</f>
        <v/>
      </c>
      <c r="P134" s="79" t="s">
        <v>13</v>
      </c>
      <c r="Q134" s="79">
        <v>1</v>
      </c>
      <c r="R134" s="79">
        <v>1</v>
      </c>
      <c r="S134" s="80">
        <v>0</v>
      </c>
      <c r="T134" s="80">
        <v>2185</v>
      </c>
      <c r="U134" s="80">
        <v>0</v>
      </c>
      <c r="V134" s="81">
        <v>137676</v>
      </c>
      <c r="W134" s="79">
        <v>0</v>
      </c>
      <c r="X134" s="79">
        <v>4</v>
      </c>
      <c r="Y134" s="11" t="str">
        <f ca="1">IF(ISBLANK(BudgetsTable[[#This Row],[budg_seq_yr]]),"FY"&amp;fiscalyear,"FY"&amp;fiscalyear-1+BudgetsTable[[#This Row],[budg_seq_yr]])</f>
        <v>FY21</v>
      </c>
      <c r="Z134" s="80">
        <v>137676</v>
      </c>
      <c r="AA134" s="79" t="s">
        <v>477</v>
      </c>
      <c r="AB134" s="79" t="s">
        <v>582</v>
      </c>
      <c r="AC134" s="77" t="s">
        <v>94</v>
      </c>
      <c r="AD134" s="79" t="s">
        <v>1533</v>
      </c>
    </row>
    <row r="135" spans="1:30" x14ac:dyDescent="0.4">
      <c r="A135" s="10" t="s">
        <v>875</v>
      </c>
      <c r="B135" s="77" t="s">
        <v>95</v>
      </c>
      <c r="C135" s="77">
        <f>C134+(BudgetsTable[[#This Row],[lead]]&lt;&gt;K134)</f>
        <v>32</v>
      </c>
      <c r="D135" s="77">
        <f>D134*(BudgetsTable[[#This Row],[lead]]=K134)+(BudgetsTable[[#This Row],[prop_id]]&lt;&gt;A134)</f>
        <v>1</v>
      </c>
      <c r="E135" s="78">
        <v>42935.491666666669</v>
      </c>
      <c r="F135" s="79" t="s">
        <v>1430</v>
      </c>
      <c r="G135" s="79" t="s">
        <v>477</v>
      </c>
      <c r="H135" s="79" t="s">
        <v>582</v>
      </c>
      <c r="I135" s="77" t="s">
        <v>654</v>
      </c>
      <c r="J135" s="77" t="s">
        <v>13</v>
      </c>
      <c r="K135" s="79" t="s">
        <v>875</v>
      </c>
      <c r="L135" s="7" t="str">
        <f>IF(BudgetsTable[[#This Row],[pi_last_name]]=" ","",HYPERLINK("https://www.ejacket.nsf.gov/ej/showProposal.do?Continue=Y&amp;ID="&amp;BudgetsTable[[#This Row],[prop_id]],BudgetsTable[[#This Row],[prop_id]]))</f>
        <v/>
      </c>
      <c r="M135" s="15" t="str">
        <f>IF(BudgetsTable[[#This Row],[pi_last_name]]=" ","",HYPERLINK("https://www.ejacket.nsf.gov/ej/processReviewAnalysis.do?dispatch=add&amp;uniqId="&amp;BudgetsTable[[#This Row],[prop_id]]&amp;PO_id,"&gt;ra"))</f>
        <v/>
      </c>
      <c r="N135" s="79" t="s">
        <v>13</v>
      </c>
      <c r="O135" s="7" t="str">
        <f>IF(BudgetsTable[[#This Row],[pi_last_name]]=" ","",HYPERLINK("mailto:"&amp;BudgetsTable[[#This Row],[pi_email]]&amp;"&amp;subject=Your NSF Proposal:  "&amp;BudgetsTable[[#This Row],[prop_id]],BudgetsTable[[#This Row],[pi_email]]))</f>
        <v/>
      </c>
      <c r="P135" s="79" t="s">
        <v>13</v>
      </c>
      <c r="Q135" s="79">
        <v>1</v>
      </c>
      <c r="R135" s="79">
        <v>1</v>
      </c>
      <c r="S135" s="80">
        <v>0</v>
      </c>
      <c r="T135" s="80">
        <v>2251</v>
      </c>
      <c r="U135" s="80">
        <v>0</v>
      </c>
      <c r="V135" s="81">
        <v>142457</v>
      </c>
      <c r="W135" s="79">
        <v>0</v>
      </c>
      <c r="X135" s="79">
        <v>5</v>
      </c>
      <c r="Y135" s="11" t="str">
        <f ca="1">IF(ISBLANK(BudgetsTable[[#This Row],[budg_seq_yr]]),"FY"&amp;fiscalyear,"FY"&amp;fiscalyear-1+BudgetsTable[[#This Row],[budg_seq_yr]])</f>
        <v>FY22</v>
      </c>
      <c r="Z135" s="80">
        <v>142457</v>
      </c>
      <c r="AA135" s="79" t="s">
        <v>477</v>
      </c>
      <c r="AB135" s="79" t="s">
        <v>582</v>
      </c>
      <c r="AC135" s="77" t="s">
        <v>94</v>
      </c>
      <c r="AD135" s="79" t="s">
        <v>1533</v>
      </c>
    </row>
    <row r="136" spans="1:30" x14ac:dyDescent="0.4">
      <c r="A136" s="10" t="s">
        <v>885</v>
      </c>
      <c r="B136" s="77" t="s">
        <v>95</v>
      </c>
      <c r="C136" s="77">
        <f>C135+(BudgetsTable[[#This Row],[lead]]&lt;&gt;K135)</f>
        <v>33</v>
      </c>
      <c r="D136" s="77">
        <f>D135*(BudgetsTable[[#This Row],[lead]]=K135)+(BudgetsTable[[#This Row],[prop_id]]&lt;&gt;A135)</f>
        <v>1</v>
      </c>
      <c r="E136" s="78">
        <v>42935.535416666666</v>
      </c>
      <c r="F136" s="79" t="s">
        <v>1430</v>
      </c>
      <c r="G136" s="79" t="s">
        <v>477</v>
      </c>
      <c r="H136" s="79" t="s">
        <v>582</v>
      </c>
      <c r="I136" s="77" t="s">
        <v>611</v>
      </c>
      <c r="J136" s="77" t="s">
        <v>1543</v>
      </c>
      <c r="K136" s="79" t="s">
        <v>885</v>
      </c>
      <c r="L136" s="7" t="str">
        <f>IF(BudgetsTable[[#This Row],[pi_last_name]]=" ","",HYPERLINK("https://www.ejacket.nsf.gov/ej/showProposal.do?Continue=Y&amp;ID="&amp;BudgetsTable[[#This Row],[prop_id]],BudgetsTable[[#This Row],[prop_id]]))</f>
        <v>1750436</v>
      </c>
      <c r="M136" s="15" t="e">
        <f>IF(BudgetsTable[[#This Row],[pi_last_name]]=" ","",HYPERLINK("https://www.ejacket.nsf.gov/ej/processReviewAnalysis.do?dispatch=add&amp;uniqId="&amp;BudgetsTable[[#This Row],[prop_id]]&amp;PO_id,"&gt;ra"))</f>
        <v>#REF!</v>
      </c>
      <c r="N136" s="79" t="s">
        <v>886</v>
      </c>
      <c r="O136" s="7" t="str">
        <f>IF(BudgetsTable[[#This Row],[pi_last_name]]=" ","",HYPERLINK("mailto:"&amp;BudgetsTable[[#This Row],[pi_email]]&amp;"&amp;subject=Your NSF Proposal:  "&amp;BudgetsTable[[#This Row],[prop_id]],BudgetsTable[[#This Row],[pi_email]]))</f>
        <v>rutameht@illinois.edu</v>
      </c>
      <c r="P136" s="79" t="s">
        <v>1477</v>
      </c>
      <c r="Q136" s="79"/>
      <c r="R136" s="79"/>
      <c r="S136" s="80"/>
      <c r="T136" s="80"/>
      <c r="U136" s="80"/>
      <c r="V136" s="81"/>
      <c r="W136" s="79">
        <v>0</v>
      </c>
      <c r="X136" s="79"/>
      <c r="Y136" s="11" t="str">
        <f ca="1">IF(ISBLANK(BudgetsTable[[#This Row],[budg_seq_yr]]),"FY"&amp;fiscalyear,"FY"&amp;fiscalyear-1+BudgetsTable[[#This Row],[budg_seq_yr]])</f>
        <v>FY18</v>
      </c>
      <c r="Z136" s="80">
        <v>499906</v>
      </c>
      <c r="AA136" s="79" t="s">
        <v>477</v>
      </c>
      <c r="AB136" s="79" t="s">
        <v>582</v>
      </c>
      <c r="AC136" s="77" t="s">
        <v>94</v>
      </c>
      <c r="AD136" s="79" t="s">
        <v>1539</v>
      </c>
    </row>
    <row r="137" spans="1:30" x14ac:dyDescent="0.4">
      <c r="A137" s="10" t="s">
        <v>885</v>
      </c>
      <c r="B137" s="77" t="s">
        <v>95</v>
      </c>
      <c r="C137" s="77">
        <f>C136+(BudgetsTable[[#This Row],[lead]]&lt;&gt;K136)</f>
        <v>33</v>
      </c>
      <c r="D137" s="77">
        <f>D136*(BudgetsTable[[#This Row],[lead]]=K136)+(BudgetsTable[[#This Row],[prop_id]]&lt;&gt;A136)</f>
        <v>1</v>
      </c>
      <c r="E137" s="78">
        <v>42935.535416666666</v>
      </c>
      <c r="F137" s="79" t="s">
        <v>1430</v>
      </c>
      <c r="G137" s="79" t="s">
        <v>477</v>
      </c>
      <c r="H137" s="79" t="s">
        <v>582</v>
      </c>
      <c r="I137" s="77" t="s">
        <v>611</v>
      </c>
      <c r="J137" s="77" t="s">
        <v>13</v>
      </c>
      <c r="K137" s="79" t="s">
        <v>885</v>
      </c>
      <c r="L137" s="7" t="str">
        <f>IF(BudgetsTable[[#This Row],[pi_last_name]]=" ","",HYPERLINK("https://www.ejacket.nsf.gov/ej/showProposal.do?Continue=Y&amp;ID="&amp;BudgetsTable[[#This Row],[prop_id]],BudgetsTable[[#This Row],[prop_id]]))</f>
        <v/>
      </c>
      <c r="M137" s="15" t="str">
        <f>IF(BudgetsTable[[#This Row],[pi_last_name]]=" ","",HYPERLINK("https://www.ejacket.nsf.gov/ej/processReviewAnalysis.do?dispatch=add&amp;uniqId="&amp;BudgetsTable[[#This Row],[prop_id]]&amp;PO_id,"&gt;ra"))</f>
        <v/>
      </c>
      <c r="N137" s="79" t="s">
        <v>13</v>
      </c>
      <c r="O137" s="7" t="str">
        <f>IF(BudgetsTable[[#This Row],[pi_last_name]]=" ","",HYPERLINK("mailto:"&amp;BudgetsTable[[#This Row],[pi_email]]&amp;"&amp;subject=Your NSF Proposal:  "&amp;BudgetsTable[[#This Row],[prop_id]],BudgetsTable[[#This Row],[pi_email]]))</f>
        <v/>
      </c>
      <c r="P137" s="79" t="s">
        <v>13</v>
      </c>
      <c r="Q137" s="79">
        <v>1</v>
      </c>
      <c r="R137" s="79">
        <v>1</v>
      </c>
      <c r="S137" s="80">
        <v>0</v>
      </c>
      <c r="T137" s="80">
        <v>2000</v>
      </c>
      <c r="U137" s="80">
        <v>0</v>
      </c>
      <c r="V137" s="81">
        <v>101016</v>
      </c>
      <c r="W137" s="79">
        <v>0</v>
      </c>
      <c r="X137" s="79">
        <v>1</v>
      </c>
      <c r="Y137" s="11" t="str">
        <f ca="1">IF(ISBLANK(BudgetsTable[[#This Row],[budg_seq_yr]]),"FY"&amp;fiscalyear,"FY"&amp;fiscalyear-1+BudgetsTable[[#This Row],[budg_seq_yr]])</f>
        <v>FY18</v>
      </c>
      <c r="Z137" s="80">
        <v>101016</v>
      </c>
      <c r="AA137" s="79" t="s">
        <v>477</v>
      </c>
      <c r="AB137" s="79" t="s">
        <v>582</v>
      </c>
      <c r="AC137" s="77" t="s">
        <v>94</v>
      </c>
      <c r="AD137" s="79" t="s">
        <v>1539</v>
      </c>
    </row>
    <row r="138" spans="1:30" x14ac:dyDescent="0.4">
      <c r="A138" s="10" t="s">
        <v>885</v>
      </c>
      <c r="B138" s="77" t="s">
        <v>95</v>
      </c>
      <c r="C138" s="77">
        <f>C137+(BudgetsTable[[#This Row],[lead]]&lt;&gt;K137)</f>
        <v>33</v>
      </c>
      <c r="D138" s="77">
        <f>D137*(BudgetsTable[[#This Row],[lead]]=K137)+(BudgetsTable[[#This Row],[prop_id]]&lt;&gt;A137)</f>
        <v>1</v>
      </c>
      <c r="E138" s="78">
        <v>42935.535416666666</v>
      </c>
      <c r="F138" s="79" t="s">
        <v>1430</v>
      </c>
      <c r="G138" s="79" t="s">
        <v>477</v>
      </c>
      <c r="H138" s="79" t="s">
        <v>582</v>
      </c>
      <c r="I138" s="77" t="s">
        <v>611</v>
      </c>
      <c r="J138" s="77" t="s">
        <v>13</v>
      </c>
      <c r="K138" s="79" t="s">
        <v>885</v>
      </c>
      <c r="L138" s="7" t="str">
        <f>IF(BudgetsTable[[#This Row],[pi_last_name]]=" ","",HYPERLINK("https://www.ejacket.nsf.gov/ej/showProposal.do?Continue=Y&amp;ID="&amp;BudgetsTable[[#This Row],[prop_id]],BudgetsTable[[#This Row],[prop_id]]))</f>
        <v/>
      </c>
      <c r="M138" s="15" t="str">
        <f>IF(BudgetsTable[[#This Row],[pi_last_name]]=" ","",HYPERLINK("https://www.ejacket.nsf.gov/ej/processReviewAnalysis.do?dispatch=add&amp;uniqId="&amp;BudgetsTable[[#This Row],[prop_id]]&amp;PO_id,"&gt;ra"))</f>
        <v/>
      </c>
      <c r="N138" s="79" t="s">
        <v>13</v>
      </c>
      <c r="O138" s="7" t="str">
        <f>IF(BudgetsTable[[#This Row],[pi_last_name]]=" ","",HYPERLINK("mailto:"&amp;BudgetsTable[[#This Row],[pi_email]]&amp;"&amp;subject=Your NSF Proposal:  "&amp;BudgetsTable[[#This Row],[prop_id]],BudgetsTable[[#This Row],[pi_email]]))</f>
        <v/>
      </c>
      <c r="P138" s="79" t="s">
        <v>13</v>
      </c>
      <c r="Q138" s="79">
        <v>1</v>
      </c>
      <c r="R138" s="79">
        <v>1</v>
      </c>
      <c r="S138" s="80">
        <v>0</v>
      </c>
      <c r="T138" s="80">
        <v>2000</v>
      </c>
      <c r="U138" s="80">
        <v>0</v>
      </c>
      <c r="V138" s="81">
        <v>102073</v>
      </c>
      <c r="W138" s="79">
        <v>0</v>
      </c>
      <c r="X138" s="79">
        <v>2</v>
      </c>
      <c r="Y138" s="11" t="str">
        <f ca="1">IF(ISBLANK(BudgetsTable[[#This Row],[budg_seq_yr]]),"FY"&amp;fiscalyear,"FY"&amp;fiscalyear-1+BudgetsTable[[#This Row],[budg_seq_yr]])</f>
        <v>FY19</v>
      </c>
      <c r="Z138" s="80">
        <v>102073</v>
      </c>
      <c r="AA138" s="79" t="s">
        <v>477</v>
      </c>
      <c r="AB138" s="79" t="s">
        <v>582</v>
      </c>
      <c r="AC138" s="77" t="s">
        <v>94</v>
      </c>
      <c r="AD138" s="79" t="s">
        <v>1539</v>
      </c>
    </row>
    <row r="139" spans="1:30" x14ac:dyDescent="0.4">
      <c r="A139" s="10" t="s">
        <v>885</v>
      </c>
      <c r="B139" s="77" t="s">
        <v>95</v>
      </c>
      <c r="C139" s="77">
        <f>C138+(BudgetsTable[[#This Row],[lead]]&lt;&gt;K138)</f>
        <v>33</v>
      </c>
      <c r="D139" s="77">
        <f>D138*(BudgetsTable[[#This Row],[lead]]=K138)+(BudgetsTable[[#This Row],[prop_id]]&lt;&gt;A138)</f>
        <v>1</v>
      </c>
      <c r="E139" s="78">
        <v>42935.535416666666</v>
      </c>
      <c r="F139" s="79" t="s">
        <v>1430</v>
      </c>
      <c r="G139" s="79" t="s">
        <v>477</v>
      </c>
      <c r="H139" s="79" t="s">
        <v>582</v>
      </c>
      <c r="I139" s="77" t="s">
        <v>611</v>
      </c>
      <c r="J139" s="77" t="s">
        <v>13</v>
      </c>
      <c r="K139" s="79" t="s">
        <v>885</v>
      </c>
      <c r="L139" s="7" t="str">
        <f>IF(BudgetsTable[[#This Row],[pi_last_name]]=" ","",HYPERLINK("https://www.ejacket.nsf.gov/ej/showProposal.do?Continue=Y&amp;ID="&amp;BudgetsTable[[#This Row],[prop_id]],BudgetsTable[[#This Row],[prop_id]]))</f>
        <v/>
      </c>
      <c r="M139" s="15" t="str">
        <f>IF(BudgetsTable[[#This Row],[pi_last_name]]=" ","",HYPERLINK("https://www.ejacket.nsf.gov/ej/processReviewAnalysis.do?dispatch=add&amp;uniqId="&amp;BudgetsTable[[#This Row],[prop_id]]&amp;PO_id,"&gt;ra"))</f>
        <v/>
      </c>
      <c r="N139" s="79" t="s">
        <v>13</v>
      </c>
      <c r="O139" s="7" t="str">
        <f>IF(BudgetsTable[[#This Row],[pi_last_name]]=" ","",HYPERLINK("mailto:"&amp;BudgetsTable[[#This Row],[pi_email]]&amp;"&amp;subject=Your NSF Proposal:  "&amp;BudgetsTable[[#This Row],[prop_id]],BudgetsTable[[#This Row],[pi_email]]))</f>
        <v/>
      </c>
      <c r="P139" s="79" t="s">
        <v>13</v>
      </c>
      <c r="Q139" s="79">
        <v>1</v>
      </c>
      <c r="R139" s="79">
        <v>1</v>
      </c>
      <c r="S139" s="80">
        <v>0</v>
      </c>
      <c r="T139" s="80">
        <v>2000</v>
      </c>
      <c r="U139" s="80">
        <v>0</v>
      </c>
      <c r="V139" s="81">
        <v>105652</v>
      </c>
      <c r="W139" s="79">
        <v>0</v>
      </c>
      <c r="X139" s="79">
        <v>3</v>
      </c>
      <c r="Y139" s="11" t="str">
        <f ca="1">IF(ISBLANK(BudgetsTable[[#This Row],[budg_seq_yr]]),"FY"&amp;fiscalyear,"FY"&amp;fiscalyear-1+BudgetsTable[[#This Row],[budg_seq_yr]])</f>
        <v>FY20</v>
      </c>
      <c r="Z139" s="80">
        <v>105652</v>
      </c>
      <c r="AA139" s="79" t="s">
        <v>477</v>
      </c>
      <c r="AB139" s="79" t="s">
        <v>582</v>
      </c>
      <c r="AC139" s="77" t="s">
        <v>94</v>
      </c>
      <c r="AD139" s="79" t="s">
        <v>1539</v>
      </c>
    </row>
    <row r="140" spans="1:30" x14ac:dyDescent="0.4">
      <c r="A140" s="10" t="s">
        <v>885</v>
      </c>
      <c r="B140" s="77" t="s">
        <v>95</v>
      </c>
      <c r="C140" s="77">
        <f>C139+(BudgetsTable[[#This Row],[lead]]&lt;&gt;K139)</f>
        <v>33</v>
      </c>
      <c r="D140" s="77">
        <f>D139*(BudgetsTable[[#This Row],[lead]]=K139)+(BudgetsTable[[#This Row],[prop_id]]&lt;&gt;A139)</f>
        <v>1</v>
      </c>
      <c r="E140" s="78">
        <v>42935.535416666666</v>
      </c>
      <c r="F140" s="79" t="s">
        <v>1430</v>
      </c>
      <c r="G140" s="79" t="s">
        <v>477</v>
      </c>
      <c r="H140" s="79" t="s">
        <v>582</v>
      </c>
      <c r="I140" s="77" t="s">
        <v>611</v>
      </c>
      <c r="J140" s="77" t="s">
        <v>13</v>
      </c>
      <c r="K140" s="79" t="s">
        <v>885</v>
      </c>
      <c r="L140" s="7" t="str">
        <f>IF(BudgetsTable[[#This Row],[pi_last_name]]=" ","",HYPERLINK("https://www.ejacket.nsf.gov/ej/showProposal.do?Continue=Y&amp;ID="&amp;BudgetsTable[[#This Row],[prop_id]],BudgetsTable[[#This Row],[prop_id]]))</f>
        <v/>
      </c>
      <c r="M140" s="15" t="str">
        <f>IF(BudgetsTable[[#This Row],[pi_last_name]]=" ","",HYPERLINK("https://www.ejacket.nsf.gov/ej/processReviewAnalysis.do?dispatch=add&amp;uniqId="&amp;BudgetsTable[[#This Row],[prop_id]]&amp;PO_id,"&gt;ra"))</f>
        <v/>
      </c>
      <c r="N140" s="79" t="s">
        <v>13</v>
      </c>
      <c r="O140" s="7" t="str">
        <f>IF(BudgetsTable[[#This Row],[pi_last_name]]=" ","",HYPERLINK("mailto:"&amp;BudgetsTable[[#This Row],[pi_email]]&amp;"&amp;subject=Your NSF Proposal:  "&amp;BudgetsTable[[#This Row],[prop_id]],BudgetsTable[[#This Row],[pi_email]]))</f>
        <v/>
      </c>
      <c r="P140" s="79" t="s">
        <v>13</v>
      </c>
      <c r="Q140" s="79">
        <v>1</v>
      </c>
      <c r="R140" s="79">
        <v>1</v>
      </c>
      <c r="S140" s="80">
        <v>0</v>
      </c>
      <c r="T140" s="80">
        <v>2000</v>
      </c>
      <c r="U140" s="80">
        <v>0</v>
      </c>
      <c r="V140" s="81">
        <v>109379</v>
      </c>
      <c r="W140" s="79">
        <v>0</v>
      </c>
      <c r="X140" s="79">
        <v>4</v>
      </c>
      <c r="Y140" s="11" t="str">
        <f ca="1">IF(ISBLANK(BudgetsTable[[#This Row],[budg_seq_yr]]),"FY"&amp;fiscalyear,"FY"&amp;fiscalyear-1+BudgetsTable[[#This Row],[budg_seq_yr]])</f>
        <v>FY21</v>
      </c>
      <c r="Z140" s="80">
        <v>109379</v>
      </c>
      <c r="AA140" s="79" t="s">
        <v>477</v>
      </c>
      <c r="AB140" s="79" t="s">
        <v>582</v>
      </c>
      <c r="AC140" s="77" t="s">
        <v>94</v>
      </c>
      <c r="AD140" s="79" t="s">
        <v>1539</v>
      </c>
    </row>
    <row r="141" spans="1:30" x14ac:dyDescent="0.4">
      <c r="A141" s="10" t="s">
        <v>885</v>
      </c>
      <c r="B141" s="77" t="s">
        <v>95</v>
      </c>
      <c r="C141" s="77">
        <f>C140+(BudgetsTable[[#This Row],[lead]]&lt;&gt;K140)</f>
        <v>33</v>
      </c>
      <c r="D141" s="77">
        <f>D140*(BudgetsTable[[#This Row],[lead]]=K140)+(BudgetsTable[[#This Row],[prop_id]]&lt;&gt;A140)</f>
        <v>1</v>
      </c>
      <c r="E141" s="78">
        <v>42935.535416666666</v>
      </c>
      <c r="F141" s="79" t="s">
        <v>1430</v>
      </c>
      <c r="G141" s="79" t="s">
        <v>477</v>
      </c>
      <c r="H141" s="79" t="s">
        <v>582</v>
      </c>
      <c r="I141" s="77" t="s">
        <v>611</v>
      </c>
      <c r="J141" s="77" t="s">
        <v>13</v>
      </c>
      <c r="K141" s="79" t="s">
        <v>885</v>
      </c>
      <c r="L141" s="7" t="str">
        <f>IF(BudgetsTable[[#This Row],[pi_last_name]]=" ","",HYPERLINK("https://www.ejacket.nsf.gov/ej/showProposal.do?Continue=Y&amp;ID="&amp;BudgetsTable[[#This Row],[prop_id]],BudgetsTable[[#This Row],[prop_id]]))</f>
        <v/>
      </c>
      <c r="M141" s="15" t="str">
        <f>IF(BudgetsTable[[#This Row],[pi_last_name]]=" ","",HYPERLINK("https://www.ejacket.nsf.gov/ej/processReviewAnalysis.do?dispatch=add&amp;uniqId="&amp;BudgetsTable[[#This Row],[prop_id]]&amp;PO_id,"&gt;ra"))</f>
        <v/>
      </c>
      <c r="N141" s="79" t="s">
        <v>13</v>
      </c>
      <c r="O141" s="7" t="str">
        <f>IF(BudgetsTable[[#This Row],[pi_last_name]]=" ","",HYPERLINK("mailto:"&amp;BudgetsTable[[#This Row],[pi_email]]&amp;"&amp;subject=Your NSF Proposal:  "&amp;BudgetsTable[[#This Row],[prop_id]],BudgetsTable[[#This Row],[pi_email]]))</f>
        <v/>
      </c>
      <c r="P141" s="79" t="s">
        <v>13</v>
      </c>
      <c r="Q141" s="79">
        <v>0</v>
      </c>
      <c r="R141" s="79">
        <v>0</v>
      </c>
      <c r="S141" s="80">
        <v>0</v>
      </c>
      <c r="T141" s="80">
        <v>2000</v>
      </c>
      <c r="U141" s="80">
        <v>0</v>
      </c>
      <c r="V141" s="81">
        <v>81786</v>
      </c>
      <c r="W141" s="79">
        <v>0</v>
      </c>
      <c r="X141" s="79">
        <v>5</v>
      </c>
      <c r="Y141" s="11" t="str">
        <f ca="1">IF(ISBLANK(BudgetsTable[[#This Row],[budg_seq_yr]]),"FY"&amp;fiscalyear,"FY"&amp;fiscalyear-1+BudgetsTable[[#This Row],[budg_seq_yr]])</f>
        <v>FY22</v>
      </c>
      <c r="Z141" s="80">
        <v>81786</v>
      </c>
      <c r="AA141" s="79" t="s">
        <v>477</v>
      </c>
      <c r="AB141" s="79" t="s">
        <v>582</v>
      </c>
      <c r="AC141" s="77" t="s">
        <v>94</v>
      </c>
      <c r="AD141" s="79" t="s">
        <v>1539</v>
      </c>
    </row>
    <row r="142" spans="1:30" x14ac:dyDescent="0.4">
      <c r="A142" s="10" t="s">
        <v>896</v>
      </c>
      <c r="B142" s="77" t="s">
        <v>95</v>
      </c>
      <c r="C142" s="77">
        <f>C141+(BudgetsTable[[#This Row],[lead]]&lt;&gt;K141)</f>
        <v>34</v>
      </c>
      <c r="D142" s="77">
        <f>D141*(BudgetsTable[[#This Row],[lead]]=K141)+(BudgetsTable[[#This Row],[prop_id]]&lt;&gt;A141)</f>
        <v>1</v>
      </c>
      <c r="E142" s="78">
        <v>42935.536805555559</v>
      </c>
      <c r="F142" s="79" t="s">
        <v>1430</v>
      </c>
      <c r="G142" s="79" t="s">
        <v>477</v>
      </c>
      <c r="H142" s="79" t="s">
        <v>582</v>
      </c>
      <c r="I142" s="77" t="s">
        <v>611</v>
      </c>
      <c r="J142" s="77" t="s">
        <v>1547</v>
      </c>
      <c r="K142" s="79" t="s">
        <v>896</v>
      </c>
      <c r="L142" s="7" t="str">
        <f>IF(BudgetsTable[[#This Row],[pi_last_name]]=" ","",HYPERLINK("https://www.ejacket.nsf.gov/ej/showProposal.do?Continue=Y&amp;ID="&amp;BudgetsTable[[#This Row],[prop_id]],BudgetsTable[[#This Row],[prop_id]]))</f>
        <v>1750443</v>
      </c>
      <c r="M142" s="15" t="e">
        <f>IF(BudgetsTable[[#This Row],[pi_last_name]]=" ","",HYPERLINK("https://www.ejacket.nsf.gov/ej/processReviewAnalysis.do?dispatch=add&amp;uniqId="&amp;BudgetsTable[[#This Row],[prop_id]]&amp;PO_id,"&gt;ra"))</f>
        <v>#REF!</v>
      </c>
      <c r="N142" s="79" t="s">
        <v>897</v>
      </c>
      <c r="O142" s="7" t="str">
        <f>IF(BudgetsTable[[#This Row],[pi_last_name]]=" ","",HYPERLINK("mailto:"&amp;BudgetsTable[[#This Row],[pi_email]]&amp;"&amp;subject=Your NSF Proposal:  "&amp;BudgetsTable[[#This Row],[prop_id]],BudgetsTable[[#This Row],[pi_email]]))</f>
        <v>gillat.kol@gmail.com</v>
      </c>
      <c r="P142" s="79" t="s">
        <v>552</v>
      </c>
      <c r="Q142" s="79"/>
      <c r="R142" s="79"/>
      <c r="S142" s="80"/>
      <c r="T142" s="80"/>
      <c r="U142" s="80"/>
      <c r="V142" s="81"/>
      <c r="W142" s="79">
        <v>0</v>
      </c>
      <c r="X142" s="79"/>
      <c r="Y142" s="11" t="str">
        <f ca="1">IF(ISBLANK(BudgetsTable[[#This Row],[budg_seq_yr]]),"FY"&amp;fiscalyear,"FY"&amp;fiscalyear-1+BudgetsTable[[#This Row],[budg_seq_yr]])</f>
        <v>FY18</v>
      </c>
      <c r="Z142" s="80">
        <v>550000</v>
      </c>
      <c r="AA142" s="79" t="s">
        <v>477</v>
      </c>
      <c r="AB142" s="79" t="s">
        <v>582</v>
      </c>
      <c r="AC142" s="77" t="s">
        <v>94</v>
      </c>
      <c r="AD142" s="79" t="s">
        <v>1469</v>
      </c>
    </row>
    <row r="143" spans="1:30" x14ac:dyDescent="0.4">
      <c r="A143" s="10" t="s">
        <v>896</v>
      </c>
      <c r="B143" s="77" t="s">
        <v>95</v>
      </c>
      <c r="C143" s="77">
        <f>C142+(BudgetsTable[[#This Row],[lead]]&lt;&gt;K142)</f>
        <v>34</v>
      </c>
      <c r="D143" s="77">
        <f>D142*(BudgetsTable[[#This Row],[lead]]=K142)+(BudgetsTable[[#This Row],[prop_id]]&lt;&gt;A142)</f>
        <v>1</v>
      </c>
      <c r="E143" s="78">
        <v>42935.536805555559</v>
      </c>
      <c r="F143" s="79" t="s">
        <v>1430</v>
      </c>
      <c r="G143" s="79" t="s">
        <v>477</v>
      </c>
      <c r="H143" s="79" t="s">
        <v>582</v>
      </c>
      <c r="I143" s="77" t="s">
        <v>611</v>
      </c>
      <c r="J143" s="77" t="s">
        <v>13</v>
      </c>
      <c r="K143" s="79" t="s">
        <v>896</v>
      </c>
      <c r="L143" s="7" t="str">
        <f>IF(BudgetsTable[[#This Row],[pi_last_name]]=" ","",HYPERLINK("https://www.ejacket.nsf.gov/ej/showProposal.do?Continue=Y&amp;ID="&amp;BudgetsTable[[#This Row],[prop_id]],BudgetsTable[[#This Row],[prop_id]]))</f>
        <v/>
      </c>
      <c r="M143" s="15" t="str">
        <f>IF(BudgetsTable[[#This Row],[pi_last_name]]=" ","",HYPERLINK("https://www.ejacket.nsf.gov/ej/processReviewAnalysis.do?dispatch=add&amp;uniqId="&amp;BudgetsTable[[#This Row],[prop_id]]&amp;PO_id,"&gt;ra"))</f>
        <v/>
      </c>
      <c r="N143" s="79" t="s">
        <v>13</v>
      </c>
      <c r="O143" s="7" t="str">
        <f>IF(BudgetsTable[[#This Row],[pi_last_name]]=" ","",HYPERLINK("mailto:"&amp;BudgetsTable[[#This Row],[pi_email]]&amp;"&amp;subject=Your NSF Proposal:  "&amp;BudgetsTable[[#This Row],[prop_id]],BudgetsTable[[#This Row],[pi_email]]))</f>
        <v/>
      </c>
      <c r="P143" s="79" t="s">
        <v>13</v>
      </c>
      <c r="Q143" s="79">
        <v>1</v>
      </c>
      <c r="R143" s="79">
        <v>1</v>
      </c>
      <c r="S143" s="80">
        <v>0</v>
      </c>
      <c r="T143" s="80">
        <v>0</v>
      </c>
      <c r="U143" s="80">
        <v>0</v>
      </c>
      <c r="V143" s="81">
        <v>103323</v>
      </c>
      <c r="W143" s="79">
        <v>0</v>
      </c>
      <c r="X143" s="79">
        <v>1</v>
      </c>
      <c r="Y143" s="11" t="str">
        <f ca="1">IF(ISBLANK(BudgetsTable[[#This Row],[budg_seq_yr]]),"FY"&amp;fiscalyear,"FY"&amp;fiscalyear-1+BudgetsTable[[#This Row],[budg_seq_yr]])</f>
        <v>FY18</v>
      </c>
      <c r="Z143" s="80">
        <v>103323</v>
      </c>
      <c r="AA143" s="79" t="s">
        <v>477</v>
      </c>
      <c r="AB143" s="79" t="s">
        <v>582</v>
      </c>
      <c r="AC143" s="77" t="s">
        <v>94</v>
      </c>
      <c r="AD143" s="79" t="s">
        <v>1469</v>
      </c>
    </row>
    <row r="144" spans="1:30" x14ac:dyDescent="0.4">
      <c r="A144" s="10" t="s">
        <v>896</v>
      </c>
      <c r="B144" s="77" t="s">
        <v>95</v>
      </c>
      <c r="C144" s="77">
        <f>C143+(BudgetsTable[[#This Row],[lead]]&lt;&gt;K143)</f>
        <v>34</v>
      </c>
      <c r="D144" s="77">
        <f>D143*(BudgetsTable[[#This Row],[lead]]=K143)+(BudgetsTable[[#This Row],[prop_id]]&lt;&gt;A143)</f>
        <v>1</v>
      </c>
      <c r="E144" s="78">
        <v>42935.536805555559</v>
      </c>
      <c r="F144" s="79" t="s">
        <v>1430</v>
      </c>
      <c r="G144" s="79" t="s">
        <v>477</v>
      </c>
      <c r="H144" s="79" t="s">
        <v>582</v>
      </c>
      <c r="I144" s="77" t="s">
        <v>611</v>
      </c>
      <c r="J144" s="77" t="s">
        <v>13</v>
      </c>
      <c r="K144" s="79" t="s">
        <v>896</v>
      </c>
      <c r="L144" s="7" t="str">
        <f>IF(BudgetsTable[[#This Row],[pi_last_name]]=" ","",HYPERLINK("https://www.ejacket.nsf.gov/ej/showProposal.do?Continue=Y&amp;ID="&amp;BudgetsTable[[#This Row],[prop_id]],BudgetsTable[[#This Row],[prop_id]]))</f>
        <v/>
      </c>
      <c r="M144" s="15" t="str">
        <f>IF(BudgetsTable[[#This Row],[pi_last_name]]=" ","",HYPERLINK("https://www.ejacket.nsf.gov/ej/processReviewAnalysis.do?dispatch=add&amp;uniqId="&amp;BudgetsTable[[#This Row],[prop_id]]&amp;PO_id,"&gt;ra"))</f>
        <v/>
      </c>
      <c r="N144" s="79" t="s">
        <v>13</v>
      </c>
      <c r="O144" s="7" t="str">
        <f>IF(BudgetsTable[[#This Row],[pi_last_name]]=" ","",HYPERLINK("mailto:"&amp;BudgetsTable[[#This Row],[pi_email]]&amp;"&amp;subject=Your NSF Proposal:  "&amp;BudgetsTable[[#This Row],[prop_id]],BudgetsTable[[#This Row],[pi_email]]))</f>
        <v/>
      </c>
      <c r="P144" s="79" t="s">
        <v>13</v>
      </c>
      <c r="Q144" s="79">
        <v>1</v>
      </c>
      <c r="R144" s="79">
        <v>1</v>
      </c>
      <c r="S144" s="80">
        <v>0</v>
      </c>
      <c r="T144" s="80">
        <v>0</v>
      </c>
      <c r="U144" s="80">
        <v>0</v>
      </c>
      <c r="V144" s="81">
        <v>106541</v>
      </c>
      <c r="W144" s="79">
        <v>0</v>
      </c>
      <c r="X144" s="79">
        <v>2</v>
      </c>
      <c r="Y144" s="11" t="str">
        <f ca="1">IF(ISBLANK(BudgetsTable[[#This Row],[budg_seq_yr]]),"FY"&amp;fiscalyear,"FY"&amp;fiscalyear-1+BudgetsTable[[#This Row],[budg_seq_yr]])</f>
        <v>FY19</v>
      </c>
      <c r="Z144" s="80">
        <v>106541</v>
      </c>
      <c r="AA144" s="79" t="s">
        <v>477</v>
      </c>
      <c r="AB144" s="79" t="s">
        <v>582</v>
      </c>
      <c r="AC144" s="77" t="s">
        <v>94</v>
      </c>
      <c r="AD144" s="79" t="s">
        <v>1469</v>
      </c>
    </row>
    <row r="145" spans="1:30" x14ac:dyDescent="0.4">
      <c r="A145" s="10" t="s">
        <v>896</v>
      </c>
      <c r="B145" s="77" t="s">
        <v>95</v>
      </c>
      <c r="C145" s="77">
        <f>C144+(BudgetsTable[[#This Row],[lead]]&lt;&gt;K144)</f>
        <v>34</v>
      </c>
      <c r="D145" s="77">
        <f>D144*(BudgetsTable[[#This Row],[lead]]=K144)+(BudgetsTable[[#This Row],[prop_id]]&lt;&gt;A144)</f>
        <v>1</v>
      </c>
      <c r="E145" s="78">
        <v>42935.536805555559</v>
      </c>
      <c r="F145" s="79" t="s">
        <v>1430</v>
      </c>
      <c r="G145" s="79" t="s">
        <v>477</v>
      </c>
      <c r="H145" s="79" t="s">
        <v>582</v>
      </c>
      <c r="I145" s="77" t="s">
        <v>611</v>
      </c>
      <c r="J145" s="77" t="s">
        <v>13</v>
      </c>
      <c r="K145" s="79" t="s">
        <v>896</v>
      </c>
      <c r="L145" s="7" t="str">
        <f>IF(BudgetsTable[[#This Row],[pi_last_name]]=" ","",HYPERLINK("https://www.ejacket.nsf.gov/ej/showProposal.do?Continue=Y&amp;ID="&amp;BudgetsTable[[#This Row],[prop_id]],BudgetsTable[[#This Row],[prop_id]]))</f>
        <v/>
      </c>
      <c r="M145" s="15" t="str">
        <f>IF(BudgetsTable[[#This Row],[pi_last_name]]=" ","",HYPERLINK("https://www.ejacket.nsf.gov/ej/processReviewAnalysis.do?dispatch=add&amp;uniqId="&amp;BudgetsTable[[#This Row],[prop_id]]&amp;PO_id,"&gt;ra"))</f>
        <v/>
      </c>
      <c r="N145" s="79" t="s">
        <v>13</v>
      </c>
      <c r="O145" s="7" t="str">
        <f>IF(BudgetsTable[[#This Row],[pi_last_name]]=" ","",HYPERLINK("mailto:"&amp;BudgetsTable[[#This Row],[pi_email]]&amp;"&amp;subject=Your NSF Proposal:  "&amp;BudgetsTable[[#This Row],[prop_id]],BudgetsTable[[#This Row],[pi_email]]))</f>
        <v/>
      </c>
      <c r="P145" s="79" t="s">
        <v>13</v>
      </c>
      <c r="Q145" s="79">
        <v>1</v>
      </c>
      <c r="R145" s="79">
        <v>1</v>
      </c>
      <c r="S145" s="80">
        <v>0</v>
      </c>
      <c r="T145" s="80">
        <v>0</v>
      </c>
      <c r="U145" s="80">
        <v>0</v>
      </c>
      <c r="V145" s="81">
        <v>109877</v>
      </c>
      <c r="W145" s="79">
        <v>0</v>
      </c>
      <c r="X145" s="79">
        <v>3</v>
      </c>
      <c r="Y145" s="11" t="str">
        <f ca="1">IF(ISBLANK(BudgetsTable[[#This Row],[budg_seq_yr]]),"FY"&amp;fiscalyear,"FY"&amp;fiscalyear-1+BudgetsTable[[#This Row],[budg_seq_yr]])</f>
        <v>FY20</v>
      </c>
      <c r="Z145" s="80">
        <v>109877</v>
      </c>
      <c r="AA145" s="79" t="s">
        <v>477</v>
      </c>
      <c r="AB145" s="79" t="s">
        <v>582</v>
      </c>
      <c r="AC145" s="77" t="s">
        <v>94</v>
      </c>
      <c r="AD145" s="79" t="s">
        <v>1469</v>
      </c>
    </row>
    <row r="146" spans="1:30" x14ac:dyDescent="0.4">
      <c r="A146" s="10" t="s">
        <v>896</v>
      </c>
      <c r="B146" s="77" t="s">
        <v>95</v>
      </c>
      <c r="C146" s="77">
        <f>C145+(BudgetsTable[[#This Row],[lead]]&lt;&gt;K145)</f>
        <v>34</v>
      </c>
      <c r="D146" s="77">
        <f>D145*(BudgetsTable[[#This Row],[lead]]=K145)+(BudgetsTable[[#This Row],[prop_id]]&lt;&gt;A145)</f>
        <v>1</v>
      </c>
      <c r="E146" s="78">
        <v>42935.536805555559</v>
      </c>
      <c r="F146" s="79" t="s">
        <v>1430</v>
      </c>
      <c r="G146" s="79" t="s">
        <v>477</v>
      </c>
      <c r="H146" s="79" t="s">
        <v>582</v>
      </c>
      <c r="I146" s="77" t="s">
        <v>611</v>
      </c>
      <c r="J146" s="77" t="s">
        <v>13</v>
      </c>
      <c r="K146" s="79" t="s">
        <v>896</v>
      </c>
      <c r="L146" s="7" t="str">
        <f>IF(BudgetsTable[[#This Row],[pi_last_name]]=" ","",HYPERLINK("https://www.ejacket.nsf.gov/ej/showProposal.do?Continue=Y&amp;ID="&amp;BudgetsTable[[#This Row],[prop_id]],BudgetsTable[[#This Row],[prop_id]]))</f>
        <v/>
      </c>
      <c r="M146" s="15" t="str">
        <f>IF(BudgetsTable[[#This Row],[pi_last_name]]=" ","",HYPERLINK("https://www.ejacket.nsf.gov/ej/processReviewAnalysis.do?dispatch=add&amp;uniqId="&amp;BudgetsTable[[#This Row],[prop_id]]&amp;PO_id,"&gt;ra"))</f>
        <v/>
      </c>
      <c r="N146" s="79" t="s">
        <v>13</v>
      </c>
      <c r="O146" s="7" t="str">
        <f>IF(BudgetsTable[[#This Row],[pi_last_name]]=" ","",HYPERLINK("mailto:"&amp;BudgetsTable[[#This Row],[pi_email]]&amp;"&amp;subject=Your NSF Proposal:  "&amp;BudgetsTable[[#This Row],[prop_id]],BudgetsTable[[#This Row],[pi_email]]))</f>
        <v/>
      </c>
      <c r="P146" s="79" t="s">
        <v>13</v>
      </c>
      <c r="Q146" s="79">
        <v>1</v>
      </c>
      <c r="R146" s="79">
        <v>1</v>
      </c>
      <c r="S146" s="80">
        <v>0</v>
      </c>
      <c r="T146" s="80">
        <v>0</v>
      </c>
      <c r="U146" s="80">
        <v>0</v>
      </c>
      <c r="V146" s="81">
        <v>113336</v>
      </c>
      <c r="W146" s="79">
        <v>0</v>
      </c>
      <c r="X146" s="79">
        <v>4</v>
      </c>
      <c r="Y146" s="11" t="str">
        <f ca="1">IF(ISBLANK(BudgetsTable[[#This Row],[budg_seq_yr]]),"FY"&amp;fiscalyear,"FY"&amp;fiscalyear-1+BudgetsTable[[#This Row],[budg_seq_yr]])</f>
        <v>FY21</v>
      </c>
      <c r="Z146" s="80">
        <v>113336</v>
      </c>
      <c r="AA146" s="79" t="s">
        <v>477</v>
      </c>
      <c r="AB146" s="79" t="s">
        <v>582</v>
      </c>
      <c r="AC146" s="77" t="s">
        <v>94</v>
      </c>
      <c r="AD146" s="79" t="s">
        <v>1469</v>
      </c>
    </row>
    <row r="147" spans="1:30" x14ac:dyDescent="0.4">
      <c r="A147" s="10" t="s">
        <v>896</v>
      </c>
      <c r="B147" s="77" t="s">
        <v>95</v>
      </c>
      <c r="C147" s="77">
        <f>C146+(BudgetsTable[[#This Row],[lead]]&lt;&gt;K146)</f>
        <v>34</v>
      </c>
      <c r="D147" s="77">
        <f>D146*(BudgetsTable[[#This Row],[lead]]=K146)+(BudgetsTable[[#This Row],[prop_id]]&lt;&gt;A146)</f>
        <v>1</v>
      </c>
      <c r="E147" s="78">
        <v>42935.536805555559</v>
      </c>
      <c r="F147" s="79" t="s">
        <v>1430</v>
      </c>
      <c r="G147" s="79" t="s">
        <v>477</v>
      </c>
      <c r="H147" s="79" t="s">
        <v>582</v>
      </c>
      <c r="I147" s="77" t="s">
        <v>611</v>
      </c>
      <c r="J147" s="77" t="s">
        <v>13</v>
      </c>
      <c r="K147" s="79" t="s">
        <v>896</v>
      </c>
      <c r="L147" s="7" t="str">
        <f>IF(BudgetsTable[[#This Row],[pi_last_name]]=" ","",HYPERLINK("https://www.ejacket.nsf.gov/ej/showProposal.do?Continue=Y&amp;ID="&amp;BudgetsTable[[#This Row],[prop_id]],BudgetsTable[[#This Row],[prop_id]]))</f>
        <v/>
      </c>
      <c r="M147" s="15" t="str">
        <f>IF(BudgetsTable[[#This Row],[pi_last_name]]=" ","",HYPERLINK("https://www.ejacket.nsf.gov/ej/processReviewAnalysis.do?dispatch=add&amp;uniqId="&amp;BudgetsTable[[#This Row],[prop_id]]&amp;PO_id,"&gt;ra"))</f>
        <v/>
      </c>
      <c r="N147" s="79" t="s">
        <v>13</v>
      </c>
      <c r="O147" s="7" t="str">
        <f>IF(BudgetsTable[[#This Row],[pi_last_name]]=" ","",HYPERLINK("mailto:"&amp;BudgetsTable[[#This Row],[pi_email]]&amp;"&amp;subject=Your NSF Proposal:  "&amp;BudgetsTable[[#This Row],[prop_id]],BudgetsTable[[#This Row],[pi_email]]))</f>
        <v/>
      </c>
      <c r="P147" s="79" t="s">
        <v>13</v>
      </c>
      <c r="Q147" s="79">
        <v>1</v>
      </c>
      <c r="R147" s="79">
        <v>1</v>
      </c>
      <c r="S147" s="80">
        <v>0</v>
      </c>
      <c r="T147" s="80">
        <v>0</v>
      </c>
      <c r="U147" s="80">
        <v>0</v>
      </c>
      <c r="V147" s="81">
        <v>116923</v>
      </c>
      <c r="W147" s="79">
        <v>0</v>
      </c>
      <c r="X147" s="79">
        <v>5</v>
      </c>
      <c r="Y147" s="11" t="str">
        <f ca="1">IF(ISBLANK(BudgetsTable[[#This Row],[budg_seq_yr]]),"FY"&amp;fiscalyear,"FY"&amp;fiscalyear-1+BudgetsTable[[#This Row],[budg_seq_yr]])</f>
        <v>FY22</v>
      </c>
      <c r="Z147" s="80">
        <v>116923</v>
      </c>
      <c r="AA147" s="79" t="s">
        <v>477</v>
      </c>
      <c r="AB147" s="79" t="s">
        <v>582</v>
      </c>
      <c r="AC147" s="77" t="s">
        <v>94</v>
      </c>
      <c r="AD147" s="79" t="s">
        <v>1469</v>
      </c>
    </row>
    <row r="148" spans="1:30" x14ac:dyDescent="0.4">
      <c r="A148" s="10" t="s">
        <v>927</v>
      </c>
      <c r="B148" s="77" t="s">
        <v>95</v>
      </c>
      <c r="C148" s="77">
        <f>C147+(BudgetsTable[[#This Row],[lead]]&lt;&gt;K147)</f>
        <v>35</v>
      </c>
      <c r="D148" s="77">
        <f>D147*(BudgetsTable[[#This Row],[lead]]=K147)+(BudgetsTable[[#This Row],[prop_id]]&lt;&gt;A147)</f>
        <v>1</v>
      </c>
      <c r="E148" s="78">
        <v>42935.54583333333</v>
      </c>
      <c r="F148" s="79" t="s">
        <v>1430</v>
      </c>
      <c r="G148" s="79" t="s">
        <v>477</v>
      </c>
      <c r="H148" s="79" t="s">
        <v>582</v>
      </c>
      <c r="I148" s="77" t="s">
        <v>654</v>
      </c>
      <c r="J148" s="77" t="s">
        <v>1553</v>
      </c>
      <c r="K148" s="79" t="s">
        <v>927</v>
      </c>
      <c r="L148" s="7" t="str">
        <f>IF(BudgetsTable[[#This Row],[pi_last_name]]=" ","",HYPERLINK("https://www.ejacket.nsf.gov/ej/showProposal.do?Continue=Y&amp;ID="&amp;BudgetsTable[[#This Row],[prop_id]],BudgetsTable[[#This Row],[prop_id]]))</f>
        <v>1750463</v>
      </c>
      <c r="M148" s="15" t="e">
        <f>IF(BudgetsTable[[#This Row],[pi_last_name]]=" ","",HYPERLINK("https://www.ejacket.nsf.gov/ej/processReviewAnalysis.do?dispatch=add&amp;uniqId="&amp;BudgetsTable[[#This Row],[prop_id]]&amp;PO_id,"&gt;ra"))</f>
        <v>#REF!</v>
      </c>
      <c r="N148" s="79" t="s">
        <v>928</v>
      </c>
      <c r="O148" s="7" t="str">
        <f>IF(BudgetsTable[[#This Row],[pi_last_name]]=" ","",HYPERLINK("mailto:"&amp;BudgetsTable[[#This Row],[pi_email]]&amp;"&amp;subject=Your NSF Proposal:  "&amp;BudgetsTable[[#This Row],[prop_id]],BudgetsTable[[#This Row],[pi_email]]))</f>
        <v>sharathr@vt.edu</v>
      </c>
      <c r="P148" s="79" t="s">
        <v>1550</v>
      </c>
      <c r="Q148" s="79"/>
      <c r="R148" s="79"/>
      <c r="S148" s="80"/>
      <c r="T148" s="80"/>
      <c r="U148" s="80"/>
      <c r="V148" s="81"/>
      <c r="W148" s="79">
        <v>0</v>
      </c>
      <c r="X148" s="79"/>
      <c r="Y148" s="11" t="str">
        <f ca="1">IF(ISBLANK(BudgetsTable[[#This Row],[budg_seq_yr]]),"FY"&amp;fiscalyear,"FY"&amp;fiscalyear-1+BudgetsTable[[#This Row],[budg_seq_yr]])</f>
        <v>FY18</v>
      </c>
      <c r="Z148" s="80">
        <v>533991</v>
      </c>
      <c r="AA148" s="79" t="s">
        <v>477</v>
      </c>
      <c r="AB148" s="79" t="s">
        <v>582</v>
      </c>
      <c r="AC148" s="77" t="s">
        <v>94</v>
      </c>
      <c r="AD148" s="79" t="s">
        <v>1432</v>
      </c>
    </row>
    <row r="149" spans="1:30" x14ac:dyDescent="0.4">
      <c r="A149" s="10" t="s">
        <v>927</v>
      </c>
      <c r="B149" s="77" t="s">
        <v>95</v>
      </c>
      <c r="C149" s="77">
        <f>C148+(BudgetsTable[[#This Row],[lead]]&lt;&gt;K148)</f>
        <v>35</v>
      </c>
      <c r="D149" s="77">
        <f>D148*(BudgetsTable[[#This Row],[lead]]=K148)+(BudgetsTable[[#This Row],[prop_id]]&lt;&gt;A148)</f>
        <v>1</v>
      </c>
      <c r="E149" s="78">
        <v>42935.54583333333</v>
      </c>
      <c r="F149" s="79" t="s">
        <v>1430</v>
      </c>
      <c r="G149" s="79" t="s">
        <v>477</v>
      </c>
      <c r="H149" s="79" t="s">
        <v>582</v>
      </c>
      <c r="I149" s="77" t="s">
        <v>654</v>
      </c>
      <c r="J149" s="77" t="s">
        <v>13</v>
      </c>
      <c r="K149" s="79" t="s">
        <v>927</v>
      </c>
      <c r="L149" s="7" t="str">
        <f>IF(BudgetsTable[[#This Row],[pi_last_name]]=" ","",HYPERLINK("https://www.ejacket.nsf.gov/ej/showProposal.do?Continue=Y&amp;ID="&amp;BudgetsTable[[#This Row],[prop_id]],BudgetsTable[[#This Row],[prop_id]]))</f>
        <v/>
      </c>
      <c r="M149" s="15" t="str">
        <f>IF(BudgetsTable[[#This Row],[pi_last_name]]=" ","",HYPERLINK("https://www.ejacket.nsf.gov/ej/processReviewAnalysis.do?dispatch=add&amp;uniqId="&amp;BudgetsTable[[#This Row],[prop_id]]&amp;PO_id,"&gt;ra"))</f>
        <v/>
      </c>
      <c r="N149" s="79" t="s">
        <v>13</v>
      </c>
      <c r="O149" s="7" t="str">
        <f>IF(BudgetsTable[[#This Row],[pi_last_name]]=" ","",HYPERLINK("mailto:"&amp;BudgetsTable[[#This Row],[pi_email]]&amp;"&amp;subject=Your NSF Proposal:  "&amp;BudgetsTable[[#This Row],[prop_id]],BudgetsTable[[#This Row],[pi_email]]))</f>
        <v/>
      </c>
      <c r="P149" s="79" t="s">
        <v>13</v>
      </c>
      <c r="Q149" s="79">
        <v>1</v>
      </c>
      <c r="R149" s="79">
        <v>1.5</v>
      </c>
      <c r="S149" s="80">
        <v>0</v>
      </c>
      <c r="T149" s="80">
        <v>0</v>
      </c>
      <c r="U149" s="80">
        <v>0</v>
      </c>
      <c r="V149" s="81">
        <v>104160</v>
      </c>
      <c r="W149" s="79">
        <v>0</v>
      </c>
      <c r="X149" s="79">
        <v>1</v>
      </c>
      <c r="Y149" s="11" t="str">
        <f ca="1">IF(ISBLANK(BudgetsTable[[#This Row],[budg_seq_yr]]),"FY"&amp;fiscalyear,"FY"&amp;fiscalyear-1+BudgetsTable[[#This Row],[budg_seq_yr]])</f>
        <v>FY18</v>
      </c>
      <c r="Z149" s="80">
        <v>104160</v>
      </c>
      <c r="AA149" s="79" t="s">
        <v>477</v>
      </c>
      <c r="AB149" s="79" t="s">
        <v>582</v>
      </c>
      <c r="AC149" s="77" t="s">
        <v>94</v>
      </c>
      <c r="AD149" s="79" t="s">
        <v>1432</v>
      </c>
    </row>
    <row r="150" spans="1:30" x14ac:dyDescent="0.4">
      <c r="A150" s="10" t="s">
        <v>927</v>
      </c>
      <c r="B150" s="77" t="s">
        <v>95</v>
      </c>
      <c r="C150" s="77">
        <f>C149+(BudgetsTable[[#This Row],[lead]]&lt;&gt;K149)</f>
        <v>35</v>
      </c>
      <c r="D150" s="77">
        <f>D149*(BudgetsTable[[#This Row],[lead]]=K149)+(BudgetsTable[[#This Row],[prop_id]]&lt;&gt;A149)</f>
        <v>1</v>
      </c>
      <c r="E150" s="78">
        <v>42935.54583333333</v>
      </c>
      <c r="F150" s="79" t="s">
        <v>1430</v>
      </c>
      <c r="G150" s="79" t="s">
        <v>477</v>
      </c>
      <c r="H150" s="79" t="s">
        <v>582</v>
      </c>
      <c r="I150" s="77" t="s">
        <v>654</v>
      </c>
      <c r="J150" s="77" t="s">
        <v>13</v>
      </c>
      <c r="K150" s="79" t="s">
        <v>927</v>
      </c>
      <c r="L150" s="7" t="str">
        <f>IF(BudgetsTable[[#This Row],[pi_last_name]]=" ","",HYPERLINK("https://www.ejacket.nsf.gov/ej/showProposal.do?Continue=Y&amp;ID="&amp;BudgetsTable[[#This Row],[prop_id]],BudgetsTable[[#This Row],[prop_id]]))</f>
        <v/>
      </c>
      <c r="M150" s="15" t="str">
        <f>IF(BudgetsTable[[#This Row],[pi_last_name]]=" ","",HYPERLINK("https://www.ejacket.nsf.gov/ej/processReviewAnalysis.do?dispatch=add&amp;uniqId="&amp;BudgetsTable[[#This Row],[prop_id]]&amp;PO_id,"&gt;ra"))</f>
        <v/>
      </c>
      <c r="N150" s="79" t="s">
        <v>13</v>
      </c>
      <c r="O150" s="7" t="str">
        <f>IF(BudgetsTable[[#This Row],[pi_last_name]]=" ","",HYPERLINK("mailto:"&amp;BudgetsTable[[#This Row],[pi_email]]&amp;"&amp;subject=Your NSF Proposal:  "&amp;BudgetsTable[[#This Row],[prop_id]],BudgetsTable[[#This Row],[pi_email]]))</f>
        <v/>
      </c>
      <c r="P150" s="79" t="s">
        <v>13</v>
      </c>
      <c r="Q150" s="79">
        <v>1</v>
      </c>
      <c r="R150" s="79">
        <v>1.5</v>
      </c>
      <c r="S150" s="80">
        <v>0</v>
      </c>
      <c r="T150" s="80">
        <v>0</v>
      </c>
      <c r="U150" s="80">
        <v>0</v>
      </c>
      <c r="V150" s="81">
        <v>102988</v>
      </c>
      <c r="W150" s="79">
        <v>0</v>
      </c>
      <c r="X150" s="79">
        <v>2</v>
      </c>
      <c r="Y150" s="11" t="str">
        <f ca="1">IF(ISBLANK(BudgetsTable[[#This Row],[budg_seq_yr]]),"FY"&amp;fiscalyear,"FY"&amp;fiscalyear-1+BudgetsTable[[#This Row],[budg_seq_yr]])</f>
        <v>FY19</v>
      </c>
      <c r="Z150" s="80">
        <v>102988</v>
      </c>
      <c r="AA150" s="79" t="s">
        <v>477</v>
      </c>
      <c r="AB150" s="79" t="s">
        <v>582</v>
      </c>
      <c r="AC150" s="77" t="s">
        <v>94</v>
      </c>
      <c r="AD150" s="79" t="s">
        <v>1432</v>
      </c>
    </row>
    <row r="151" spans="1:30" x14ac:dyDescent="0.4">
      <c r="A151" s="10" t="s">
        <v>927</v>
      </c>
      <c r="B151" s="77" t="s">
        <v>95</v>
      </c>
      <c r="C151" s="77">
        <f>C150+(BudgetsTable[[#This Row],[lead]]&lt;&gt;K150)</f>
        <v>35</v>
      </c>
      <c r="D151" s="77">
        <f>D150*(BudgetsTable[[#This Row],[lead]]=K150)+(BudgetsTable[[#This Row],[prop_id]]&lt;&gt;A150)</f>
        <v>1</v>
      </c>
      <c r="E151" s="78">
        <v>42935.54583333333</v>
      </c>
      <c r="F151" s="79" t="s">
        <v>1430</v>
      </c>
      <c r="G151" s="79" t="s">
        <v>477</v>
      </c>
      <c r="H151" s="79" t="s">
        <v>582</v>
      </c>
      <c r="I151" s="77" t="s">
        <v>654</v>
      </c>
      <c r="J151" s="77" t="s">
        <v>13</v>
      </c>
      <c r="K151" s="79" t="s">
        <v>927</v>
      </c>
      <c r="L151" s="7" t="str">
        <f>IF(BudgetsTable[[#This Row],[pi_last_name]]=" ","",HYPERLINK("https://www.ejacket.nsf.gov/ej/showProposal.do?Continue=Y&amp;ID="&amp;BudgetsTable[[#This Row],[prop_id]],BudgetsTable[[#This Row],[prop_id]]))</f>
        <v/>
      </c>
      <c r="M151" s="15" t="str">
        <f>IF(BudgetsTable[[#This Row],[pi_last_name]]=" ","",HYPERLINK("https://www.ejacket.nsf.gov/ej/processReviewAnalysis.do?dispatch=add&amp;uniqId="&amp;BudgetsTable[[#This Row],[prop_id]]&amp;PO_id,"&gt;ra"))</f>
        <v/>
      </c>
      <c r="N151" s="79" t="s">
        <v>13</v>
      </c>
      <c r="O151" s="7" t="str">
        <f>IF(BudgetsTable[[#This Row],[pi_last_name]]=" ","",HYPERLINK("mailto:"&amp;BudgetsTable[[#This Row],[pi_email]]&amp;"&amp;subject=Your NSF Proposal:  "&amp;BudgetsTable[[#This Row],[prop_id]],BudgetsTable[[#This Row],[pi_email]]))</f>
        <v/>
      </c>
      <c r="P151" s="79" t="s">
        <v>13</v>
      </c>
      <c r="Q151" s="79">
        <v>1</v>
      </c>
      <c r="R151" s="79">
        <v>1.5</v>
      </c>
      <c r="S151" s="80">
        <v>0</v>
      </c>
      <c r="T151" s="80">
        <v>2500</v>
      </c>
      <c r="U151" s="80">
        <v>0</v>
      </c>
      <c r="V151" s="81">
        <v>115813</v>
      </c>
      <c r="W151" s="79">
        <v>0</v>
      </c>
      <c r="X151" s="79">
        <v>3</v>
      </c>
      <c r="Y151" s="11" t="str">
        <f ca="1">IF(ISBLANK(BudgetsTable[[#This Row],[budg_seq_yr]]),"FY"&amp;fiscalyear,"FY"&amp;fiscalyear-1+BudgetsTable[[#This Row],[budg_seq_yr]])</f>
        <v>FY20</v>
      </c>
      <c r="Z151" s="80">
        <v>115813</v>
      </c>
      <c r="AA151" s="79" t="s">
        <v>477</v>
      </c>
      <c r="AB151" s="79" t="s">
        <v>582</v>
      </c>
      <c r="AC151" s="77" t="s">
        <v>94</v>
      </c>
      <c r="AD151" s="79" t="s">
        <v>1432</v>
      </c>
    </row>
    <row r="152" spans="1:30" x14ac:dyDescent="0.4">
      <c r="A152" s="10" t="s">
        <v>927</v>
      </c>
      <c r="B152" s="77" t="s">
        <v>95</v>
      </c>
      <c r="C152" s="77">
        <f>C151+(BudgetsTable[[#This Row],[lead]]&lt;&gt;K151)</f>
        <v>35</v>
      </c>
      <c r="D152" s="77">
        <f>D151*(BudgetsTable[[#This Row],[lead]]=K151)+(BudgetsTable[[#This Row],[prop_id]]&lt;&gt;A151)</f>
        <v>1</v>
      </c>
      <c r="E152" s="78">
        <v>42935.54583333333</v>
      </c>
      <c r="F152" s="79" t="s">
        <v>1430</v>
      </c>
      <c r="G152" s="79" t="s">
        <v>477</v>
      </c>
      <c r="H152" s="79" t="s">
        <v>582</v>
      </c>
      <c r="I152" s="77" t="s">
        <v>654</v>
      </c>
      <c r="J152" s="77" t="s">
        <v>13</v>
      </c>
      <c r="K152" s="79" t="s">
        <v>927</v>
      </c>
      <c r="L152" s="7" t="str">
        <f>IF(BudgetsTable[[#This Row],[pi_last_name]]=" ","",HYPERLINK("https://www.ejacket.nsf.gov/ej/showProposal.do?Continue=Y&amp;ID="&amp;BudgetsTable[[#This Row],[prop_id]],BudgetsTable[[#This Row],[prop_id]]))</f>
        <v/>
      </c>
      <c r="M152" s="15" t="str">
        <f>IF(BudgetsTable[[#This Row],[pi_last_name]]=" ","",HYPERLINK("https://www.ejacket.nsf.gov/ej/processReviewAnalysis.do?dispatch=add&amp;uniqId="&amp;BudgetsTable[[#This Row],[prop_id]]&amp;PO_id,"&gt;ra"))</f>
        <v/>
      </c>
      <c r="N152" s="79" t="s">
        <v>13</v>
      </c>
      <c r="O152" s="7" t="str">
        <f>IF(BudgetsTable[[#This Row],[pi_last_name]]=" ","",HYPERLINK("mailto:"&amp;BudgetsTable[[#This Row],[pi_email]]&amp;"&amp;subject=Your NSF Proposal:  "&amp;BudgetsTable[[#This Row],[prop_id]],BudgetsTable[[#This Row],[pi_email]]))</f>
        <v/>
      </c>
      <c r="P152" s="79" t="s">
        <v>13</v>
      </c>
      <c r="Q152" s="79">
        <v>1</v>
      </c>
      <c r="R152" s="79">
        <v>1</v>
      </c>
      <c r="S152" s="80">
        <v>0</v>
      </c>
      <c r="T152" s="80">
        <v>2500</v>
      </c>
      <c r="U152" s="80">
        <v>0</v>
      </c>
      <c r="V152" s="81">
        <v>103682</v>
      </c>
      <c r="W152" s="79">
        <v>0</v>
      </c>
      <c r="X152" s="79">
        <v>4</v>
      </c>
      <c r="Y152" s="11" t="str">
        <f ca="1">IF(ISBLANK(BudgetsTable[[#This Row],[budg_seq_yr]]),"FY"&amp;fiscalyear,"FY"&amp;fiscalyear-1+BudgetsTable[[#This Row],[budg_seq_yr]])</f>
        <v>FY21</v>
      </c>
      <c r="Z152" s="80">
        <v>103682</v>
      </c>
      <c r="AA152" s="79" t="s">
        <v>477</v>
      </c>
      <c r="AB152" s="79" t="s">
        <v>582</v>
      </c>
      <c r="AC152" s="77" t="s">
        <v>94</v>
      </c>
      <c r="AD152" s="79" t="s">
        <v>1432</v>
      </c>
    </row>
    <row r="153" spans="1:30" x14ac:dyDescent="0.4">
      <c r="A153" s="10" t="s">
        <v>927</v>
      </c>
      <c r="B153" s="77" t="s">
        <v>95</v>
      </c>
      <c r="C153" s="77">
        <f>C152+(BudgetsTable[[#This Row],[lead]]&lt;&gt;K152)</f>
        <v>35</v>
      </c>
      <c r="D153" s="77">
        <f>D152*(BudgetsTable[[#This Row],[lead]]=K152)+(BudgetsTable[[#This Row],[prop_id]]&lt;&gt;A152)</f>
        <v>1</v>
      </c>
      <c r="E153" s="78">
        <v>42935.54583333333</v>
      </c>
      <c r="F153" s="79" t="s">
        <v>1430</v>
      </c>
      <c r="G153" s="79" t="s">
        <v>477</v>
      </c>
      <c r="H153" s="79" t="s">
        <v>582</v>
      </c>
      <c r="I153" s="77" t="s">
        <v>654</v>
      </c>
      <c r="J153" s="77" t="s">
        <v>13</v>
      </c>
      <c r="K153" s="79" t="s">
        <v>927</v>
      </c>
      <c r="L153" s="7" t="str">
        <f>IF(BudgetsTable[[#This Row],[pi_last_name]]=" ","",HYPERLINK("https://www.ejacket.nsf.gov/ej/showProposal.do?Continue=Y&amp;ID="&amp;BudgetsTable[[#This Row],[prop_id]],BudgetsTable[[#This Row],[prop_id]]))</f>
        <v/>
      </c>
      <c r="M153" s="15" t="str">
        <f>IF(BudgetsTable[[#This Row],[pi_last_name]]=" ","",HYPERLINK("https://www.ejacket.nsf.gov/ej/processReviewAnalysis.do?dispatch=add&amp;uniqId="&amp;BudgetsTable[[#This Row],[prop_id]]&amp;PO_id,"&gt;ra"))</f>
        <v/>
      </c>
      <c r="N153" s="79" t="s">
        <v>13</v>
      </c>
      <c r="O153" s="7" t="str">
        <f>IF(BudgetsTable[[#This Row],[pi_last_name]]=" ","",HYPERLINK("mailto:"&amp;BudgetsTable[[#This Row],[pi_email]]&amp;"&amp;subject=Your NSF Proposal:  "&amp;BudgetsTable[[#This Row],[prop_id]],BudgetsTable[[#This Row],[pi_email]]))</f>
        <v/>
      </c>
      <c r="P153" s="79" t="s">
        <v>13</v>
      </c>
      <c r="Q153" s="79">
        <v>1</v>
      </c>
      <c r="R153" s="79">
        <v>1</v>
      </c>
      <c r="S153" s="80">
        <v>0</v>
      </c>
      <c r="T153" s="80">
        <v>2500</v>
      </c>
      <c r="U153" s="80">
        <v>0</v>
      </c>
      <c r="V153" s="81">
        <v>107348</v>
      </c>
      <c r="W153" s="79">
        <v>0</v>
      </c>
      <c r="X153" s="79">
        <v>5</v>
      </c>
      <c r="Y153" s="11" t="str">
        <f ca="1">IF(ISBLANK(BudgetsTable[[#This Row],[budg_seq_yr]]),"FY"&amp;fiscalyear,"FY"&amp;fiscalyear-1+BudgetsTable[[#This Row],[budg_seq_yr]])</f>
        <v>FY22</v>
      </c>
      <c r="Z153" s="80">
        <v>107348</v>
      </c>
      <c r="AA153" s="79" t="s">
        <v>477</v>
      </c>
      <c r="AB153" s="79" t="s">
        <v>582</v>
      </c>
      <c r="AC153" s="77" t="s">
        <v>94</v>
      </c>
      <c r="AD153" s="79" t="s">
        <v>1432</v>
      </c>
    </row>
    <row r="154" spans="1:30" x14ac:dyDescent="0.4">
      <c r="A154" s="10" t="s">
        <v>936</v>
      </c>
      <c r="B154" s="77" t="s">
        <v>95</v>
      </c>
      <c r="C154" s="77">
        <f>C153+(BudgetsTable[[#This Row],[lead]]&lt;&gt;K153)</f>
        <v>36</v>
      </c>
      <c r="D154" s="77">
        <f>D153*(BudgetsTable[[#This Row],[lead]]=K153)+(BudgetsTable[[#This Row],[prop_id]]&lt;&gt;A153)</f>
        <v>1</v>
      </c>
      <c r="E154" s="78">
        <v>42935.576388888891</v>
      </c>
      <c r="F154" s="79" t="s">
        <v>1430</v>
      </c>
      <c r="G154" s="79" t="s">
        <v>477</v>
      </c>
      <c r="H154" s="79" t="s">
        <v>582</v>
      </c>
      <c r="I154" s="77" t="s">
        <v>611</v>
      </c>
      <c r="J154" s="77" t="s">
        <v>1557</v>
      </c>
      <c r="K154" s="79" t="s">
        <v>936</v>
      </c>
      <c r="L154" s="7" t="str">
        <f>IF(BudgetsTable[[#This Row],[pi_last_name]]=" ","",HYPERLINK("https://www.ejacket.nsf.gov/ej/showProposal.do?Continue=Y&amp;ID="&amp;BudgetsTable[[#This Row],[prop_id]],BudgetsTable[[#This Row],[prop_id]]))</f>
        <v>1750555</v>
      </c>
      <c r="M154" s="15" t="e">
        <f>IF(BudgetsTable[[#This Row],[pi_last_name]]=" ","",HYPERLINK("https://www.ejacket.nsf.gov/ej/processReviewAnalysis.do?dispatch=add&amp;uniqId="&amp;BudgetsTable[[#This Row],[prop_id]]&amp;PO_id,"&gt;ra"))</f>
        <v>#REF!</v>
      </c>
      <c r="N154" s="79" t="s">
        <v>937</v>
      </c>
      <c r="O154" s="7" t="str">
        <f>IF(BudgetsTable[[#This Row],[pi_last_name]]=" ","",HYPERLINK("mailto:"&amp;BudgetsTable[[#This Row],[pi_email]]&amp;"&amp;subject=Your NSF Proposal:  "&amp;BudgetsTable[[#This Row],[prop_id]],BudgetsTable[[#This Row],[pi_email]]))</f>
        <v xml:space="preserve"> hardt@eecs.berkeley.edu</v>
      </c>
      <c r="P154" s="79" t="s">
        <v>501</v>
      </c>
      <c r="Q154" s="79"/>
      <c r="R154" s="79"/>
      <c r="S154" s="80"/>
      <c r="T154" s="80"/>
      <c r="U154" s="80"/>
      <c r="V154" s="81"/>
      <c r="W154" s="79">
        <v>0</v>
      </c>
      <c r="X154" s="79"/>
      <c r="Y154" s="11" t="str">
        <f ca="1">IF(ISBLANK(BudgetsTable[[#This Row],[budg_seq_yr]]),"FY"&amp;fiscalyear,"FY"&amp;fiscalyear-1+BudgetsTable[[#This Row],[budg_seq_yr]])</f>
        <v>FY18</v>
      </c>
      <c r="Z154" s="80">
        <v>499434</v>
      </c>
      <c r="AA154" s="79" t="s">
        <v>477</v>
      </c>
      <c r="AB154" s="79" t="s">
        <v>582</v>
      </c>
      <c r="AC154" s="77" t="s">
        <v>94</v>
      </c>
      <c r="AD154" s="79" t="s">
        <v>1432</v>
      </c>
    </row>
    <row r="155" spans="1:30" x14ac:dyDescent="0.4">
      <c r="A155" s="10" t="s">
        <v>936</v>
      </c>
      <c r="B155" s="77" t="s">
        <v>95</v>
      </c>
      <c r="C155" s="77">
        <f>C154+(BudgetsTable[[#This Row],[lead]]&lt;&gt;K154)</f>
        <v>36</v>
      </c>
      <c r="D155" s="77">
        <f>D154*(BudgetsTable[[#This Row],[lead]]=K154)+(BudgetsTable[[#This Row],[prop_id]]&lt;&gt;A154)</f>
        <v>1</v>
      </c>
      <c r="E155" s="78">
        <v>42935.576388888891</v>
      </c>
      <c r="F155" s="79" t="s">
        <v>1430</v>
      </c>
      <c r="G155" s="79" t="s">
        <v>477</v>
      </c>
      <c r="H155" s="79" t="s">
        <v>582</v>
      </c>
      <c r="I155" s="77" t="s">
        <v>611</v>
      </c>
      <c r="J155" s="77" t="s">
        <v>13</v>
      </c>
      <c r="K155" s="79" t="s">
        <v>936</v>
      </c>
      <c r="L155" s="7" t="str">
        <f>IF(BudgetsTable[[#This Row],[pi_last_name]]=" ","",HYPERLINK("https://www.ejacket.nsf.gov/ej/showProposal.do?Continue=Y&amp;ID="&amp;BudgetsTable[[#This Row],[prop_id]],BudgetsTable[[#This Row],[prop_id]]))</f>
        <v/>
      </c>
      <c r="M155" s="15" t="str">
        <f>IF(BudgetsTable[[#This Row],[pi_last_name]]=" ","",HYPERLINK("https://www.ejacket.nsf.gov/ej/processReviewAnalysis.do?dispatch=add&amp;uniqId="&amp;BudgetsTable[[#This Row],[prop_id]]&amp;PO_id,"&gt;ra"))</f>
        <v/>
      </c>
      <c r="N155" s="79" t="s">
        <v>13</v>
      </c>
      <c r="O155" s="7" t="str">
        <f>IF(BudgetsTable[[#This Row],[pi_last_name]]=" ","",HYPERLINK("mailto:"&amp;BudgetsTable[[#This Row],[pi_email]]&amp;"&amp;subject=Your NSF Proposal:  "&amp;BudgetsTable[[#This Row],[prop_id]],BudgetsTable[[#This Row],[pi_email]]))</f>
        <v/>
      </c>
      <c r="P155" s="79" t="s">
        <v>13</v>
      </c>
      <c r="Q155" s="79">
        <v>1</v>
      </c>
      <c r="R155" s="79">
        <v>0.2</v>
      </c>
      <c r="S155" s="80">
        <v>0</v>
      </c>
      <c r="T155" s="80">
        <v>0</v>
      </c>
      <c r="U155" s="80">
        <v>0</v>
      </c>
      <c r="V155" s="81">
        <v>90466</v>
      </c>
      <c r="W155" s="79">
        <v>0</v>
      </c>
      <c r="X155" s="79">
        <v>1</v>
      </c>
      <c r="Y155" s="11" t="str">
        <f ca="1">IF(ISBLANK(BudgetsTable[[#This Row],[budg_seq_yr]]),"FY"&amp;fiscalyear,"FY"&amp;fiscalyear-1+BudgetsTable[[#This Row],[budg_seq_yr]])</f>
        <v>FY18</v>
      </c>
      <c r="Z155" s="80">
        <v>90466</v>
      </c>
      <c r="AA155" s="79" t="s">
        <v>477</v>
      </c>
      <c r="AB155" s="79" t="s">
        <v>582</v>
      </c>
      <c r="AC155" s="77" t="s">
        <v>94</v>
      </c>
      <c r="AD155" s="79" t="s">
        <v>1432</v>
      </c>
    </row>
    <row r="156" spans="1:30" x14ac:dyDescent="0.4">
      <c r="A156" s="10" t="s">
        <v>936</v>
      </c>
      <c r="B156" s="77" t="s">
        <v>95</v>
      </c>
      <c r="C156" s="77">
        <f>C155+(BudgetsTable[[#This Row],[lead]]&lt;&gt;K155)</f>
        <v>36</v>
      </c>
      <c r="D156" s="77">
        <f>D155*(BudgetsTable[[#This Row],[lead]]=K155)+(BudgetsTable[[#This Row],[prop_id]]&lt;&gt;A155)</f>
        <v>1</v>
      </c>
      <c r="E156" s="78">
        <v>42935.576388888891</v>
      </c>
      <c r="F156" s="79" t="s">
        <v>1430</v>
      </c>
      <c r="G156" s="79" t="s">
        <v>477</v>
      </c>
      <c r="H156" s="79" t="s">
        <v>582</v>
      </c>
      <c r="I156" s="77" t="s">
        <v>611</v>
      </c>
      <c r="J156" s="77" t="s">
        <v>13</v>
      </c>
      <c r="K156" s="79" t="s">
        <v>936</v>
      </c>
      <c r="L156" s="7" t="str">
        <f>IF(BudgetsTable[[#This Row],[pi_last_name]]=" ","",HYPERLINK("https://www.ejacket.nsf.gov/ej/showProposal.do?Continue=Y&amp;ID="&amp;BudgetsTable[[#This Row],[prop_id]],BudgetsTable[[#This Row],[prop_id]]))</f>
        <v/>
      </c>
      <c r="M156" s="15" t="str">
        <f>IF(BudgetsTable[[#This Row],[pi_last_name]]=" ","",HYPERLINK("https://www.ejacket.nsf.gov/ej/processReviewAnalysis.do?dispatch=add&amp;uniqId="&amp;BudgetsTable[[#This Row],[prop_id]]&amp;PO_id,"&gt;ra"))</f>
        <v/>
      </c>
      <c r="N156" s="79" t="s">
        <v>13</v>
      </c>
      <c r="O156" s="7" t="str">
        <f>IF(BudgetsTable[[#This Row],[pi_last_name]]=" ","",HYPERLINK("mailto:"&amp;BudgetsTable[[#This Row],[pi_email]]&amp;"&amp;subject=Your NSF Proposal:  "&amp;BudgetsTable[[#This Row],[prop_id]],BudgetsTable[[#This Row],[pi_email]]))</f>
        <v/>
      </c>
      <c r="P156" s="79" t="s">
        <v>13</v>
      </c>
      <c r="Q156" s="79">
        <v>1</v>
      </c>
      <c r="R156" s="79">
        <v>0.2</v>
      </c>
      <c r="S156" s="80">
        <v>0</v>
      </c>
      <c r="T156" s="80">
        <v>0</v>
      </c>
      <c r="U156" s="80">
        <v>0</v>
      </c>
      <c r="V156" s="81">
        <v>95197</v>
      </c>
      <c r="W156" s="79">
        <v>0</v>
      </c>
      <c r="X156" s="79">
        <v>2</v>
      </c>
      <c r="Y156" s="11" t="str">
        <f ca="1">IF(ISBLANK(BudgetsTable[[#This Row],[budg_seq_yr]]),"FY"&amp;fiscalyear,"FY"&amp;fiscalyear-1+BudgetsTable[[#This Row],[budg_seq_yr]])</f>
        <v>FY19</v>
      </c>
      <c r="Z156" s="80">
        <v>95197</v>
      </c>
      <c r="AA156" s="79" t="s">
        <v>477</v>
      </c>
      <c r="AB156" s="79" t="s">
        <v>582</v>
      </c>
      <c r="AC156" s="77" t="s">
        <v>94</v>
      </c>
      <c r="AD156" s="79" t="s">
        <v>1432</v>
      </c>
    </row>
    <row r="157" spans="1:30" x14ac:dyDescent="0.4">
      <c r="A157" s="10" t="s">
        <v>936</v>
      </c>
      <c r="B157" s="77" t="s">
        <v>95</v>
      </c>
      <c r="C157" s="77">
        <f>C156+(BudgetsTable[[#This Row],[lead]]&lt;&gt;K156)</f>
        <v>36</v>
      </c>
      <c r="D157" s="77">
        <f>D156*(BudgetsTable[[#This Row],[lead]]=K156)+(BudgetsTable[[#This Row],[prop_id]]&lt;&gt;A156)</f>
        <v>1</v>
      </c>
      <c r="E157" s="78">
        <v>42935.576388888891</v>
      </c>
      <c r="F157" s="79" t="s">
        <v>1430</v>
      </c>
      <c r="G157" s="79" t="s">
        <v>477</v>
      </c>
      <c r="H157" s="79" t="s">
        <v>582</v>
      </c>
      <c r="I157" s="77" t="s">
        <v>611</v>
      </c>
      <c r="J157" s="77" t="s">
        <v>13</v>
      </c>
      <c r="K157" s="79" t="s">
        <v>936</v>
      </c>
      <c r="L157" s="7" t="str">
        <f>IF(BudgetsTable[[#This Row],[pi_last_name]]=" ","",HYPERLINK("https://www.ejacket.nsf.gov/ej/showProposal.do?Continue=Y&amp;ID="&amp;BudgetsTable[[#This Row],[prop_id]],BudgetsTable[[#This Row],[prop_id]]))</f>
        <v/>
      </c>
      <c r="M157" s="15" t="str">
        <f>IF(BudgetsTable[[#This Row],[pi_last_name]]=" ","",HYPERLINK("https://www.ejacket.nsf.gov/ej/processReviewAnalysis.do?dispatch=add&amp;uniqId="&amp;BudgetsTable[[#This Row],[prop_id]]&amp;PO_id,"&gt;ra"))</f>
        <v/>
      </c>
      <c r="N157" s="79" t="s">
        <v>13</v>
      </c>
      <c r="O157" s="7" t="str">
        <f>IF(BudgetsTable[[#This Row],[pi_last_name]]=" ","",HYPERLINK("mailto:"&amp;BudgetsTable[[#This Row],[pi_email]]&amp;"&amp;subject=Your NSF Proposal:  "&amp;BudgetsTable[[#This Row],[prop_id]],BudgetsTable[[#This Row],[pi_email]]))</f>
        <v/>
      </c>
      <c r="P157" s="79" t="s">
        <v>13</v>
      </c>
      <c r="Q157" s="79">
        <v>1</v>
      </c>
      <c r="R157" s="79">
        <v>0.2</v>
      </c>
      <c r="S157" s="80">
        <v>0</v>
      </c>
      <c r="T157" s="80">
        <v>0</v>
      </c>
      <c r="U157" s="80">
        <v>0</v>
      </c>
      <c r="V157" s="81">
        <v>100235</v>
      </c>
      <c r="W157" s="79">
        <v>0</v>
      </c>
      <c r="X157" s="79">
        <v>3</v>
      </c>
      <c r="Y157" s="11" t="str">
        <f ca="1">IF(ISBLANK(BudgetsTable[[#This Row],[budg_seq_yr]]),"FY"&amp;fiscalyear,"FY"&amp;fiscalyear-1+BudgetsTable[[#This Row],[budg_seq_yr]])</f>
        <v>FY20</v>
      </c>
      <c r="Z157" s="80">
        <v>100235</v>
      </c>
      <c r="AA157" s="79" t="s">
        <v>477</v>
      </c>
      <c r="AB157" s="79" t="s">
        <v>582</v>
      </c>
      <c r="AC157" s="77" t="s">
        <v>94</v>
      </c>
      <c r="AD157" s="79" t="s">
        <v>1432</v>
      </c>
    </row>
    <row r="158" spans="1:30" x14ac:dyDescent="0.4">
      <c r="A158" s="10" t="s">
        <v>936</v>
      </c>
      <c r="B158" s="77" t="s">
        <v>95</v>
      </c>
      <c r="C158" s="77">
        <f>C157+(BudgetsTable[[#This Row],[lead]]&lt;&gt;K157)</f>
        <v>36</v>
      </c>
      <c r="D158" s="77">
        <f>D157*(BudgetsTable[[#This Row],[lead]]=K157)+(BudgetsTable[[#This Row],[prop_id]]&lt;&gt;A157)</f>
        <v>1</v>
      </c>
      <c r="E158" s="78">
        <v>42935.576388888891</v>
      </c>
      <c r="F158" s="79" t="s">
        <v>1430</v>
      </c>
      <c r="G158" s="79" t="s">
        <v>477</v>
      </c>
      <c r="H158" s="79" t="s">
        <v>582</v>
      </c>
      <c r="I158" s="77" t="s">
        <v>611</v>
      </c>
      <c r="J158" s="77" t="s">
        <v>13</v>
      </c>
      <c r="K158" s="79" t="s">
        <v>936</v>
      </c>
      <c r="L158" s="7" t="str">
        <f>IF(BudgetsTable[[#This Row],[pi_last_name]]=" ","",HYPERLINK("https://www.ejacket.nsf.gov/ej/showProposal.do?Continue=Y&amp;ID="&amp;BudgetsTable[[#This Row],[prop_id]],BudgetsTable[[#This Row],[prop_id]]))</f>
        <v/>
      </c>
      <c r="M158" s="15" t="str">
        <f>IF(BudgetsTable[[#This Row],[pi_last_name]]=" ","",HYPERLINK("https://www.ejacket.nsf.gov/ej/processReviewAnalysis.do?dispatch=add&amp;uniqId="&amp;BudgetsTable[[#This Row],[prop_id]]&amp;PO_id,"&gt;ra"))</f>
        <v/>
      </c>
      <c r="N158" s="79" t="s">
        <v>13</v>
      </c>
      <c r="O158" s="7" t="str">
        <f>IF(BudgetsTable[[#This Row],[pi_last_name]]=" ","",HYPERLINK("mailto:"&amp;BudgetsTable[[#This Row],[pi_email]]&amp;"&amp;subject=Your NSF Proposal:  "&amp;BudgetsTable[[#This Row],[prop_id]],BudgetsTable[[#This Row],[pi_email]]))</f>
        <v/>
      </c>
      <c r="P158" s="79" t="s">
        <v>13</v>
      </c>
      <c r="Q158" s="79">
        <v>1</v>
      </c>
      <c r="R158" s="79">
        <v>0.1</v>
      </c>
      <c r="S158" s="80">
        <v>0</v>
      </c>
      <c r="T158" s="80">
        <v>0</v>
      </c>
      <c r="U158" s="80">
        <v>0</v>
      </c>
      <c r="V158" s="81">
        <v>102811</v>
      </c>
      <c r="W158" s="79">
        <v>0</v>
      </c>
      <c r="X158" s="79">
        <v>4</v>
      </c>
      <c r="Y158" s="11" t="str">
        <f ca="1">IF(ISBLANK(BudgetsTable[[#This Row],[budg_seq_yr]]),"FY"&amp;fiscalyear,"FY"&amp;fiscalyear-1+BudgetsTable[[#This Row],[budg_seq_yr]])</f>
        <v>FY21</v>
      </c>
      <c r="Z158" s="80">
        <v>102811</v>
      </c>
      <c r="AA158" s="79" t="s">
        <v>477</v>
      </c>
      <c r="AB158" s="79" t="s">
        <v>582</v>
      </c>
      <c r="AC158" s="77" t="s">
        <v>94</v>
      </c>
      <c r="AD158" s="79" t="s">
        <v>1432</v>
      </c>
    </row>
    <row r="159" spans="1:30" x14ac:dyDescent="0.4">
      <c r="A159" s="10" t="s">
        <v>936</v>
      </c>
      <c r="B159" s="77" t="s">
        <v>95</v>
      </c>
      <c r="C159" s="77">
        <f>C158+(BudgetsTable[[#This Row],[lead]]&lt;&gt;K158)</f>
        <v>36</v>
      </c>
      <c r="D159" s="77">
        <f>D158*(BudgetsTable[[#This Row],[lead]]=K158)+(BudgetsTable[[#This Row],[prop_id]]&lt;&gt;A158)</f>
        <v>1</v>
      </c>
      <c r="E159" s="78">
        <v>42935.576388888891</v>
      </c>
      <c r="F159" s="79" t="s">
        <v>1430</v>
      </c>
      <c r="G159" s="79" t="s">
        <v>477</v>
      </c>
      <c r="H159" s="79" t="s">
        <v>582</v>
      </c>
      <c r="I159" s="77" t="s">
        <v>611</v>
      </c>
      <c r="J159" s="77" t="s">
        <v>13</v>
      </c>
      <c r="K159" s="79" t="s">
        <v>936</v>
      </c>
      <c r="L159" s="7" t="str">
        <f>IF(BudgetsTable[[#This Row],[pi_last_name]]=" ","",HYPERLINK("https://www.ejacket.nsf.gov/ej/showProposal.do?Continue=Y&amp;ID="&amp;BudgetsTable[[#This Row],[prop_id]],BudgetsTable[[#This Row],[prop_id]]))</f>
        <v/>
      </c>
      <c r="M159" s="15" t="str">
        <f>IF(BudgetsTable[[#This Row],[pi_last_name]]=" ","",HYPERLINK("https://www.ejacket.nsf.gov/ej/processReviewAnalysis.do?dispatch=add&amp;uniqId="&amp;BudgetsTable[[#This Row],[prop_id]]&amp;PO_id,"&gt;ra"))</f>
        <v/>
      </c>
      <c r="N159" s="79" t="s">
        <v>13</v>
      </c>
      <c r="O159" s="7" t="str">
        <f>IF(BudgetsTable[[#This Row],[pi_last_name]]=" ","",HYPERLINK("mailto:"&amp;BudgetsTable[[#This Row],[pi_email]]&amp;"&amp;subject=Your NSF Proposal:  "&amp;BudgetsTable[[#This Row],[prop_id]],BudgetsTable[[#This Row],[pi_email]]))</f>
        <v/>
      </c>
      <c r="P159" s="79" t="s">
        <v>13</v>
      </c>
      <c r="Q159" s="79">
        <v>1</v>
      </c>
      <c r="R159" s="79">
        <v>0.1</v>
      </c>
      <c r="S159" s="80">
        <v>0</v>
      </c>
      <c r="T159" s="80">
        <v>0</v>
      </c>
      <c r="U159" s="80">
        <v>0</v>
      </c>
      <c r="V159" s="81">
        <v>110725</v>
      </c>
      <c r="W159" s="79">
        <v>0</v>
      </c>
      <c r="X159" s="79">
        <v>5</v>
      </c>
      <c r="Y159" s="11" t="str">
        <f ca="1">IF(ISBLANK(BudgetsTable[[#This Row],[budg_seq_yr]]),"FY"&amp;fiscalyear,"FY"&amp;fiscalyear-1+BudgetsTable[[#This Row],[budg_seq_yr]])</f>
        <v>FY22</v>
      </c>
      <c r="Z159" s="80">
        <v>110725</v>
      </c>
      <c r="AA159" s="79" t="s">
        <v>477</v>
      </c>
      <c r="AB159" s="79" t="s">
        <v>582</v>
      </c>
      <c r="AC159" s="77" t="s">
        <v>94</v>
      </c>
      <c r="AD159" s="79" t="s">
        <v>1432</v>
      </c>
    </row>
    <row r="160" spans="1:30" x14ac:dyDescent="0.4">
      <c r="A160" s="10" t="s">
        <v>944</v>
      </c>
      <c r="B160" s="77" t="s">
        <v>95</v>
      </c>
      <c r="C160" s="77">
        <f>C159+(BudgetsTable[[#This Row],[lead]]&lt;&gt;K159)</f>
        <v>37</v>
      </c>
      <c r="D160" s="77">
        <f>D159*(BudgetsTable[[#This Row],[lead]]=K159)+(BudgetsTable[[#This Row],[prop_id]]&lt;&gt;A159)</f>
        <v>1</v>
      </c>
      <c r="E160" s="78">
        <v>42935.599305555559</v>
      </c>
      <c r="F160" s="79" t="s">
        <v>1430</v>
      </c>
      <c r="G160" s="79" t="s">
        <v>477</v>
      </c>
      <c r="H160" s="79" t="s">
        <v>582</v>
      </c>
      <c r="I160" s="77" t="s">
        <v>611</v>
      </c>
      <c r="J160" s="77" t="s">
        <v>1560</v>
      </c>
      <c r="K160" s="79" t="s">
        <v>944</v>
      </c>
      <c r="L160" s="7" t="str">
        <f>IF(BudgetsTable[[#This Row],[pi_last_name]]=" ","",HYPERLINK("https://www.ejacket.nsf.gov/ej/showProposal.do?Continue=Y&amp;ID="&amp;BudgetsTable[[#This Row],[prop_id]],BudgetsTable[[#This Row],[prop_id]]))</f>
        <v>1750640</v>
      </c>
      <c r="M160" s="15" t="e">
        <f>IF(BudgetsTable[[#This Row],[pi_last_name]]=" ","",HYPERLINK("https://www.ejacket.nsf.gov/ej/processReviewAnalysis.do?dispatch=add&amp;uniqId="&amp;BudgetsTable[[#This Row],[prop_id]]&amp;PO_id,"&gt;ra"))</f>
        <v>#REF!</v>
      </c>
      <c r="N160" s="79" t="s">
        <v>945</v>
      </c>
      <c r="O160" s="7" t="str">
        <f>IF(BudgetsTable[[#This Row],[pi_last_name]]=" ","",HYPERLINK("mailto:"&amp;BudgetsTable[[#This Row],[pi_email]]&amp;"&amp;subject=Your NSF Proposal:  "&amp;BudgetsTable[[#This Row],[prop_id]],BudgetsTable[[#This Row],[pi_email]]))</f>
        <v>jullman@ccs.neu.edu</v>
      </c>
      <c r="P160" s="79" t="s">
        <v>502</v>
      </c>
      <c r="Q160" s="79"/>
      <c r="R160" s="79"/>
      <c r="S160" s="80"/>
      <c r="T160" s="80"/>
      <c r="U160" s="80"/>
      <c r="V160" s="81"/>
      <c r="W160" s="79">
        <v>0</v>
      </c>
      <c r="X160" s="79"/>
      <c r="Y160" s="11" t="str">
        <f ca="1">IF(ISBLANK(BudgetsTable[[#This Row],[budg_seq_yr]]),"FY"&amp;fiscalyear,"FY"&amp;fiscalyear-1+BudgetsTable[[#This Row],[budg_seq_yr]])</f>
        <v>FY18</v>
      </c>
      <c r="Z160" s="80">
        <v>545883</v>
      </c>
      <c r="AA160" s="79" t="s">
        <v>477</v>
      </c>
      <c r="AB160" s="79" t="s">
        <v>582</v>
      </c>
      <c r="AC160" s="77" t="s">
        <v>94</v>
      </c>
      <c r="AD160" s="79" t="s">
        <v>1432</v>
      </c>
    </row>
    <row r="161" spans="1:30" x14ac:dyDescent="0.4">
      <c r="A161" s="10" t="s">
        <v>944</v>
      </c>
      <c r="B161" s="77" t="s">
        <v>95</v>
      </c>
      <c r="C161" s="77">
        <f>C160+(BudgetsTable[[#This Row],[lead]]&lt;&gt;K160)</f>
        <v>37</v>
      </c>
      <c r="D161" s="77">
        <f>D160*(BudgetsTable[[#This Row],[lead]]=K160)+(BudgetsTable[[#This Row],[prop_id]]&lt;&gt;A160)</f>
        <v>1</v>
      </c>
      <c r="E161" s="78">
        <v>42935.599305555559</v>
      </c>
      <c r="F161" s="79" t="s">
        <v>1430</v>
      </c>
      <c r="G161" s="79" t="s">
        <v>477</v>
      </c>
      <c r="H161" s="79" t="s">
        <v>582</v>
      </c>
      <c r="I161" s="77" t="s">
        <v>611</v>
      </c>
      <c r="J161" s="77" t="s">
        <v>13</v>
      </c>
      <c r="K161" s="79" t="s">
        <v>944</v>
      </c>
      <c r="L161" s="7" t="str">
        <f>IF(BudgetsTable[[#This Row],[pi_last_name]]=" ","",HYPERLINK("https://www.ejacket.nsf.gov/ej/showProposal.do?Continue=Y&amp;ID="&amp;BudgetsTable[[#This Row],[prop_id]],BudgetsTable[[#This Row],[prop_id]]))</f>
        <v/>
      </c>
      <c r="M161" s="15" t="str">
        <f>IF(BudgetsTable[[#This Row],[pi_last_name]]=" ","",HYPERLINK("https://www.ejacket.nsf.gov/ej/processReviewAnalysis.do?dispatch=add&amp;uniqId="&amp;BudgetsTable[[#This Row],[prop_id]]&amp;PO_id,"&gt;ra"))</f>
        <v/>
      </c>
      <c r="N161" s="79" t="s">
        <v>13</v>
      </c>
      <c r="O161" s="7" t="str">
        <f>IF(BudgetsTable[[#This Row],[pi_last_name]]=" ","",HYPERLINK("mailto:"&amp;BudgetsTable[[#This Row],[pi_email]]&amp;"&amp;subject=Your NSF Proposal:  "&amp;BudgetsTable[[#This Row],[prop_id]],BudgetsTable[[#This Row],[pi_email]]))</f>
        <v/>
      </c>
      <c r="P161" s="79" t="s">
        <v>13</v>
      </c>
      <c r="Q161" s="79">
        <v>1</v>
      </c>
      <c r="R161" s="79">
        <v>1</v>
      </c>
      <c r="S161" s="80">
        <v>0</v>
      </c>
      <c r="T161" s="80">
        <v>3000</v>
      </c>
      <c r="U161" s="80">
        <v>0</v>
      </c>
      <c r="V161" s="81">
        <v>102820</v>
      </c>
      <c r="W161" s="79">
        <v>0</v>
      </c>
      <c r="X161" s="79">
        <v>1</v>
      </c>
      <c r="Y161" s="11" t="str">
        <f ca="1">IF(ISBLANK(BudgetsTable[[#This Row],[budg_seq_yr]]),"FY"&amp;fiscalyear,"FY"&amp;fiscalyear-1+BudgetsTable[[#This Row],[budg_seq_yr]])</f>
        <v>FY18</v>
      </c>
      <c r="Z161" s="80">
        <v>102820</v>
      </c>
      <c r="AA161" s="79" t="s">
        <v>477</v>
      </c>
      <c r="AB161" s="79" t="s">
        <v>582</v>
      </c>
      <c r="AC161" s="77" t="s">
        <v>94</v>
      </c>
      <c r="AD161" s="79" t="s">
        <v>1432</v>
      </c>
    </row>
    <row r="162" spans="1:30" x14ac:dyDescent="0.4">
      <c r="A162" s="10" t="s">
        <v>944</v>
      </c>
      <c r="B162" s="77" t="s">
        <v>95</v>
      </c>
      <c r="C162" s="77">
        <f>C161+(BudgetsTable[[#This Row],[lead]]&lt;&gt;K161)</f>
        <v>37</v>
      </c>
      <c r="D162" s="77">
        <f>D161*(BudgetsTable[[#This Row],[lead]]=K161)+(BudgetsTable[[#This Row],[prop_id]]&lt;&gt;A161)</f>
        <v>1</v>
      </c>
      <c r="E162" s="78">
        <v>42935.599305555559</v>
      </c>
      <c r="F162" s="79" t="s">
        <v>1430</v>
      </c>
      <c r="G162" s="79" t="s">
        <v>477</v>
      </c>
      <c r="H162" s="79" t="s">
        <v>582</v>
      </c>
      <c r="I162" s="77" t="s">
        <v>611</v>
      </c>
      <c r="J162" s="77" t="s">
        <v>13</v>
      </c>
      <c r="K162" s="79" t="s">
        <v>944</v>
      </c>
      <c r="L162" s="7" t="str">
        <f>IF(BudgetsTable[[#This Row],[pi_last_name]]=" ","",HYPERLINK("https://www.ejacket.nsf.gov/ej/showProposal.do?Continue=Y&amp;ID="&amp;BudgetsTable[[#This Row],[prop_id]],BudgetsTable[[#This Row],[prop_id]]))</f>
        <v/>
      </c>
      <c r="M162" s="15" t="str">
        <f>IF(BudgetsTable[[#This Row],[pi_last_name]]=" ","",HYPERLINK("https://www.ejacket.nsf.gov/ej/processReviewAnalysis.do?dispatch=add&amp;uniqId="&amp;BudgetsTable[[#This Row],[prop_id]]&amp;PO_id,"&gt;ra"))</f>
        <v/>
      </c>
      <c r="N162" s="79" t="s">
        <v>13</v>
      </c>
      <c r="O162" s="7" t="str">
        <f>IF(BudgetsTable[[#This Row],[pi_last_name]]=" ","",HYPERLINK("mailto:"&amp;BudgetsTable[[#This Row],[pi_email]]&amp;"&amp;subject=Your NSF Proposal:  "&amp;BudgetsTable[[#This Row],[prop_id]],BudgetsTable[[#This Row],[pi_email]]))</f>
        <v/>
      </c>
      <c r="P162" s="79" t="s">
        <v>13</v>
      </c>
      <c r="Q162" s="79">
        <v>1</v>
      </c>
      <c r="R162" s="79">
        <v>1</v>
      </c>
      <c r="S162" s="80">
        <v>0</v>
      </c>
      <c r="T162" s="80">
        <v>3090</v>
      </c>
      <c r="U162" s="80">
        <v>0</v>
      </c>
      <c r="V162" s="81">
        <v>105903</v>
      </c>
      <c r="W162" s="79">
        <v>0</v>
      </c>
      <c r="X162" s="79">
        <v>2</v>
      </c>
      <c r="Y162" s="11" t="str">
        <f ca="1">IF(ISBLANK(BudgetsTable[[#This Row],[budg_seq_yr]]),"FY"&amp;fiscalyear,"FY"&amp;fiscalyear-1+BudgetsTable[[#This Row],[budg_seq_yr]])</f>
        <v>FY19</v>
      </c>
      <c r="Z162" s="80">
        <v>105903</v>
      </c>
      <c r="AA162" s="79" t="s">
        <v>477</v>
      </c>
      <c r="AB162" s="79" t="s">
        <v>582</v>
      </c>
      <c r="AC162" s="77" t="s">
        <v>94</v>
      </c>
      <c r="AD162" s="79" t="s">
        <v>1432</v>
      </c>
    </row>
    <row r="163" spans="1:30" x14ac:dyDescent="0.4">
      <c r="A163" s="10" t="s">
        <v>944</v>
      </c>
      <c r="B163" s="77" t="s">
        <v>95</v>
      </c>
      <c r="C163" s="77">
        <f>C162+(BudgetsTable[[#This Row],[lead]]&lt;&gt;K162)</f>
        <v>37</v>
      </c>
      <c r="D163" s="77">
        <f>D162*(BudgetsTable[[#This Row],[lead]]=K162)+(BudgetsTable[[#This Row],[prop_id]]&lt;&gt;A162)</f>
        <v>1</v>
      </c>
      <c r="E163" s="78">
        <v>42935.599305555559</v>
      </c>
      <c r="F163" s="79" t="s">
        <v>1430</v>
      </c>
      <c r="G163" s="79" t="s">
        <v>477</v>
      </c>
      <c r="H163" s="79" t="s">
        <v>582</v>
      </c>
      <c r="I163" s="77" t="s">
        <v>611</v>
      </c>
      <c r="J163" s="77" t="s">
        <v>13</v>
      </c>
      <c r="K163" s="79" t="s">
        <v>944</v>
      </c>
      <c r="L163" s="7" t="str">
        <f>IF(BudgetsTable[[#This Row],[pi_last_name]]=" ","",HYPERLINK("https://www.ejacket.nsf.gov/ej/showProposal.do?Continue=Y&amp;ID="&amp;BudgetsTable[[#This Row],[prop_id]],BudgetsTable[[#This Row],[prop_id]]))</f>
        <v/>
      </c>
      <c r="M163" s="15" t="str">
        <f>IF(BudgetsTable[[#This Row],[pi_last_name]]=" ","",HYPERLINK("https://www.ejacket.nsf.gov/ej/processReviewAnalysis.do?dispatch=add&amp;uniqId="&amp;BudgetsTable[[#This Row],[prop_id]]&amp;PO_id,"&gt;ra"))</f>
        <v/>
      </c>
      <c r="N163" s="79" t="s">
        <v>13</v>
      </c>
      <c r="O163" s="7" t="str">
        <f>IF(BudgetsTable[[#This Row],[pi_last_name]]=" ","",HYPERLINK("mailto:"&amp;BudgetsTable[[#This Row],[pi_email]]&amp;"&amp;subject=Your NSF Proposal:  "&amp;BudgetsTable[[#This Row],[prop_id]],BudgetsTable[[#This Row],[pi_email]]))</f>
        <v/>
      </c>
      <c r="P163" s="79" t="s">
        <v>13</v>
      </c>
      <c r="Q163" s="79">
        <v>1</v>
      </c>
      <c r="R163" s="79">
        <v>1</v>
      </c>
      <c r="S163" s="80">
        <v>0</v>
      </c>
      <c r="T163" s="80">
        <v>3183</v>
      </c>
      <c r="U163" s="80">
        <v>0</v>
      </c>
      <c r="V163" s="81">
        <v>109082</v>
      </c>
      <c r="W163" s="79">
        <v>0</v>
      </c>
      <c r="X163" s="79">
        <v>3</v>
      </c>
      <c r="Y163" s="11" t="str">
        <f ca="1">IF(ISBLANK(BudgetsTable[[#This Row],[budg_seq_yr]]),"FY"&amp;fiscalyear,"FY"&amp;fiscalyear-1+BudgetsTable[[#This Row],[budg_seq_yr]])</f>
        <v>FY20</v>
      </c>
      <c r="Z163" s="80">
        <v>109082</v>
      </c>
      <c r="AA163" s="79" t="s">
        <v>477</v>
      </c>
      <c r="AB163" s="79" t="s">
        <v>582</v>
      </c>
      <c r="AC163" s="77" t="s">
        <v>94</v>
      </c>
      <c r="AD163" s="79" t="s">
        <v>1432</v>
      </c>
    </row>
    <row r="164" spans="1:30" x14ac:dyDescent="0.4">
      <c r="A164" s="10" t="s">
        <v>944</v>
      </c>
      <c r="B164" s="77" t="s">
        <v>95</v>
      </c>
      <c r="C164" s="77">
        <f>C163+(BudgetsTable[[#This Row],[lead]]&lt;&gt;K163)</f>
        <v>37</v>
      </c>
      <c r="D164" s="77">
        <f>D163*(BudgetsTable[[#This Row],[lead]]=K163)+(BudgetsTable[[#This Row],[prop_id]]&lt;&gt;A163)</f>
        <v>1</v>
      </c>
      <c r="E164" s="78">
        <v>42935.599305555559</v>
      </c>
      <c r="F164" s="79" t="s">
        <v>1430</v>
      </c>
      <c r="G164" s="79" t="s">
        <v>477</v>
      </c>
      <c r="H164" s="79" t="s">
        <v>582</v>
      </c>
      <c r="I164" s="77" t="s">
        <v>611</v>
      </c>
      <c r="J164" s="77" t="s">
        <v>13</v>
      </c>
      <c r="K164" s="79" t="s">
        <v>944</v>
      </c>
      <c r="L164" s="7" t="str">
        <f>IF(BudgetsTable[[#This Row],[pi_last_name]]=" ","",HYPERLINK("https://www.ejacket.nsf.gov/ej/showProposal.do?Continue=Y&amp;ID="&amp;BudgetsTable[[#This Row],[prop_id]],BudgetsTable[[#This Row],[prop_id]]))</f>
        <v/>
      </c>
      <c r="M164" s="15" t="str">
        <f>IF(BudgetsTable[[#This Row],[pi_last_name]]=" ","",HYPERLINK("https://www.ejacket.nsf.gov/ej/processReviewAnalysis.do?dispatch=add&amp;uniqId="&amp;BudgetsTable[[#This Row],[prop_id]]&amp;PO_id,"&gt;ra"))</f>
        <v/>
      </c>
      <c r="N164" s="79" t="s">
        <v>13</v>
      </c>
      <c r="O164" s="7" t="str">
        <f>IF(BudgetsTable[[#This Row],[pi_last_name]]=" ","",HYPERLINK("mailto:"&amp;BudgetsTable[[#This Row],[pi_email]]&amp;"&amp;subject=Your NSF Proposal:  "&amp;BudgetsTable[[#This Row],[prop_id]],BudgetsTable[[#This Row],[pi_email]]))</f>
        <v/>
      </c>
      <c r="P164" s="79" t="s">
        <v>13</v>
      </c>
      <c r="Q164" s="79">
        <v>1</v>
      </c>
      <c r="R164" s="79">
        <v>1</v>
      </c>
      <c r="S164" s="80">
        <v>0</v>
      </c>
      <c r="T164" s="80">
        <v>3278</v>
      </c>
      <c r="U164" s="80">
        <v>0</v>
      </c>
      <c r="V164" s="81">
        <v>112353</v>
      </c>
      <c r="W164" s="79">
        <v>0</v>
      </c>
      <c r="X164" s="79">
        <v>4</v>
      </c>
      <c r="Y164" s="11" t="str">
        <f ca="1">IF(ISBLANK(BudgetsTable[[#This Row],[budg_seq_yr]]),"FY"&amp;fiscalyear,"FY"&amp;fiscalyear-1+BudgetsTable[[#This Row],[budg_seq_yr]])</f>
        <v>FY21</v>
      </c>
      <c r="Z164" s="80">
        <v>112353</v>
      </c>
      <c r="AA164" s="79" t="s">
        <v>477</v>
      </c>
      <c r="AB164" s="79" t="s">
        <v>582</v>
      </c>
      <c r="AC164" s="77" t="s">
        <v>94</v>
      </c>
      <c r="AD164" s="79" t="s">
        <v>1432</v>
      </c>
    </row>
    <row r="165" spans="1:30" x14ac:dyDescent="0.4">
      <c r="A165" s="10" t="s">
        <v>944</v>
      </c>
      <c r="B165" s="77" t="s">
        <v>95</v>
      </c>
      <c r="C165" s="77">
        <f>C164+(BudgetsTable[[#This Row],[lead]]&lt;&gt;K164)</f>
        <v>37</v>
      </c>
      <c r="D165" s="77">
        <f>D164*(BudgetsTable[[#This Row],[lead]]=K164)+(BudgetsTable[[#This Row],[prop_id]]&lt;&gt;A164)</f>
        <v>1</v>
      </c>
      <c r="E165" s="78">
        <v>42935.599305555559</v>
      </c>
      <c r="F165" s="79" t="s">
        <v>1430</v>
      </c>
      <c r="G165" s="79" t="s">
        <v>477</v>
      </c>
      <c r="H165" s="79" t="s">
        <v>582</v>
      </c>
      <c r="I165" s="77" t="s">
        <v>611</v>
      </c>
      <c r="J165" s="77" t="s">
        <v>13</v>
      </c>
      <c r="K165" s="79" t="s">
        <v>944</v>
      </c>
      <c r="L165" s="7" t="str">
        <f>IF(BudgetsTable[[#This Row],[pi_last_name]]=" ","",HYPERLINK("https://www.ejacket.nsf.gov/ej/showProposal.do?Continue=Y&amp;ID="&amp;BudgetsTable[[#This Row],[prop_id]],BudgetsTable[[#This Row],[prop_id]]))</f>
        <v/>
      </c>
      <c r="M165" s="15" t="str">
        <f>IF(BudgetsTable[[#This Row],[pi_last_name]]=" ","",HYPERLINK("https://www.ejacket.nsf.gov/ej/processReviewAnalysis.do?dispatch=add&amp;uniqId="&amp;BudgetsTable[[#This Row],[prop_id]]&amp;PO_id,"&gt;ra"))</f>
        <v/>
      </c>
      <c r="N165" s="79" t="s">
        <v>13</v>
      </c>
      <c r="O165" s="7" t="str">
        <f>IF(BudgetsTable[[#This Row],[pi_last_name]]=" ","",HYPERLINK("mailto:"&amp;BudgetsTable[[#This Row],[pi_email]]&amp;"&amp;subject=Your NSF Proposal:  "&amp;BudgetsTable[[#This Row],[prop_id]],BudgetsTable[[#This Row],[pi_email]]))</f>
        <v/>
      </c>
      <c r="P165" s="79" t="s">
        <v>13</v>
      </c>
      <c r="Q165" s="79">
        <v>1</v>
      </c>
      <c r="R165" s="79">
        <v>1</v>
      </c>
      <c r="S165" s="80">
        <v>0</v>
      </c>
      <c r="T165" s="80">
        <v>3377</v>
      </c>
      <c r="U165" s="80">
        <v>0</v>
      </c>
      <c r="V165" s="81">
        <v>115725</v>
      </c>
      <c r="W165" s="79">
        <v>0</v>
      </c>
      <c r="X165" s="79">
        <v>5</v>
      </c>
      <c r="Y165" s="11" t="str">
        <f ca="1">IF(ISBLANK(BudgetsTable[[#This Row],[budg_seq_yr]]),"FY"&amp;fiscalyear,"FY"&amp;fiscalyear-1+BudgetsTable[[#This Row],[budg_seq_yr]])</f>
        <v>FY22</v>
      </c>
      <c r="Z165" s="80">
        <v>115725</v>
      </c>
      <c r="AA165" s="79" t="s">
        <v>477</v>
      </c>
      <c r="AB165" s="79" t="s">
        <v>582</v>
      </c>
      <c r="AC165" s="77" t="s">
        <v>94</v>
      </c>
      <c r="AD165" s="79" t="s">
        <v>1432</v>
      </c>
    </row>
    <row r="166" spans="1:30" x14ac:dyDescent="0.4">
      <c r="A166" s="10" t="s">
        <v>952</v>
      </c>
      <c r="B166" s="77" t="s">
        <v>95</v>
      </c>
      <c r="C166" s="77">
        <f>C165+(BudgetsTable[[#This Row],[lead]]&lt;&gt;K165)</f>
        <v>38</v>
      </c>
      <c r="D166" s="77">
        <f>D165*(BudgetsTable[[#This Row],[lead]]=K165)+(BudgetsTable[[#This Row],[prop_id]]&lt;&gt;A165)</f>
        <v>1</v>
      </c>
      <c r="E166" s="78">
        <v>42935.603472222225</v>
      </c>
      <c r="F166" s="79" t="s">
        <v>1430</v>
      </c>
      <c r="G166" s="79" t="s">
        <v>477</v>
      </c>
      <c r="H166" s="79" t="s">
        <v>582</v>
      </c>
      <c r="I166" s="77" t="s">
        <v>611</v>
      </c>
      <c r="J166" s="77" t="s">
        <v>1565</v>
      </c>
      <c r="K166" s="79" t="s">
        <v>952</v>
      </c>
      <c r="L166" s="7" t="str">
        <f>IF(BudgetsTable[[#This Row],[pi_last_name]]=" ","",HYPERLINK("https://www.ejacket.nsf.gov/ej/showProposal.do?Continue=Y&amp;ID="&amp;BudgetsTable[[#This Row],[prop_id]],BudgetsTable[[#This Row],[prop_id]]))</f>
        <v>1750651</v>
      </c>
      <c r="M166" s="15" t="e">
        <f>IF(BudgetsTable[[#This Row],[pi_last_name]]=" ","",HYPERLINK("https://www.ejacket.nsf.gov/ej/processReviewAnalysis.do?dispatch=add&amp;uniqId="&amp;BudgetsTable[[#This Row],[prop_id]]&amp;PO_id,"&gt;ra"))</f>
        <v>#REF!</v>
      </c>
      <c r="N166" s="79" t="s">
        <v>953</v>
      </c>
      <c r="O166" s="7" t="str">
        <f>IF(BudgetsTable[[#This Row],[pi_last_name]]=" ","",HYPERLINK("mailto:"&amp;BudgetsTable[[#This Row],[pi_email]]&amp;"&amp;subject=Your NSF Proposal:  "&amp;BudgetsTable[[#This Row],[prop_id]],BudgetsTable[[#This Row],[pi_email]]))</f>
        <v>pranjal.iitm@gmail.com</v>
      </c>
      <c r="P166" s="79" t="s">
        <v>1562</v>
      </c>
      <c r="Q166" s="79"/>
      <c r="R166" s="79"/>
      <c r="S166" s="80"/>
      <c r="T166" s="80"/>
      <c r="U166" s="80"/>
      <c r="V166" s="81"/>
      <c r="W166" s="79">
        <v>0</v>
      </c>
      <c r="X166" s="79"/>
      <c r="Y166" s="11" t="str">
        <f ca="1">IF(ISBLANK(BudgetsTable[[#This Row],[budg_seq_yr]]),"FY"&amp;fiscalyear,"FY"&amp;fiscalyear-1+BudgetsTable[[#This Row],[budg_seq_yr]])</f>
        <v>FY18</v>
      </c>
      <c r="Z166" s="80">
        <v>695874</v>
      </c>
      <c r="AA166" s="79" t="s">
        <v>477</v>
      </c>
      <c r="AB166" s="79" t="s">
        <v>582</v>
      </c>
      <c r="AC166" s="77" t="s">
        <v>94</v>
      </c>
      <c r="AD166" s="79" t="s">
        <v>1432</v>
      </c>
    </row>
    <row r="167" spans="1:30" x14ac:dyDescent="0.4">
      <c r="A167" s="10" t="s">
        <v>952</v>
      </c>
      <c r="B167" s="77" t="s">
        <v>95</v>
      </c>
      <c r="C167" s="77">
        <f>C166+(BudgetsTable[[#This Row],[lead]]&lt;&gt;K166)</f>
        <v>38</v>
      </c>
      <c r="D167" s="77">
        <f>D166*(BudgetsTable[[#This Row],[lead]]=K166)+(BudgetsTable[[#This Row],[prop_id]]&lt;&gt;A166)</f>
        <v>1</v>
      </c>
      <c r="E167" s="78">
        <v>42935.603472222225</v>
      </c>
      <c r="F167" s="79" t="s">
        <v>1430</v>
      </c>
      <c r="G167" s="79" t="s">
        <v>477</v>
      </c>
      <c r="H167" s="79" t="s">
        <v>582</v>
      </c>
      <c r="I167" s="77" t="s">
        <v>611</v>
      </c>
      <c r="J167" s="77" t="s">
        <v>13</v>
      </c>
      <c r="K167" s="79" t="s">
        <v>952</v>
      </c>
      <c r="L167" s="7" t="str">
        <f>IF(BudgetsTable[[#This Row],[pi_last_name]]=" ","",HYPERLINK("https://www.ejacket.nsf.gov/ej/showProposal.do?Continue=Y&amp;ID="&amp;BudgetsTable[[#This Row],[prop_id]],BudgetsTable[[#This Row],[prop_id]]))</f>
        <v/>
      </c>
      <c r="M167" s="15" t="str">
        <f>IF(BudgetsTable[[#This Row],[pi_last_name]]=" ","",HYPERLINK("https://www.ejacket.nsf.gov/ej/processReviewAnalysis.do?dispatch=add&amp;uniqId="&amp;BudgetsTable[[#This Row],[prop_id]]&amp;PO_id,"&gt;ra"))</f>
        <v/>
      </c>
      <c r="N167" s="79" t="s">
        <v>13</v>
      </c>
      <c r="O167" s="7" t="str">
        <f>IF(BudgetsTable[[#This Row],[pi_last_name]]=" ","",HYPERLINK("mailto:"&amp;BudgetsTable[[#This Row],[pi_email]]&amp;"&amp;subject=Your NSF Proposal:  "&amp;BudgetsTable[[#This Row],[prop_id]],BudgetsTable[[#This Row],[pi_email]]))</f>
        <v/>
      </c>
      <c r="P167" s="79" t="s">
        <v>13</v>
      </c>
      <c r="Q167" s="79">
        <v>1</v>
      </c>
      <c r="R167" s="79">
        <v>1</v>
      </c>
      <c r="S167" s="80">
        <v>0</v>
      </c>
      <c r="T167" s="80">
        <v>2575</v>
      </c>
      <c r="U167" s="80">
        <v>0</v>
      </c>
      <c r="V167" s="81">
        <v>130621</v>
      </c>
      <c r="W167" s="79">
        <v>0</v>
      </c>
      <c r="X167" s="79">
        <v>1</v>
      </c>
      <c r="Y167" s="11" t="str">
        <f ca="1">IF(ISBLANK(BudgetsTable[[#This Row],[budg_seq_yr]]),"FY"&amp;fiscalyear,"FY"&amp;fiscalyear-1+BudgetsTable[[#This Row],[budg_seq_yr]])</f>
        <v>FY18</v>
      </c>
      <c r="Z167" s="80">
        <v>130621</v>
      </c>
      <c r="AA167" s="79" t="s">
        <v>477</v>
      </c>
      <c r="AB167" s="79" t="s">
        <v>582</v>
      </c>
      <c r="AC167" s="77" t="s">
        <v>94</v>
      </c>
      <c r="AD167" s="79" t="s">
        <v>1432</v>
      </c>
    </row>
    <row r="168" spans="1:30" x14ac:dyDescent="0.4">
      <c r="A168" s="10" t="s">
        <v>952</v>
      </c>
      <c r="B168" s="77" t="s">
        <v>95</v>
      </c>
      <c r="C168" s="77">
        <f>C167+(BudgetsTable[[#This Row],[lead]]&lt;&gt;K167)</f>
        <v>38</v>
      </c>
      <c r="D168" s="77">
        <f>D167*(BudgetsTable[[#This Row],[lead]]=K167)+(BudgetsTable[[#This Row],[prop_id]]&lt;&gt;A167)</f>
        <v>1</v>
      </c>
      <c r="E168" s="78">
        <v>42935.603472222225</v>
      </c>
      <c r="F168" s="79" t="s">
        <v>1430</v>
      </c>
      <c r="G168" s="79" t="s">
        <v>477</v>
      </c>
      <c r="H168" s="79" t="s">
        <v>582</v>
      </c>
      <c r="I168" s="77" t="s">
        <v>611</v>
      </c>
      <c r="J168" s="77" t="s">
        <v>13</v>
      </c>
      <c r="K168" s="79" t="s">
        <v>952</v>
      </c>
      <c r="L168" s="7" t="str">
        <f>IF(BudgetsTable[[#This Row],[pi_last_name]]=" ","",HYPERLINK("https://www.ejacket.nsf.gov/ej/showProposal.do?Continue=Y&amp;ID="&amp;BudgetsTable[[#This Row],[prop_id]],BudgetsTable[[#This Row],[prop_id]]))</f>
        <v/>
      </c>
      <c r="M168" s="15" t="str">
        <f>IF(BudgetsTable[[#This Row],[pi_last_name]]=" ","",HYPERLINK("https://www.ejacket.nsf.gov/ej/processReviewAnalysis.do?dispatch=add&amp;uniqId="&amp;BudgetsTable[[#This Row],[prop_id]]&amp;PO_id,"&gt;ra"))</f>
        <v/>
      </c>
      <c r="N168" s="79" t="s">
        <v>13</v>
      </c>
      <c r="O168" s="7" t="str">
        <f>IF(BudgetsTable[[#This Row],[pi_last_name]]=" ","",HYPERLINK("mailto:"&amp;BudgetsTable[[#This Row],[pi_email]]&amp;"&amp;subject=Your NSF Proposal:  "&amp;BudgetsTable[[#This Row],[prop_id]],BudgetsTable[[#This Row],[pi_email]]))</f>
        <v/>
      </c>
      <c r="P168" s="79" t="s">
        <v>13</v>
      </c>
      <c r="Q168" s="79">
        <v>1</v>
      </c>
      <c r="R168" s="79">
        <v>1</v>
      </c>
      <c r="S168" s="80">
        <v>0</v>
      </c>
      <c r="T168" s="80">
        <v>2575</v>
      </c>
      <c r="U168" s="80">
        <v>0</v>
      </c>
      <c r="V168" s="81">
        <v>136088</v>
      </c>
      <c r="W168" s="79">
        <v>0</v>
      </c>
      <c r="X168" s="79">
        <v>2</v>
      </c>
      <c r="Y168" s="11" t="str">
        <f ca="1">IF(ISBLANK(BudgetsTable[[#This Row],[budg_seq_yr]]),"FY"&amp;fiscalyear,"FY"&amp;fiscalyear-1+BudgetsTable[[#This Row],[budg_seq_yr]])</f>
        <v>FY19</v>
      </c>
      <c r="Z168" s="80">
        <v>136088</v>
      </c>
      <c r="AA168" s="79" t="s">
        <v>477</v>
      </c>
      <c r="AB168" s="79" t="s">
        <v>582</v>
      </c>
      <c r="AC168" s="77" t="s">
        <v>94</v>
      </c>
      <c r="AD168" s="79" t="s">
        <v>1432</v>
      </c>
    </row>
    <row r="169" spans="1:30" x14ac:dyDescent="0.4">
      <c r="A169" s="10" t="s">
        <v>952</v>
      </c>
      <c r="B169" s="77" t="s">
        <v>95</v>
      </c>
      <c r="C169" s="77">
        <f>C168+(BudgetsTable[[#This Row],[lead]]&lt;&gt;K168)</f>
        <v>38</v>
      </c>
      <c r="D169" s="77">
        <f>D168*(BudgetsTable[[#This Row],[lead]]=K168)+(BudgetsTable[[#This Row],[prop_id]]&lt;&gt;A168)</f>
        <v>1</v>
      </c>
      <c r="E169" s="78">
        <v>42935.603472222225</v>
      </c>
      <c r="F169" s="79" t="s">
        <v>1430</v>
      </c>
      <c r="G169" s="79" t="s">
        <v>477</v>
      </c>
      <c r="H169" s="79" t="s">
        <v>582</v>
      </c>
      <c r="I169" s="77" t="s">
        <v>611</v>
      </c>
      <c r="J169" s="77" t="s">
        <v>13</v>
      </c>
      <c r="K169" s="79" t="s">
        <v>952</v>
      </c>
      <c r="L169" s="7" t="str">
        <f>IF(BudgetsTable[[#This Row],[pi_last_name]]=" ","",HYPERLINK("https://www.ejacket.nsf.gov/ej/showProposal.do?Continue=Y&amp;ID="&amp;BudgetsTable[[#This Row],[prop_id]],BudgetsTable[[#This Row],[prop_id]]))</f>
        <v/>
      </c>
      <c r="M169" s="15" t="str">
        <f>IF(BudgetsTable[[#This Row],[pi_last_name]]=" ","",HYPERLINK("https://www.ejacket.nsf.gov/ej/processReviewAnalysis.do?dispatch=add&amp;uniqId="&amp;BudgetsTable[[#This Row],[prop_id]]&amp;PO_id,"&gt;ra"))</f>
        <v/>
      </c>
      <c r="N169" s="79" t="s">
        <v>13</v>
      </c>
      <c r="O169" s="7" t="str">
        <f>IF(BudgetsTable[[#This Row],[pi_last_name]]=" ","",HYPERLINK("mailto:"&amp;BudgetsTable[[#This Row],[pi_email]]&amp;"&amp;subject=Your NSF Proposal:  "&amp;BudgetsTable[[#This Row],[prop_id]],BudgetsTable[[#This Row],[pi_email]]))</f>
        <v/>
      </c>
      <c r="P169" s="79" t="s">
        <v>13</v>
      </c>
      <c r="Q169" s="79">
        <v>1</v>
      </c>
      <c r="R169" s="79">
        <v>1</v>
      </c>
      <c r="S169" s="80">
        <v>0</v>
      </c>
      <c r="T169" s="80">
        <v>2575</v>
      </c>
      <c r="U169" s="80">
        <v>0</v>
      </c>
      <c r="V169" s="81">
        <v>139503</v>
      </c>
      <c r="W169" s="79">
        <v>0</v>
      </c>
      <c r="X169" s="79">
        <v>3</v>
      </c>
      <c r="Y169" s="11" t="str">
        <f ca="1">IF(ISBLANK(BudgetsTable[[#This Row],[budg_seq_yr]]),"FY"&amp;fiscalyear,"FY"&amp;fiscalyear-1+BudgetsTable[[#This Row],[budg_seq_yr]])</f>
        <v>FY20</v>
      </c>
      <c r="Z169" s="80">
        <v>139503</v>
      </c>
      <c r="AA169" s="79" t="s">
        <v>477</v>
      </c>
      <c r="AB169" s="79" t="s">
        <v>582</v>
      </c>
      <c r="AC169" s="77" t="s">
        <v>94</v>
      </c>
      <c r="AD169" s="79" t="s">
        <v>1432</v>
      </c>
    </row>
    <row r="170" spans="1:30" x14ac:dyDescent="0.4">
      <c r="A170" s="10" t="s">
        <v>952</v>
      </c>
      <c r="B170" s="77" t="s">
        <v>95</v>
      </c>
      <c r="C170" s="77">
        <f>C169+(BudgetsTable[[#This Row],[lead]]&lt;&gt;K169)</f>
        <v>38</v>
      </c>
      <c r="D170" s="77">
        <f>D169*(BudgetsTable[[#This Row],[lead]]=K169)+(BudgetsTable[[#This Row],[prop_id]]&lt;&gt;A169)</f>
        <v>1</v>
      </c>
      <c r="E170" s="78">
        <v>42935.603472222225</v>
      </c>
      <c r="F170" s="79" t="s">
        <v>1430</v>
      </c>
      <c r="G170" s="79" t="s">
        <v>477</v>
      </c>
      <c r="H170" s="79" t="s">
        <v>582</v>
      </c>
      <c r="I170" s="77" t="s">
        <v>611</v>
      </c>
      <c r="J170" s="77" t="s">
        <v>13</v>
      </c>
      <c r="K170" s="79" t="s">
        <v>952</v>
      </c>
      <c r="L170" s="7" t="str">
        <f>IF(BudgetsTable[[#This Row],[pi_last_name]]=" ","",HYPERLINK("https://www.ejacket.nsf.gov/ej/showProposal.do?Continue=Y&amp;ID="&amp;BudgetsTable[[#This Row],[prop_id]],BudgetsTable[[#This Row],[prop_id]]))</f>
        <v/>
      </c>
      <c r="M170" s="15" t="str">
        <f>IF(BudgetsTable[[#This Row],[pi_last_name]]=" ","",HYPERLINK("https://www.ejacket.nsf.gov/ej/processReviewAnalysis.do?dispatch=add&amp;uniqId="&amp;BudgetsTable[[#This Row],[prop_id]]&amp;PO_id,"&gt;ra"))</f>
        <v/>
      </c>
      <c r="N170" s="79" t="s">
        <v>13</v>
      </c>
      <c r="O170" s="7" t="str">
        <f>IF(BudgetsTable[[#This Row],[pi_last_name]]=" ","",HYPERLINK("mailto:"&amp;BudgetsTable[[#This Row],[pi_email]]&amp;"&amp;subject=Your NSF Proposal:  "&amp;BudgetsTable[[#This Row],[prop_id]],BudgetsTable[[#This Row],[pi_email]]))</f>
        <v/>
      </c>
      <c r="P170" s="79" t="s">
        <v>13</v>
      </c>
      <c r="Q170" s="79">
        <v>1</v>
      </c>
      <c r="R170" s="79">
        <v>1</v>
      </c>
      <c r="S170" s="80">
        <v>0</v>
      </c>
      <c r="T170" s="80">
        <v>2575</v>
      </c>
      <c r="U170" s="80">
        <v>0</v>
      </c>
      <c r="V170" s="81">
        <v>143019</v>
      </c>
      <c r="W170" s="79">
        <v>0</v>
      </c>
      <c r="X170" s="79">
        <v>4</v>
      </c>
      <c r="Y170" s="11" t="str">
        <f ca="1">IF(ISBLANK(BudgetsTable[[#This Row],[budg_seq_yr]]),"FY"&amp;fiscalyear,"FY"&amp;fiscalyear-1+BudgetsTable[[#This Row],[budg_seq_yr]])</f>
        <v>FY21</v>
      </c>
      <c r="Z170" s="80">
        <v>143019</v>
      </c>
      <c r="AA170" s="79" t="s">
        <v>477</v>
      </c>
      <c r="AB170" s="79" t="s">
        <v>582</v>
      </c>
      <c r="AC170" s="77" t="s">
        <v>94</v>
      </c>
      <c r="AD170" s="79" t="s">
        <v>1432</v>
      </c>
    </row>
    <row r="171" spans="1:30" x14ac:dyDescent="0.4">
      <c r="A171" s="10" t="s">
        <v>952</v>
      </c>
      <c r="B171" s="77" t="s">
        <v>95</v>
      </c>
      <c r="C171" s="77">
        <f>C170+(BudgetsTable[[#This Row],[lead]]&lt;&gt;K170)</f>
        <v>38</v>
      </c>
      <c r="D171" s="77">
        <f>D170*(BudgetsTable[[#This Row],[lead]]=K170)+(BudgetsTable[[#This Row],[prop_id]]&lt;&gt;A170)</f>
        <v>1</v>
      </c>
      <c r="E171" s="78">
        <v>42935.603472222225</v>
      </c>
      <c r="F171" s="79" t="s">
        <v>1430</v>
      </c>
      <c r="G171" s="79" t="s">
        <v>477</v>
      </c>
      <c r="H171" s="79" t="s">
        <v>582</v>
      </c>
      <c r="I171" s="77" t="s">
        <v>611</v>
      </c>
      <c r="J171" s="77" t="s">
        <v>13</v>
      </c>
      <c r="K171" s="79" t="s">
        <v>952</v>
      </c>
      <c r="L171" s="7" t="str">
        <f>IF(BudgetsTable[[#This Row],[pi_last_name]]=" ","",HYPERLINK("https://www.ejacket.nsf.gov/ej/showProposal.do?Continue=Y&amp;ID="&amp;BudgetsTable[[#This Row],[prop_id]],BudgetsTable[[#This Row],[prop_id]]))</f>
        <v/>
      </c>
      <c r="M171" s="15" t="str">
        <f>IF(BudgetsTable[[#This Row],[pi_last_name]]=" ","",HYPERLINK("https://www.ejacket.nsf.gov/ej/processReviewAnalysis.do?dispatch=add&amp;uniqId="&amp;BudgetsTable[[#This Row],[prop_id]]&amp;PO_id,"&gt;ra"))</f>
        <v/>
      </c>
      <c r="N171" s="79" t="s">
        <v>13</v>
      </c>
      <c r="O171" s="7" t="str">
        <f>IF(BudgetsTable[[#This Row],[pi_last_name]]=" ","",HYPERLINK("mailto:"&amp;BudgetsTable[[#This Row],[pi_email]]&amp;"&amp;subject=Your NSF Proposal:  "&amp;BudgetsTable[[#This Row],[prop_id]],BudgetsTable[[#This Row],[pi_email]]))</f>
        <v/>
      </c>
      <c r="P171" s="79" t="s">
        <v>13</v>
      </c>
      <c r="Q171" s="79">
        <v>1</v>
      </c>
      <c r="R171" s="79">
        <v>1</v>
      </c>
      <c r="S171" s="80">
        <v>0</v>
      </c>
      <c r="T171" s="80">
        <v>2575</v>
      </c>
      <c r="U171" s="80">
        <v>0</v>
      </c>
      <c r="V171" s="81">
        <v>146643</v>
      </c>
      <c r="W171" s="79">
        <v>0</v>
      </c>
      <c r="X171" s="79">
        <v>5</v>
      </c>
      <c r="Y171" s="11" t="str">
        <f ca="1">IF(ISBLANK(BudgetsTable[[#This Row],[budg_seq_yr]]),"FY"&amp;fiscalyear,"FY"&amp;fiscalyear-1+BudgetsTable[[#This Row],[budg_seq_yr]])</f>
        <v>FY22</v>
      </c>
      <c r="Z171" s="80">
        <v>146643</v>
      </c>
      <c r="AA171" s="79" t="s">
        <v>477</v>
      </c>
      <c r="AB171" s="79" t="s">
        <v>582</v>
      </c>
      <c r="AC171" s="77" t="s">
        <v>94</v>
      </c>
      <c r="AD171" s="79" t="s">
        <v>1432</v>
      </c>
    </row>
    <row r="172" spans="1:30" x14ac:dyDescent="0.4">
      <c r="A172" s="10" t="s">
        <v>961</v>
      </c>
      <c r="B172" s="77" t="s">
        <v>95</v>
      </c>
      <c r="C172" s="77">
        <f>C171+(BudgetsTable[[#This Row],[lead]]&lt;&gt;K171)</f>
        <v>39</v>
      </c>
      <c r="D172" s="77">
        <f>D171*(BudgetsTable[[#This Row],[lead]]=K171)+(BudgetsTable[[#This Row],[prop_id]]&lt;&gt;A171)</f>
        <v>1</v>
      </c>
      <c r="E172" s="78">
        <v>42935.620138888888</v>
      </c>
      <c r="F172" s="79" t="s">
        <v>1430</v>
      </c>
      <c r="G172" s="79" t="s">
        <v>477</v>
      </c>
      <c r="H172" s="79" t="s">
        <v>582</v>
      </c>
      <c r="I172" s="77" t="s">
        <v>654</v>
      </c>
      <c r="J172" s="77" t="s">
        <v>1569</v>
      </c>
      <c r="K172" s="79" t="s">
        <v>961</v>
      </c>
      <c r="L172" s="7" t="str">
        <f>IF(BudgetsTable[[#This Row],[pi_last_name]]=" ","",HYPERLINK("https://www.ejacket.nsf.gov/ej/showProposal.do?Continue=Y&amp;ID="&amp;BudgetsTable[[#This Row],[prop_id]],BudgetsTable[[#This Row],[prop_id]]))</f>
        <v>1750716</v>
      </c>
      <c r="M172" s="15" t="e">
        <f>IF(BudgetsTable[[#This Row],[pi_last_name]]=" ","",HYPERLINK("https://www.ejacket.nsf.gov/ej/processReviewAnalysis.do?dispatch=add&amp;uniqId="&amp;BudgetsTable[[#This Row],[prop_id]]&amp;PO_id,"&gt;ra"))</f>
        <v>#REF!</v>
      </c>
      <c r="N172" s="79" t="s">
        <v>489</v>
      </c>
      <c r="O172" s="7" t="str">
        <f>IF(BudgetsTable[[#This Row],[pi_last_name]]=" ","",HYPERLINK("mailto:"&amp;BudgetsTable[[#This Row],[pi_email]]&amp;"&amp;subject=Your NSF Proposal:  "&amp;BudgetsTable[[#This Row],[prop_id]],BudgetsTable[[#This Row],[pi_email]]))</f>
        <v>hu.nguyen@neu.edu</v>
      </c>
      <c r="P172" s="79" t="s">
        <v>502</v>
      </c>
      <c r="Q172" s="79"/>
      <c r="R172" s="79"/>
      <c r="S172" s="80"/>
      <c r="T172" s="80"/>
      <c r="U172" s="80"/>
      <c r="V172" s="81"/>
      <c r="W172" s="79">
        <v>0</v>
      </c>
      <c r="X172" s="79"/>
      <c r="Y172" s="11" t="str">
        <f ca="1">IF(ISBLANK(BudgetsTable[[#This Row],[budg_seq_yr]]),"FY"&amp;fiscalyear,"FY"&amp;fiscalyear-1+BudgetsTable[[#This Row],[budg_seq_yr]])</f>
        <v>FY18</v>
      </c>
      <c r="Z172" s="80">
        <v>551453</v>
      </c>
      <c r="AA172" s="79" t="s">
        <v>477</v>
      </c>
      <c r="AB172" s="79" t="s">
        <v>582</v>
      </c>
      <c r="AC172" s="77" t="s">
        <v>94</v>
      </c>
      <c r="AD172" s="79" t="s">
        <v>1432</v>
      </c>
    </row>
    <row r="173" spans="1:30" x14ac:dyDescent="0.4">
      <c r="A173" s="10" t="s">
        <v>961</v>
      </c>
      <c r="B173" s="77" t="s">
        <v>95</v>
      </c>
      <c r="C173" s="77">
        <f>C172+(BudgetsTable[[#This Row],[lead]]&lt;&gt;K172)</f>
        <v>39</v>
      </c>
      <c r="D173" s="77">
        <f>D172*(BudgetsTable[[#This Row],[lead]]=K172)+(BudgetsTable[[#This Row],[prop_id]]&lt;&gt;A172)</f>
        <v>1</v>
      </c>
      <c r="E173" s="78">
        <v>42935.620138888888</v>
      </c>
      <c r="F173" s="79" t="s">
        <v>1430</v>
      </c>
      <c r="G173" s="79" t="s">
        <v>477</v>
      </c>
      <c r="H173" s="79" t="s">
        <v>582</v>
      </c>
      <c r="I173" s="77" t="s">
        <v>654</v>
      </c>
      <c r="J173" s="77" t="s">
        <v>13</v>
      </c>
      <c r="K173" s="79" t="s">
        <v>961</v>
      </c>
      <c r="L173" s="7" t="str">
        <f>IF(BudgetsTable[[#This Row],[pi_last_name]]=" ","",HYPERLINK("https://www.ejacket.nsf.gov/ej/showProposal.do?Continue=Y&amp;ID="&amp;BudgetsTable[[#This Row],[prop_id]],BudgetsTable[[#This Row],[prop_id]]))</f>
        <v/>
      </c>
      <c r="M173" s="15" t="str">
        <f>IF(BudgetsTable[[#This Row],[pi_last_name]]=" ","",HYPERLINK("https://www.ejacket.nsf.gov/ej/processReviewAnalysis.do?dispatch=add&amp;uniqId="&amp;BudgetsTable[[#This Row],[prop_id]]&amp;PO_id,"&gt;ra"))</f>
        <v/>
      </c>
      <c r="N173" s="79" t="s">
        <v>13</v>
      </c>
      <c r="O173" s="7" t="str">
        <f>IF(BudgetsTable[[#This Row],[pi_last_name]]=" ","",HYPERLINK("mailto:"&amp;BudgetsTable[[#This Row],[pi_email]]&amp;"&amp;subject=Your NSF Proposal:  "&amp;BudgetsTable[[#This Row],[prop_id]],BudgetsTable[[#This Row],[pi_email]]))</f>
        <v/>
      </c>
      <c r="P173" s="79" t="s">
        <v>13</v>
      </c>
      <c r="Q173" s="79">
        <v>1</v>
      </c>
      <c r="R173" s="79">
        <v>1</v>
      </c>
      <c r="S173" s="80">
        <v>0</v>
      </c>
      <c r="T173" s="80">
        <v>2500</v>
      </c>
      <c r="U173" s="80">
        <v>0</v>
      </c>
      <c r="V173" s="81">
        <v>103869</v>
      </c>
      <c r="W173" s="79">
        <v>0</v>
      </c>
      <c r="X173" s="79">
        <v>1</v>
      </c>
      <c r="Y173" s="11" t="str">
        <f ca="1">IF(ISBLANK(BudgetsTable[[#This Row],[budg_seq_yr]]),"FY"&amp;fiscalyear,"FY"&amp;fiscalyear-1+BudgetsTable[[#This Row],[budg_seq_yr]])</f>
        <v>FY18</v>
      </c>
      <c r="Z173" s="80">
        <v>103869</v>
      </c>
      <c r="AA173" s="79" t="s">
        <v>477</v>
      </c>
      <c r="AB173" s="79" t="s">
        <v>582</v>
      </c>
      <c r="AC173" s="77" t="s">
        <v>94</v>
      </c>
      <c r="AD173" s="79" t="s">
        <v>1432</v>
      </c>
    </row>
    <row r="174" spans="1:30" x14ac:dyDescent="0.4">
      <c r="A174" s="10" t="s">
        <v>961</v>
      </c>
      <c r="B174" s="77" t="s">
        <v>95</v>
      </c>
      <c r="C174" s="77">
        <f>C173+(BudgetsTable[[#This Row],[lead]]&lt;&gt;K173)</f>
        <v>39</v>
      </c>
      <c r="D174" s="77">
        <f>D173*(BudgetsTable[[#This Row],[lead]]=K173)+(BudgetsTable[[#This Row],[prop_id]]&lt;&gt;A173)</f>
        <v>1</v>
      </c>
      <c r="E174" s="78">
        <v>42935.620138888888</v>
      </c>
      <c r="F174" s="79" t="s">
        <v>1430</v>
      </c>
      <c r="G174" s="79" t="s">
        <v>477</v>
      </c>
      <c r="H174" s="79" t="s">
        <v>582</v>
      </c>
      <c r="I174" s="77" t="s">
        <v>654</v>
      </c>
      <c r="J174" s="77" t="s">
        <v>13</v>
      </c>
      <c r="K174" s="79" t="s">
        <v>961</v>
      </c>
      <c r="L174" s="7" t="str">
        <f>IF(BudgetsTable[[#This Row],[pi_last_name]]=" ","",HYPERLINK("https://www.ejacket.nsf.gov/ej/showProposal.do?Continue=Y&amp;ID="&amp;BudgetsTable[[#This Row],[prop_id]],BudgetsTable[[#This Row],[prop_id]]))</f>
        <v/>
      </c>
      <c r="M174" s="15" t="str">
        <f>IF(BudgetsTable[[#This Row],[pi_last_name]]=" ","",HYPERLINK("https://www.ejacket.nsf.gov/ej/processReviewAnalysis.do?dispatch=add&amp;uniqId="&amp;BudgetsTable[[#This Row],[prop_id]]&amp;PO_id,"&gt;ra"))</f>
        <v/>
      </c>
      <c r="N174" s="79" t="s">
        <v>13</v>
      </c>
      <c r="O174" s="7" t="str">
        <f>IF(BudgetsTable[[#This Row],[pi_last_name]]=" ","",HYPERLINK("mailto:"&amp;BudgetsTable[[#This Row],[pi_email]]&amp;"&amp;subject=Your NSF Proposal:  "&amp;BudgetsTable[[#This Row],[prop_id]],BudgetsTable[[#This Row],[pi_email]]))</f>
        <v/>
      </c>
      <c r="P174" s="79" t="s">
        <v>13</v>
      </c>
      <c r="Q174" s="79">
        <v>1</v>
      </c>
      <c r="R174" s="79">
        <v>1</v>
      </c>
      <c r="S174" s="80">
        <v>0</v>
      </c>
      <c r="T174" s="80">
        <v>2575</v>
      </c>
      <c r="U174" s="80">
        <v>0</v>
      </c>
      <c r="V174" s="81">
        <v>106984</v>
      </c>
      <c r="W174" s="79">
        <v>0</v>
      </c>
      <c r="X174" s="79">
        <v>2</v>
      </c>
      <c r="Y174" s="11" t="str">
        <f ca="1">IF(ISBLANK(BudgetsTable[[#This Row],[budg_seq_yr]]),"FY"&amp;fiscalyear,"FY"&amp;fiscalyear-1+BudgetsTable[[#This Row],[budg_seq_yr]])</f>
        <v>FY19</v>
      </c>
      <c r="Z174" s="80">
        <v>106984</v>
      </c>
      <c r="AA174" s="79" t="s">
        <v>477</v>
      </c>
      <c r="AB174" s="79" t="s">
        <v>582</v>
      </c>
      <c r="AC174" s="77" t="s">
        <v>94</v>
      </c>
      <c r="AD174" s="79" t="s">
        <v>1432</v>
      </c>
    </row>
    <row r="175" spans="1:30" x14ac:dyDescent="0.4">
      <c r="A175" s="10" t="s">
        <v>961</v>
      </c>
      <c r="B175" s="77" t="s">
        <v>95</v>
      </c>
      <c r="C175" s="77">
        <f>C174+(BudgetsTable[[#This Row],[lead]]&lt;&gt;K174)</f>
        <v>39</v>
      </c>
      <c r="D175" s="77">
        <f>D174*(BudgetsTable[[#This Row],[lead]]=K174)+(BudgetsTable[[#This Row],[prop_id]]&lt;&gt;A174)</f>
        <v>1</v>
      </c>
      <c r="E175" s="78">
        <v>42935.620138888888</v>
      </c>
      <c r="F175" s="79" t="s">
        <v>1430</v>
      </c>
      <c r="G175" s="79" t="s">
        <v>477</v>
      </c>
      <c r="H175" s="79" t="s">
        <v>582</v>
      </c>
      <c r="I175" s="77" t="s">
        <v>654</v>
      </c>
      <c r="J175" s="77" t="s">
        <v>13</v>
      </c>
      <c r="K175" s="79" t="s">
        <v>961</v>
      </c>
      <c r="L175" s="7" t="str">
        <f>IF(BudgetsTable[[#This Row],[pi_last_name]]=" ","",HYPERLINK("https://www.ejacket.nsf.gov/ej/showProposal.do?Continue=Y&amp;ID="&amp;BudgetsTable[[#This Row],[prop_id]],BudgetsTable[[#This Row],[prop_id]]))</f>
        <v/>
      </c>
      <c r="M175" s="15" t="str">
        <f>IF(BudgetsTable[[#This Row],[pi_last_name]]=" ","",HYPERLINK("https://www.ejacket.nsf.gov/ej/processReviewAnalysis.do?dispatch=add&amp;uniqId="&amp;BudgetsTable[[#This Row],[prop_id]]&amp;PO_id,"&gt;ra"))</f>
        <v/>
      </c>
      <c r="N175" s="79" t="s">
        <v>13</v>
      </c>
      <c r="O175" s="7" t="str">
        <f>IF(BudgetsTable[[#This Row],[pi_last_name]]=" ","",HYPERLINK("mailto:"&amp;BudgetsTable[[#This Row],[pi_email]]&amp;"&amp;subject=Your NSF Proposal:  "&amp;BudgetsTable[[#This Row],[prop_id]],BudgetsTable[[#This Row],[pi_email]]))</f>
        <v/>
      </c>
      <c r="P175" s="79" t="s">
        <v>13</v>
      </c>
      <c r="Q175" s="79">
        <v>1</v>
      </c>
      <c r="R175" s="79">
        <v>1</v>
      </c>
      <c r="S175" s="80">
        <v>0</v>
      </c>
      <c r="T175" s="80">
        <v>2652</v>
      </c>
      <c r="U175" s="80">
        <v>0</v>
      </c>
      <c r="V175" s="81">
        <v>110195</v>
      </c>
      <c r="W175" s="79">
        <v>0</v>
      </c>
      <c r="X175" s="79">
        <v>3</v>
      </c>
      <c r="Y175" s="11" t="str">
        <f ca="1">IF(ISBLANK(BudgetsTable[[#This Row],[budg_seq_yr]]),"FY"&amp;fiscalyear,"FY"&amp;fiscalyear-1+BudgetsTable[[#This Row],[budg_seq_yr]])</f>
        <v>FY20</v>
      </c>
      <c r="Z175" s="80">
        <v>110195</v>
      </c>
      <c r="AA175" s="79" t="s">
        <v>477</v>
      </c>
      <c r="AB175" s="79" t="s">
        <v>582</v>
      </c>
      <c r="AC175" s="77" t="s">
        <v>94</v>
      </c>
      <c r="AD175" s="79" t="s">
        <v>1432</v>
      </c>
    </row>
    <row r="176" spans="1:30" x14ac:dyDescent="0.4">
      <c r="A176" s="10" t="s">
        <v>961</v>
      </c>
      <c r="B176" s="77" t="s">
        <v>95</v>
      </c>
      <c r="C176" s="77">
        <f>C175+(BudgetsTable[[#This Row],[lead]]&lt;&gt;K175)</f>
        <v>39</v>
      </c>
      <c r="D176" s="77">
        <f>D175*(BudgetsTable[[#This Row],[lead]]=K175)+(BudgetsTable[[#This Row],[prop_id]]&lt;&gt;A175)</f>
        <v>1</v>
      </c>
      <c r="E176" s="78">
        <v>42935.620138888888</v>
      </c>
      <c r="F176" s="79" t="s">
        <v>1430</v>
      </c>
      <c r="G176" s="79" t="s">
        <v>477</v>
      </c>
      <c r="H176" s="79" t="s">
        <v>582</v>
      </c>
      <c r="I176" s="77" t="s">
        <v>654</v>
      </c>
      <c r="J176" s="77" t="s">
        <v>13</v>
      </c>
      <c r="K176" s="79" t="s">
        <v>961</v>
      </c>
      <c r="L176" s="7" t="str">
        <f>IF(BudgetsTable[[#This Row],[pi_last_name]]=" ","",HYPERLINK("https://www.ejacket.nsf.gov/ej/showProposal.do?Continue=Y&amp;ID="&amp;BudgetsTable[[#This Row],[prop_id]],BudgetsTable[[#This Row],[prop_id]]))</f>
        <v/>
      </c>
      <c r="M176" s="15" t="str">
        <f>IF(BudgetsTable[[#This Row],[pi_last_name]]=" ","",HYPERLINK("https://www.ejacket.nsf.gov/ej/processReviewAnalysis.do?dispatch=add&amp;uniqId="&amp;BudgetsTable[[#This Row],[prop_id]]&amp;PO_id,"&gt;ra"))</f>
        <v/>
      </c>
      <c r="N176" s="79" t="s">
        <v>13</v>
      </c>
      <c r="O176" s="7" t="str">
        <f>IF(BudgetsTable[[#This Row],[pi_last_name]]=" ","",HYPERLINK("mailto:"&amp;BudgetsTable[[#This Row],[pi_email]]&amp;"&amp;subject=Your NSF Proposal:  "&amp;BudgetsTable[[#This Row],[prop_id]],BudgetsTable[[#This Row],[pi_email]]))</f>
        <v/>
      </c>
      <c r="P176" s="79" t="s">
        <v>13</v>
      </c>
      <c r="Q176" s="79">
        <v>1</v>
      </c>
      <c r="R176" s="79">
        <v>1</v>
      </c>
      <c r="S176" s="80">
        <v>0</v>
      </c>
      <c r="T176" s="80">
        <v>2732</v>
      </c>
      <c r="U176" s="80">
        <v>0</v>
      </c>
      <c r="V176" s="81">
        <v>113499</v>
      </c>
      <c r="W176" s="79">
        <v>0</v>
      </c>
      <c r="X176" s="79">
        <v>4</v>
      </c>
      <c r="Y176" s="11" t="str">
        <f ca="1">IF(ISBLANK(BudgetsTable[[#This Row],[budg_seq_yr]]),"FY"&amp;fiscalyear,"FY"&amp;fiscalyear-1+BudgetsTable[[#This Row],[budg_seq_yr]])</f>
        <v>FY21</v>
      </c>
      <c r="Z176" s="80">
        <v>113499</v>
      </c>
      <c r="AA176" s="79" t="s">
        <v>477</v>
      </c>
      <c r="AB176" s="79" t="s">
        <v>582</v>
      </c>
      <c r="AC176" s="77" t="s">
        <v>94</v>
      </c>
      <c r="AD176" s="79" t="s">
        <v>1432</v>
      </c>
    </row>
    <row r="177" spans="1:30" x14ac:dyDescent="0.4">
      <c r="A177" s="10" t="s">
        <v>961</v>
      </c>
      <c r="B177" s="77" t="s">
        <v>95</v>
      </c>
      <c r="C177" s="77">
        <f>C176+(BudgetsTable[[#This Row],[lead]]&lt;&gt;K176)</f>
        <v>39</v>
      </c>
      <c r="D177" s="77">
        <f>D176*(BudgetsTable[[#This Row],[lead]]=K176)+(BudgetsTable[[#This Row],[prop_id]]&lt;&gt;A176)</f>
        <v>1</v>
      </c>
      <c r="E177" s="78">
        <v>42935.620138888888</v>
      </c>
      <c r="F177" s="79" t="s">
        <v>1430</v>
      </c>
      <c r="G177" s="79" t="s">
        <v>477</v>
      </c>
      <c r="H177" s="79" t="s">
        <v>582</v>
      </c>
      <c r="I177" s="77" t="s">
        <v>654</v>
      </c>
      <c r="J177" s="77" t="s">
        <v>13</v>
      </c>
      <c r="K177" s="79" t="s">
        <v>961</v>
      </c>
      <c r="L177" s="7" t="str">
        <f>IF(BudgetsTable[[#This Row],[pi_last_name]]=" ","",HYPERLINK("https://www.ejacket.nsf.gov/ej/showProposal.do?Continue=Y&amp;ID="&amp;BudgetsTable[[#This Row],[prop_id]],BudgetsTable[[#This Row],[prop_id]]))</f>
        <v/>
      </c>
      <c r="M177" s="15" t="str">
        <f>IF(BudgetsTable[[#This Row],[pi_last_name]]=" ","",HYPERLINK("https://www.ejacket.nsf.gov/ej/processReviewAnalysis.do?dispatch=add&amp;uniqId="&amp;BudgetsTable[[#This Row],[prop_id]]&amp;PO_id,"&gt;ra"))</f>
        <v/>
      </c>
      <c r="N177" s="79" t="s">
        <v>13</v>
      </c>
      <c r="O177" s="7" t="str">
        <f>IF(BudgetsTable[[#This Row],[pi_last_name]]=" ","",HYPERLINK("mailto:"&amp;BudgetsTable[[#This Row],[pi_email]]&amp;"&amp;subject=Your NSF Proposal:  "&amp;BudgetsTable[[#This Row],[prop_id]],BudgetsTable[[#This Row],[pi_email]]))</f>
        <v/>
      </c>
      <c r="P177" s="79" t="s">
        <v>13</v>
      </c>
      <c r="Q177" s="79">
        <v>1</v>
      </c>
      <c r="R177" s="79">
        <v>1</v>
      </c>
      <c r="S177" s="80">
        <v>0</v>
      </c>
      <c r="T177" s="80">
        <v>2814</v>
      </c>
      <c r="U177" s="80">
        <v>0</v>
      </c>
      <c r="V177" s="81">
        <v>116906</v>
      </c>
      <c r="W177" s="79">
        <v>0</v>
      </c>
      <c r="X177" s="79">
        <v>5</v>
      </c>
      <c r="Y177" s="11" t="str">
        <f ca="1">IF(ISBLANK(BudgetsTable[[#This Row],[budg_seq_yr]]),"FY"&amp;fiscalyear,"FY"&amp;fiscalyear-1+BudgetsTable[[#This Row],[budg_seq_yr]])</f>
        <v>FY22</v>
      </c>
      <c r="Z177" s="80">
        <v>116906</v>
      </c>
      <c r="AA177" s="79" t="s">
        <v>477</v>
      </c>
      <c r="AB177" s="79" t="s">
        <v>582</v>
      </c>
      <c r="AC177" s="77" t="s">
        <v>94</v>
      </c>
      <c r="AD177" s="79" t="s">
        <v>1432</v>
      </c>
    </row>
    <row r="178" spans="1:30" x14ac:dyDescent="0.4">
      <c r="A178" s="10" t="s">
        <v>971</v>
      </c>
      <c r="B178" s="77" t="s">
        <v>95</v>
      </c>
      <c r="C178" s="77">
        <f>C177+(BudgetsTable[[#This Row],[lead]]&lt;&gt;K177)</f>
        <v>40</v>
      </c>
      <c r="D178" s="77">
        <f>D177*(BudgetsTable[[#This Row],[lead]]=K177)+(BudgetsTable[[#This Row],[prop_id]]&lt;&gt;A177)</f>
        <v>1</v>
      </c>
      <c r="E178" s="78">
        <v>42935.633333333331</v>
      </c>
      <c r="F178" s="79" t="s">
        <v>1430</v>
      </c>
      <c r="G178" s="79" t="s">
        <v>477</v>
      </c>
      <c r="H178" s="79" t="s">
        <v>582</v>
      </c>
      <c r="I178" s="77" t="s">
        <v>604</v>
      </c>
      <c r="J178" s="77" t="s">
        <v>1572</v>
      </c>
      <c r="K178" s="79" t="s">
        <v>971</v>
      </c>
      <c r="L178" s="7" t="str">
        <f>IF(BudgetsTable[[#This Row],[pi_last_name]]=" ","",HYPERLINK("https://www.ejacket.nsf.gov/ej/showProposal.do?Continue=Y&amp;ID="&amp;BudgetsTable[[#This Row],[prop_id]],BudgetsTable[[#This Row],[prop_id]]))</f>
        <v>1750780</v>
      </c>
      <c r="M178" s="15" t="e">
        <f>IF(BudgetsTable[[#This Row],[pi_last_name]]=" ","",HYPERLINK("https://www.ejacket.nsf.gov/ej/processReviewAnalysis.do?dispatch=add&amp;uniqId="&amp;BudgetsTable[[#This Row],[prop_id]]&amp;PO_id,"&gt;ra"))</f>
        <v>#REF!</v>
      </c>
      <c r="N178" s="79" t="s">
        <v>972</v>
      </c>
      <c r="O178" s="7" t="str">
        <f>IF(BudgetsTable[[#This Row],[pi_last_name]]=" ","",HYPERLINK("mailto:"&amp;BudgetsTable[[#This Row],[pi_email]]&amp;"&amp;subject=Your NSF Proposal:  "&amp;BudgetsTable[[#This Row],[prop_id]],BudgetsTable[[#This Row],[pi_email]]))</f>
        <v>Benjamin.Raichel@utdallas.edu</v>
      </c>
      <c r="P178" s="79" t="s">
        <v>1570</v>
      </c>
      <c r="Q178" s="79"/>
      <c r="R178" s="79"/>
      <c r="S178" s="80"/>
      <c r="T178" s="80"/>
      <c r="U178" s="80"/>
      <c r="V178" s="81"/>
      <c r="W178" s="79">
        <v>0</v>
      </c>
      <c r="X178" s="79"/>
      <c r="Y178" s="11" t="str">
        <f ca="1">IF(ISBLANK(BudgetsTable[[#This Row],[budg_seq_yr]]),"FY"&amp;fiscalyear,"FY"&amp;fiscalyear-1+BudgetsTable[[#This Row],[budg_seq_yr]])</f>
        <v>FY18</v>
      </c>
      <c r="Z178" s="80">
        <v>582785</v>
      </c>
      <c r="AA178" s="79" t="s">
        <v>477</v>
      </c>
      <c r="AB178" s="79" t="s">
        <v>582</v>
      </c>
      <c r="AC178" s="77" t="s">
        <v>94</v>
      </c>
      <c r="AD178" s="79" t="s">
        <v>1439</v>
      </c>
    </row>
    <row r="179" spans="1:30" x14ac:dyDescent="0.4">
      <c r="A179" s="10" t="s">
        <v>971</v>
      </c>
      <c r="B179" s="77" t="s">
        <v>95</v>
      </c>
      <c r="C179" s="77">
        <f>C178+(BudgetsTable[[#This Row],[lead]]&lt;&gt;K178)</f>
        <v>40</v>
      </c>
      <c r="D179" s="77">
        <f>D178*(BudgetsTable[[#This Row],[lead]]=K178)+(BudgetsTable[[#This Row],[prop_id]]&lt;&gt;A178)</f>
        <v>1</v>
      </c>
      <c r="E179" s="78">
        <v>42935.633333333331</v>
      </c>
      <c r="F179" s="79" t="s">
        <v>1430</v>
      </c>
      <c r="G179" s="79" t="s">
        <v>477</v>
      </c>
      <c r="H179" s="79" t="s">
        <v>582</v>
      </c>
      <c r="I179" s="77" t="s">
        <v>604</v>
      </c>
      <c r="J179" s="77" t="s">
        <v>13</v>
      </c>
      <c r="K179" s="79" t="s">
        <v>971</v>
      </c>
      <c r="L179" s="7" t="str">
        <f>IF(BudgetsTable[[#This Row],[pi_last_name]]=" ","",HYPERLINK("https://www.ejacket.nsf.gov/ej/showProposal.do?Continue=Y&amp;ID="&amp;BudgetsTable[[#This Row],[prop_id]],BudgetsTable[[#This Row],[prop_id]]))</f>
        <v/>
      </c>
      <c r="M179" s="15" t="str">
        <f>IF(BudgetsTable[[#This Row],[pi_last_name]]=" ","",HYPERLINK("https://www.ejacket.nsf.gov/ej/processReviewAnalysis.do?dispatch=add&amp;uniqId="&amp;BudgetsTable[[#This Row],[prop_id]]&amp;PO_id,"&gt;ra"))</f>
        <v/>
      </c>
      <c r="N179" s="79" t="s">
        <v>13</v>
      </c>
      <c r="O179" s="7" t="str">
        <f>IF(BudgetsTable[[#This Row],[pi_last_name]]=" ","",HYPERLINK("mailto:"&amp;BudgetsTable[[#This Row],[pi_email]]&amp;"&amp;subject=Your NSF Proposal:  "&amp;BudgetsTable[[#This Row],[prop_id]],BudgetsTable[[#This Row],[pi_email]]))</f>
        <v/>
      </c>
      <c r="P179" s="79" t="s">
        <v>13</v>
      </c>
      <c r="Q179" s="79">
        <v>1</v>
      </c>
      <c r="R179" s="79">
        <v>1</v>
      </c>
      <c r="S179" s="80">
        <v>0</v>
      </c>
      <c r="T179" s="80">
        <v>2500</v>
      </c>
      <c r="U179" s="80">
        <v>0</v>
      </c>
      <c r="V179" s="81">
        <v>113134</v>
      </c>
      <c r="W179" s="79">
        <v>0</v>
      </c>
      <c r="X179" s="79">
        <v>1</v>
      </c>
      <c r="Y179" s="11" t="str">
        <f ca="1">IF(ISBLANK(BudgetsTable[[#This Row],[budg_seq_yr]]),"FY"&amp;fiscalyear,"FY"&amp;fiscalyear-1+BudgetsTable[[#This Row],[budg_seq_yr]])</f>
        <v>FY18</v>
      </c>
      <c r="Z179" s="80">
        <v>113134</v>
      </c>
      <c r="AA179" s="79" t="s">
        <v>477</v>
      </c>
      <c r="AB179" s="79" t="s">
        <v>582</v>
      </c>
      <c r="AC179" s="77" t="s">
        <v>94</v>
      </c>
      <c r="AD179" s="79" t="s">
        <v>1439</v>
      </c>
    </row>
    <row r="180" spans="1:30" x14ac:dyDescent="0.4">
      <c r="A180" s="10" t="s">
        <v>971</v>
      </c>
      <c r="B180" s="77" t="s">
        <v>95</v>
      </c>
      <c r="C180" s="77">
        <f>C179+(BudgetsTable[[#This Row],[lead]]&lt;&gt;K179)</f>
        <v>40</v>
      </c>
      <c r="D180" s="77">
        <f>D179*(BudgetsTable[[#This Row],[lead]]=K179)+(BudgetsTable[[#This Row],[prop_id]]&lt;&gt;A179)</f>
        <v>1</v>
      </c>
      <c r="E180" s="78">
        <v>42935.633333333331</v>
      </c>
      <c r="F180" s="79" t="s">
        <v>1430</v>
      </c>
      <c r="G180" s="79" t="s">
        <v>477</v>
      </c>
      <c r="H180" s="79" t="s">
        <v>582</v>
      </c>
      <c r="I180" s="77" t="s">
        <v>604</v>
      </c>
      <c r="J180" s="77" t="s">
        <v>13</v>
      </c>
      <c r="K180" s="79" t="s">
        <v>971</v>
      </c>
      <c r="L180" s="7" t="str">
        <f>IF(BudgetsTable[[#This Row],[pi_last_name]]=" ","",HYPERLINK("https://www.ejacket.nsf.gov/ej/showProposal.do?Continue=Y&amp;ID="&amp;BudgetsTable[[#This Row],[prop_id]],BudgetsTable[[#This Row],[prop_id]]))</f>
        <v/>
      </c>
      <c r="M180" s="15" t="str">
        <f>IF(BudgetsTable[[#This Row],[pi_last_name]]=" ","",HYPERLINK("https://www.ejacket.nsf.gov/ej/processReviewAnalysis.do?dispatch=add&amp;uniqId="&amp;BudgetsTable[[#This Row],[prop_id]]&amp;PO_id,"&gt;ra"))</f>
        <v/>
      </c>
      <c r="N180" s="79" t="s">
        <v>13</v>
      </c>
      <c r="O180" s="7" t="str">
        <f>IF(BudgetsTable[[#This Row],[pi_last_name]]=" ","",HYPERLINK("mailto:"&amp;BudgetsTable[[#This Row],[pi_email]]&amp;"&amp;subject=Your NSF Proposal:  "&amp;BudgetsTable[[#This Row],[prop_id]],BudgetsTable[[#This Row],[pi_email]]))</f>
        <v/>
      </c>
      <c r="P180" s="79" t="s">
        <v>13</v>
      </c>
      <c r="Q180" s="79">
        <v>1</v>
      </c>
      <c r="R180" s="79">
        <v>1</v>
      </c>
      <c r="S180" s="80">
        <v>0</v>
      </c>
      <c r="T180" s="80">
        <v>0</v>
      </c>
      <c r="U180" s="80">
        <v>0</v>
      </c>
      <c r="V180" s="81">
        <v>113214</v>
      </c>
      <c r="W180" s="79">
        <v>0</v>
      </c>
      <c r="X180" s="79">
        <v>2</v>
      </c>
      <c r="Y180" s="11" t="str">
        <f ca="1">IF(ISBLANK(BudgetsTable[[#This Row],[budg_seq_yr]]),"FY"&amp;fiscalyear,"FY"&amp;fiscalyear-1+BudgetsTable[[#This Row],[budg_seq_yr]])</f>
        <v>FY19</v>
      </c>
      <c r="Z180" s="80">
        <v>113214</v>
      </c>
      <c r="AA180" s="79" t="s">
        <v>477</v>
      </c>
      <c r="AB180" s="79" t="s">
        <v>582</v>
      </c>
      <c r="AC180" s="77" t="s">
        <v>94</v>
      </c>
      <c r="AD180" s="79" t="s">
        <v>1439</v>
      </c>
    </row>
    <row r="181" spans="1:30" x14ac:dyDescent="0.4">
      <c r="A181" s="10" t="s">
        <v>971</v>
      </c>
      <c r="B181" s="77" t="s">
        <v>95</v>
      </c>
      <c r="C181" s="77">
        <f>C180+(BudgetsTable[[#This Row],[lead]]&lt;&gt;K180)</f>
        <v>40</v>
      </c>
      <c r="D181" s="77">
        <f>D180*(BudgetsTable[[#This Row],[lead]]=K180)+(BudgetsTable[[#This Row],[prop_id]]&lt;&gt;A180)</f>
        <v>1</v>
      </c>
      <c r="E181" s="78">
        <v>42935.633333333331</v>
      </c>
      <c r="F181" s="79" t="s">
        <v>1430</v>
      </c>
      <c r="G181" s="79" t="s">
        <v>477</v>
      </c>
      <c r="H181" s="79" t="s">
        <v>582</v>
      </c>
      <c r="I181" s="77" t="s">
        <v>604</v>
      </c>
      <c r="J181" s="77" t="s">
        <v>13</v>
      </c>
      <c r="K181" s="79" t="s">
        <v>971</v>
      </c>
      <c r="L181" s="7" t="str">
        <f>IF(BudgetsTable[[#This Row],[pi_last_name]]=" ","",HYPERLINK("https://www.ejacket.nsf.gov/ej/showProposal.do?Continue=Y&amp;ID="&amp;BudgetsTable[[#This Row],[prop_id]],BudgetsTable[[#This Row],[prop_id]]))</f>
        <v/>
      </c>
      <c r="M181" s="15" t="str">
        <f>IF(BudgetsTable[[#This Row],[pi_last_name]]=" ","",HYPERLINK("https://www.ejacket.nsf.gov/ej/processReviewAnalysis.do?dispatch=add&amp;uniqId="&amp;BudgetsTable[[#This Row],[prop_id]]&amp;PO_id,"&gt;ra"))</f>
        <v/>
      </c>
      <c r="N181" s="79" t="s">
        <v>13</v>
      </c>
      <c r="O181" s="7" t="str">
        <f>IF(BudgetsTable[[#This Row],[pi_last_name]]=" ","",HYPERLINK("mailto:"&amp;BudgetsTable[[#This Row],[pi_email]]&amp;"&amp;subject=Your NSF Proposal:  "&amp;BudgetsTable[[#This Row],[prop_id]],BudgetsTable[[#This Row],[pi_email]]))</f>
        <v/>
      </c>
      <c r="P181" s="79" t="s">
        <v>13</v>
      </c>
      <c r="Q181" s="79">
        <v>1</v>
      </c>
      <c r="R181" s="79">
        <v>1</v>
      </c>
      <c r="S181" s="80">
        <v>0</v>
      </c>
      <c r="T181" s="80">
        <v>2500</v>
      </c>
      <c r="U181" s="80">
        <v>0</v>
      </c>
      <c r="V181" s="81">
        <v>117310</v>
      </c>
      <c r="W181" s="79">
        <v>0</v>
      </c>
      <c r="X181" s="79">
        <v>3</v>
      </c>
      <c r="Y181" s="11" t="str">
        <f ca="1">IF(ISBLANK(BudgetsTable[[#This Row],[budg_seq_yr]]),"FY"&amp;fiscalyear,"FY"&amp;fiscalyear-1+BudgetsTable[[#This Row],[budg_seq_yr]])</f>
        <v>FY20</v>
      </c>
      <c r="Z181" s="80">
        <v>117310</v>
      </c>
      <c r="AA181" s="79" t="s">
        <v>477</v>
      </c>
      <c r="AB181" s="79" t="s">
        <v>582</v>
      </c>
      <c r="AC181" s="77" t="s">
        <v>94</v>
      </c>
      <c r="AD181" s="79" t="s">
        <v>1439</v>
      </c>
    </row>
    <row r="182" spans="1:30" x14ac:dyDescent="0.4">
      <c r="A182" s="10" t="s">
        <v>971</v>
      </c>
      <c r="B182" s="77" t="s">
        <v>95</v>
      </c>
      <c r="C182" s="77">
        <f>C181+(BudgetsTable[[#This Row],[lead]]&lt;&gt;K181)</f>
        <v>40</v>
      </c>
      <c r="D182" s="77">
        <f>D181*(BudgetsTable[[#This Row],[lead]]=K181)+(BudgetsTable[[#This Row],[prop_id]]&lt;&gt;A181)</f>
        <v>1</v>
      </c>
      <c r="E182" s="78">
        <v>42935.633333333331</v>
      </c>
      <c r="F182" s="79" t="s">
        <v>1430</v>
      </c>
      <c r="G182" s="79" t="s">
        <v>477</v>
      </c>
      <c r="H182" s="79" t="s">
        <v>582</v>
      </c>
      <c r="I182" s="77" t="s">
        <v>604</v>
      </c>
      <c r="J182" s="77" t="s">
        <v>13</v>
      </c>
      <c r="K182" s="79" t="s">
        <v>971</v>
      </c>
      <c r="L182" s="7" t="str">
        <f>IF(BudgetsTable[[#This Row],[pi_last_name]]=" ","",HYPERLINK("https://www.ejacket.nsf.gov/ej/showProposal.do?Continue=Y&amp;ID="&amp;BudgetsTable[[#This Row],[prop_id]],BudgetsTable[[#This Row],[prop_id]]))</f>
        <v/>
      </c>
      <c r="M182" s="15" t="str">
        <f>IF(BudgetsTable[[#This Row],[pi_last_name]]=" ","",HYPERLINK("https://www.ejacket.nsf.gov/ej/processReviewAnalysis.do?dispatch=add&amp;uniqId="&amp;BudgetsTable[[#This Row],[prop_id]]&amp;PO_id,"&gt;ra"))</f>
        <v/>
      </c>
      <c r="N182" s="79" t="s">
        <v>13</v>
      </c>
      <c r="O182" s="7" t="str">
        <f>IF(BudgetsTable[[#This Row],[pi_last_name]]=" ","",HYPERLINK("mailto:"&amp;BudgetsTable[[#This Row],[pi_email]]&amp;"&amp;subject=Your NSF Proposal:  "&amp;BudgetsTable[[#This Row],[prop_id]],BudgetsTable[[#This Row],[pi_email]]))</f>
        <v/>
      </c>
      <c r="P182" s="79" t="s">
        <v>13</v>
      </c>
      <c r="Q182" s="79">
        <v>1</v>
      </c>
      <c r="R182" s="79">
        <v>1</v>
      </c>
      <c r="S182" s="80">
        <v>0</v>
      </c>
      <c r="T182" s="80">
        <v>0</v>
      </c>
      <c r="U182" s="80">
        <v>0</v>
      </c>
      <c r="V182" s="81">
        <v>117472</v>
      </c>
      <c r="W182" s="79">
        <v>0</v>
      </c>
      <c r="X182" s="79">
        <v>4</v>
      </c>
      <c r="Y182" s="11" t="str">
        <f ca="1">IF(ISBLANK(BudgetsTable[[#This Row],[budg_seq_yr]]),"FY"&amp;fiscalyear,"FY"&amp;fiscalyear-1+BudgetsTable[[#This Row],[budg_seq_yr]])</f>
        <v>FY21</v>
      </c>
      <c r="Z182" s="80">
        <v>117472</v>
      </c>
      <c r="AA182" s="79" t="s">
        <v>477</v>
      </c>
      <c r="AB182" s="79" t="s">
        <v>582</v>
      </c>
      <c r="AC182" s="77" t="s">
        <v>94</v>
      </c>
      <c r="AD182" s="79" t="s">
        <v>1439</v>
      </c>
    </row>
    <row r="183" spans="1:30" x14ac:dyDescent="0.4">
      <c r="A183" s="10" t="s">
        <v>971</v>
      </c>
      <c r="B183" s="77" t="s">
        <v>95</v>
      </c>
      <c r="C183" s="77">
        <f>C182+(BudgetsTable[[#This Row],[lead]]&lt;&gt;K182)</f>
        <v>40</v>
      </c>
      <c r="D183" s="77">
        <f>D182*(BudgetsTable[[#This Row],[lead]]=K182)+(BudgetsTable[[#This Row],[prop_id]]&lt;&gt;A182)</f>
        <v>1</v>
      </c>
      <c r="E183" s="78">
        <v>42935.633333333331</v>
      </c>
      <c r="F183" s="79" t="s">
        <v>1430</v>
      </c>
      <c r="G183" s="79" t="s">
        <v>477</v>
      </c>
      <c r="H183" s="79" t="s">
        <v>582</v>
      </c>
      <c r="I183" s="77" t="s">
        <v>604</v>
      </c>
      <c r="J183" s="77" t="s">
        <v>13</v>
      </c>
      <c r="K183" s="79" t="s">
        <v>971</v>
      </c>
      <c r="L183" s="7" t="str">
        <f>IF(BudgetsTable[[#This Row],[pi_last_name]]=" ","",HYPERLINK("https://www.ejacket.nsf.gov/ej/showProposal.do?Continue=Y&amp;ID="&amp;BudgetsTable[[#This Row],[prop_id]],BudgetsTable[[#This Row],[prop_id]]))</f>
        <v/>
      </c>
      <c r="M183" s="15" t="str">
        <f>IF(BudgetsTable[[#This Row],[pi_last_name]]=" ","",HYPERLINK("https://www.ejacket.nsf.gov/ej/processReviewAnalysis.do?dispatch=add&amp;uniqId="&amp;BudgetsTable[[#This Row],[prop_id]]&amp;PO_id,"&gt;ra"))</f>
        <v/>
      </c>
      <c r="N183" s="79" t="s">
        <v>13</v>
      </c>
      <c r="O183" s="7" t="str">
        <f>IF(BudgetsTable[[#This Row],[pi_last_name]]=" ","",HYPERLINK("mailto:"&amp;BudgetsTable[[#This Row],[pi_email]]&amp;"&amp;subject=Your NSF Proposal:  "&amp;BudgetsTable[[#This Row],[prop_id]],BudgetsTable[[#This Row],[pi_email]]))</f>
        <v/>
      </c>
      <c r="P183" s="79" t="s">
        <v>13</v>
      </c>
      <c r="Q183" s="79">
        <v>1</v>
      </c>
      <c r="R183" s="79">
        <v>1</v>
      </c>
      <c r="S183" s="80">
        <v>0</v>
      </c>
      <c r="T183" s="80">
        <v>2500</v>
      </c>
      <c r="U183" s="80">
        <v>0</v>
      </c>
      <c r="V183" s="81">
        <v>121655</v>
      </c>
      <c r="W183" s="79">
        <v>0</v>
      </c>
      <c r="X183" s="79">
        <v>5</v>
      </c>
      <c r="Y183" s="11" t="str">
        <f ca="1">IF(ISBLANK(BudgetsTable[[#This Row],[budg_seq_yr]]),"FY"&amp;fiscalyear,"FY"&amp;fiscalyear-1+BudgetsTable[[#This Row],[budg_seq_yr]])</f>
        <v>FY22</v>
      </c>
      <c r="Z183" s="80">
        <v>121655</v>
      </c>
      <c r="AA183" s="79" t="s">
        <v>477</v>
      </c>
      <c r="AB183" s="79" t="s">
        <v>582</v>
      </c>
      <c r="AC183" s="77" t="s">
        <v>94</v>
      </c>
      <c r="AD183" s="79" t="s">
        <v>1439</v>
      </c>
    </row>
    <row r="184" spans="1:30" x14ac:dyDescent="0.4">
      <c r="A184" s="10" t="s">
        <v>979</v>
      </c>
      <c r="B184" s="77" t="s">
        <v>95</v>
      </c>
      <c r="C184" s="77">
        <f>C183+(BudgetsTable[[#This Row],[lead]]&lt;&gt;K183)</f>
        <v>41</v>
      </c>
      <c r="D184" s="77">
        <f>D183*(BudgetsTable[[#This Row],[lead]]=K183)+(BudgetsTable[[#This Row],[prop_id]]&lt;&gt;A183)</f>
        <v>1</v>
      </c>
      <c r="E184" s="78">
        <v>42935.638888888891</v>
      </c>
      <c r="F184" s="79" t="s">
        <v>1430</v>
      </c>
      <c r="G184" s="79" t="s">
        <v>477</v>
      </c>
      <c r="H184" s="79" t="s">
        <v>582</v>
      </c>
      <c r="I184" s="77" t="s">
        <v>654</v>
      </c>
      <c r="J184" s="77" t="s">
        <v>1576</v>
      </c>
      <c r="K184" s="79" t="s">
        <v>979</v>
      </c>
      <c r="L184" s="7" t="str">
        <f>IF(BudgetsTable[[#This Row],[pi_last_name]]=" ","",HYPERLINK("https://www.ejacket.nsf.gov/ej/showProposal.do?Continue=Y&amp;ID="&amp;BudgetsTable[[#This Row],[prop_id]],BudgetsTable[[#This Row],[prop_id]]))</f>
        <v>1750808</v>
      </c>
      <c r="M184" s="15" t="e">
        <f>IF(BudgetsTable[[#This Row],[pi_last_name]]=" ","",HYPERLINK("https://www.ejacket.nsf.gov/ej/processReviewAnalysis.do?dispatch=add&amp;uniqId="&amp;BudgetsTable[[#This Row],[prop_id]]&amp;PO_id,"&gt;ra"))</f>
        <v>#REF!</v>
      </c>
      <c r="N184" s="79" t="s">
        <v>980</v>
      </c>
      <c r="O184" s="7" t="str">
        <f>IF(BudgetsTable[[#This Row],[pi_last_name]]=" ","",HYPERLINK("mailto:"&amp;BudgetsTable[[#This Row],[pi_email]]&amp;"&amp;subject=Your NSF Proposal:  "&amp;BudgetsTable[[#This Row],[prop_id]],BudgetsTable[[#This Row],[pi_email]]))</f>
        <v>haeupler@cs.cmu.edu</v>
      </c>
      <c r="P184" s="79" t="s">
        <v>497</v>
      </c>
      <c r="Q184" s="79"/>
      <c r="R184" s="79"/>
      <c r="S184" s="80"/>
      <c r="T184" s="80"/>
      <c r="U184" s="80"/>
      <c r="V184" s="81"/>
      <c r="W184" s="79">
        <v>0</v>
      </c>
      <c r="X184" s="79"/>
      <c r="Y184" s="11" t="str">
        <f ca="1">IF(ISBLANK(BudgetsTable[[#This Row],[budg_seq_yr]]),"FY"&amp;fiscalyear,"FY"&amp;fiscalyear-1+BudgetsTable[[#This Row],[budg_seq_yr]])</f>
        <v>FY18</v>
      </c>
      <c r="Z184" s="80">
        <v>613868</v>
      </c>
      <c r="AA184" s="79" t="s">
        <v>477</v>
      </c>
      <c r="AB184" s="79" t="s">
        <v>582</v>
      </c>
      <c r="AC184" s="77" t="s">
        <v>94</v>
      </c>
      <c r="AD184" s="79" t="s">
        <v>1444</v>
      </c>
    </row>
    <row r="185" spans="1:30" x14ac:dyDescent="0.4">
      <c r="A185" s="10" t="s">
        <v>979</v>
      </c>
      <c r="B185" s="77" t="s">
        <v>95</v>
      </c>
      <c r="C185" s="77">
        <f>C184+(BudgetsTable[[#This Row],[lead]]&lt;&gt;K184)</f>
        <v>41</v>
      </c>
      <c r="D185" s="77">
        <f>D184*(BudgetsTable[[#This Row],[lead]]=K184)+(BudgetsTable[[#This Row],[prop_id]]&lt;&gt;A184)</f>
        <v>1</v>
      </c>
      <c r="E185" s="78">
        <v>42935.638888888891</v>
      </c>
      <c r="F185" s="79" t="s">
        <v>1430</v>
      </c>
      <c r="G185" s="79" t="s">
        <v>477</v>
      </c>
      <c r="H185" s="79" t="s">
        <v>582</v>
      </c>
      <c r="I185" s="77" t="s">
        <v>654</v>
      </c>
      <c r="J185" s="77" t="s">
        <v>13</v>
      </c>
      <c r="K185" s="79" t="s">
        <v>979</v>
      </c>
      <c r="L185" s="7" t="str">
        <f>IF(BudgetsTable[[#This Row],[pi_last_name]]=" ","",HYPERLINK("https://www.ejacket.nsf.gov/ej/showProposal.do?Continue=Y&amp;ID="&amp;BudgetsTable[[#This Row],[prop_id]],BudgetsTable[[#This Row],[prop_id]]))</f>
        <v/>
      </c>
      <c r="M185" s="15" t="str">
        <f>IF(BudgetsTable[[#This Row],[pi_last_name]]=" ","",HYPERLINK("https://www.ejacket.nsf.gov/ej/processReviewAnalysis.do?dispatch=add&amp;uniqId="&amp;BudgetsTable[[#This Row],[prop_id]]&amp;PO_id,"&gt;ra"))</f>
        <v/>
      </c>
      <c r="N185" s="79" t="s">
        <v>13</v>
      </c>
      <c r="O185" s="7" t="str">
        <f>IF(BudgetsTable[[#This Row],[pi_last_name]]=" ","",HYPERLINK("mailto:"&amp;BudgetsTable[[#This Row],[pi_email]]&amp;"&amp;subject=Your NSF Proposal:  "&amp;BudgetsTable[[#This Row],[prop_id]],BudgetsTable[[#This Row],[pi_email]]))</f>
        <v/>
      </c>
      <c r="P185" s="79" t="s">
        <v>13</v>
      </c>
      <c r="Q185" s="79">
        <v>1</v>
      </c>
      <c r="R185" s="79">
        <v>0.25</v>
      </c>
      <c r="S185" s="80">
        <v>0</v>
      </c>
      <c r="T185" s="80">
        <v>0</v>
      </c>
      <c r="U185" s="80">
        <v>0</v>
      </c>
      <c r="V185" s="81">
        <v>115623</v>
      </c>
      <c r="W185" s="79">
        <v>0</v>
      </c>
      <c r="X185" s="79">
        <v>1</v>
      </c>
      <c r="Y185" s="11" t="str">
        <f ca="1">IF(ISBLANK(BudgetsTable[[#This Row],[budg_seq_yr]]),"FY"&amp;fiscalyear,"FY"&amp;fiscalyear-1+BudgetsTable[[#This Row],[budg_seq_yr]])</f>
        <v>FY18</v>
      </c>
      <c r="Z185" s="80">
        <v>115623</v>
      </c>
      <c r="AA185" s="79" t="s">
        <v>477</v>
      </c>
      <c r="AB185" s="79" t="s">
        <v>582</v>
      </c>
      <c r="AC185" s="77" t="s">
        <v>94</v>
      </c>
      <c r="AD185" s="79" t="s">
        <v>1444</v>
      </c>
    </row>
    <row r="186" spans="1:30" x14ac:dyDescent="0.4">
      <c r="A186" s="10" t="s">
        <v>979</v>
      </c>
      <c r="B186" s="77" t="s">
        <v>95</v>
      </c>
      <c r="C186" s="77">
        <f>C185+(BudgetsTable[[#This Row],[lead]]&lt;&gt;K185)</f>
        <v>41</v>
      </c>
      <c r="D186" s="77">
        <f>D185*(BudgetsTable[[#This Row],[lead]]=K185)+(BudgetsTable[[#This Row],[prop_id]]&lt;&gt;A185)</f>
        <v>1</v>
      </c>
      <c r="E186" s="78">
        <v>42935.638888888891</v>
      </c>
      <c r="F186" s="79" t="s">
        <v>1430</v>
      </c>
      <c r="G186" s="79" t="s">
        <v>477</v>
      </c>
      <c r="H186" s="79" t="s">
        <v>582</v>
      </c>
      <c r="I186" s="77" t="s">
        <v>654</v>
      </c>
      <c r="J186" s="77" t="s">
        <v>13</v>
      </c>
      <c r="K186" s="79" t="s">
        <v>979</v>
      </c>
      <c r="L186" s="7" t="str">
        <f>IF(BudgetsTable[[#This Row],[pi_last_name]]=" ","",HYPERLINK("https://www.ejacket.nsf.gov/ej/showProposal.do?Continue=Y&amp;ID="&amp;BudgetsTable[[#This Row],[prop_id]],BudgetsTable[[#This Row],[prop_id]]))</f>
        <v/>
      </c>
      <c r="M186" s="15" t="str">
        <f>IF(BudgetsTable[[#This Row],[pi_last_name]]=" ","",HYPERLINK("https://www.ejacket.nsf.gov/ej/processReviewAnalysis.do?dispatch=add&amp;uniqId="&amp;BudgetsTable[[#This Row],[prop_id]]&amp;PO_id,"&gt;ra"))</f>
        <v/>
      </c>
      <c r="N186" s="79" t="s">
        <v>13</v>
      </c>
      <c r="O186" s="7" t="str">
        <f>IF(BudgetsTable[[#This Row],[pi_last_name]]=" ","",HYPERLINK("mailto:"&amp;BudgetsTable[[#This Row],[pi_email]]&amp;"&amp;subject=Your NSF Proposal:  "&amp;BudgetsTable[[#This Row],[prop_id]],BudgetsTable[[#This Row],[pi_email]]))</f>
        <v/>
      </c>
      <c r="P186" s="79" t="s">
        <v>13</v>
      </c>
      <c r="Q186" s="79">
        <v>1</v>
      </c>
      <c r="R186" s="79">
        <v>0.25</v>
      </c>
      <c r="S186" s="80">
        <v>0</v>
      </c>
      <c r="T186" s="80">
        <v>0</v>
      </c>
      <c r="U186" s="80">
        <v>0</v>
      </c>
      <c r="V186" s="81">
        <v>119088</v>
      </c>
      <c r="W186" s="79">
        <v>0</v>
      </c>
      <c r="X186" s="79">
        <v>2</v>
      </c>
      <c r="Y186" s="11" t="str">
        <f ca="1">IF(ISBLANK(BudgetsTable[[#This Row],[budg_seq_yr]]),"FY"&amp;fiscalyear,"FY"&amp;fiscalyear-1+BudgetsTable[[#This Row],[budg_seq_yr]])</f>
        <v>FY19</v>
      </c>
      <c r="Z186" s="80">
        <v>119088</v>
      </c>
      <c r="AA186" s="79" t="s">
        <v>477</v>
      </c>
      <c r="AB186" s="79" t="s">
        <v>582</v>
      </c>
      <c r="AC186" s="77" t="s">
        <v>94</v>
      </c>
      <c r="AD186" s="79" t="s">
        <v>1444</v>
      </c>
    </row>
    <row r="187" spans="1:30" x14ac:dyDescent="0.4">
      <c r="A187" s="10" t="s">
        <v>979</v>
      </c>
      <c r="B187" s="77" t="s">
        <v>95</v>
      </c>
      <c r="C187" s="77">
        <f>C186+(BudgetsTable[[#This Row],[lead]]&lt;&gt;K186)</f>
        <v>41</v>
      </c>
      <c r="D187" s="77">
        <f>D186*(BudgetsTable[[#This Row],[lead]]=K186)+(BudgetsTable[[#This Row],[prop_id]]&lt;&gt;A186)</f>
        <v>1</v>
      </c>
      <c r="E187" s="78">
        <v>42935.638888888891</v>
      </c>
      <c r="F187" s="79" t="s">
        <v>1430</v>
      </c>
      <c r="G187" s="79" t="s">
        <v>477</v>
      </c>
      <c r="H187" s="79" t="s">
        <v>582</v>
      </c>
      <c r="I187" s="77" t="s">
        <v>654</v>
      </c>
      <c r="J187" s="77" t="s">
        <v>13</v>
      </c>
      <c r="K187" s="79" t="s">
        <v>979</v>
      </c>
      <c r="L187" s="7" t="str">
        <f>IF(BudgetsTable[[#This Row],[pi_last_name]]=" ","",HYPERLINK("https://www.ejacket.nsf.gov/ej/showProposal.do?Continue=Y&amp;ID="&amp;BudgetsTable[[#This Row],[prop_id]],BudgetsTable[[#This Row],[prop_id]]))</f>
        <v/>
      </c>
      <c r="M187" s="15" t="str">
        <f>IF(BudgetsTable[[#This Row],[pi_last_name]]=" ","",HYPERLINK("https://www.ejacket.nsf.gov/ej/processReviewAnalysis.do?dispatch=add&amp;uniqId="&amp;BudgetsTable[[#This Row],[prop_id]]&amp;PO_id,"&gt;ra"))</f>
        <v/>
      </c>
      <c r="N187" s="79" t="s">
        <v>13</v>
      </c>
      <c r="O187" s="7" t="str">
        <f>IF(BudgetsTable[[#This Row],[pi_last_name]]=" ","",HYPERLINK("mailto:"&amp;BudgetsTable[[#This Row],[pi_email]]&amp;"&amp;subject=Your NSF Proposal:  "&amp;BudgetsTable[[#This Row],[prop_id]],BudgetsTable[[#This Row],[pi_email]]))</f>
        <v/>
      </c>
      <c r="P187" s="79" t="s">
        <v>13</v>
      </c>
      <c r="Q187" s="79">
        <v>1</v>
      </c>
      <c r="R187" s="79">
        <v>0.25</v>
      </c>
      <c r="S187" s="80">
        <v>0</v>
      </c>
      <c r="T187" s="80">
        <v>0</v>
      </c>
      <c r="U187" s="80">
        <v>0</v>
      </c>
      <c r="V187" s="81">
        <v>122665</v>
      </c>
      <c r="W187" s="79">
        <v>0</v>
      </c>
      <c r="X187" s="79">
        <v>3</v>
      </c>
      <c r="Y187" s="11" t="str">
        <f ca="1">IF(ISBLANK(BudgetsTable[[#This Row],[budg_seq_yr]]),"FY"&amp;fiscalyear,"FY"&amp;fiscalyear-1+BudgetsTable[[#This Row],[budg_seq_yr]])</f>
        <v>FY20</v>
      </c>
      <c r="Z187" s="80">
        <v>122665</v>
      </c>
      <c r="AA187" s="79" t="s">
        <v>477</v>
      </c>
      <c r="AB187" s="79" t="s">
        <v>582</v>
      </c>
      <c r="AC187" s="77" t="s">
        <v>94</v>
      </c>
      <c r="AD187" s="79" t="s">
        <v>1444</v>
      </c>
    </row>
    <row r="188" spans="1:30" x14ac:dyDescent="0.4">
      <c r="A188" s="10" t="s">
        <v>979</v>
      </c>
      <c r="B188" s="77" t="s">
        <v>95</v>
      </c>
      <c r="C188" s="77">
        <f>C187+(BudgetsTable[[#This Row],[lead]]&lt;&gt;K187)</f>
        <v>41</v>
      </c>
      <c r="D188" s="77">
        <f>D187*(BudgetsTable[[#This Row],[lead]]=K187)+(BudgetsTable[[#This Row],[prop_id]]&lt;&gt;A187)</f>
        <v>1</v>
      </c>
      <c r="E188" s="78">
        <v>42935.638888888891</v>
      </c>
      <c r="F188" s="79" t="s">
        <v>1430</v>
      </c>
      <c r="G188" s="79" t="s">
        <v>477</v>
      </c>
      <c r="H188" s="79" t="s">
        <v>582</v>
      </c>
      <c r="I188" s="77" t="s">
        <v>654</v>
      </c>
      <c r="J188" s="77" t="s">
        <v>13</v>
      </c>
      <c r="K188" s="79" t="s">
        <v>979</v>
      </c>
      <c r="L188" s="7" t="str">
        <f>IF(BudgetsTable[[#This Row],[pi_last_name]]=" ","",HYPERLINK("https://www.ejacket.nsf.gov/ej/showProposal.do?Continue=Y&amp;ID="&amp;BudgetsTable[[#This Row],[prop_id]],BudgetsTable[[#This Row],[prop_id]]))</f>
        <v/>
      </c>
      <c r="M188" s="15" t="str">
        <f>IF(BudgetsTable[[#This Row],[pi_last_name]]=" ","",HYPERLINK("https://www.ejacket.nsf.gov/ej/processReviewAnalysis.do?dispatch=add&amp;uniqId="&amp;BudgetsTable[[#This Row],[prop_id]]&amp;PO_id,"&gt;ra"))</f>
        <v/>
      </c>
      <c r="N188" s="79" t="s">
        <v>13</v>
      </c>
      <c r="O188" s="7" t="str">
        <f>IF(BudgetsTable[[#This Row],[pi_last_name]]=" ","",HYPERLINK("mailto:"&amp;BudgetsTable[[#This Row],[pi_email]]&amp;"&amp;subject=Your NSF Proposal:  "&amp;BudgetsTable[[#This Row],[prop_id]],BudgetsTable[[#This Row],[pi_email]]))</f>
        <v/>
      </c>
      <c r="P188" s="79" t="s">
        <v>13</v>
      </c>
      <c r="Q188" s="79">
        <v>1</v>
      </c>
      <c r="R188" s="79">
        <v>0.25</v>
      </c>
      <c r="S188" s="80">
        <v>0</v>
      </c>
      <c r="T188" s="80">
        <v>0</v>
      </c>
      <c r="U188" s="80">
        <v>0</v>
      </c>
      <c r="V188" s="81">
        <v>126351</v>
      </c>
      <c r="W188" s="79">
        <v>0</v>
      </c>
      <c r="X188" s="79">
        <v>4</v>
      </c>
      <c r="Y188" s="11" t="str">
        <f ca="1">IF(ISBLANK(BudgetsTable[[#This Row],[budg_seq_yr]]),"FY"&amp;fiscalyear,"FY"&amp;fiscalyear-1+BudgetsTable[[#This Row],[budg_seq_yr]])</f>
        <v>FY21</v>
      </c>
      <c r="Z188" s="80">
        <v>126351</v>
      </c>
      <c r="AA188" s="79" t="s">
        <v>477</v>
      </c>
      <c r="AB188" s="79" t="s">
        <v>582</v>
      </c>
      <c r="AC188" s="77" t="s">
        <v>94</v>
      </c>
      <c r="AD188" s="79" t="s">
        <v>1444</v>
      </c>
    </row>
    <row r="189" spans="1:30" x14ac:dyDescent="0.4">
      <c r="A189" s="10" t="s">
        <v>979</v>
      </c>
      <c r="B189" s="77" t="s">
        <v>95</v>
      </c>
      <c r="C189" s="77">
        <f>C188+(BudgetsTable[[#This Row],[lead]]&lt;&gt;K188)</f>
        <v>41</v>
      </c>
      <c r="D189" s="77">
        <f>D188*(BudgetsTable[[#This Row],[lead]]=K188)+(BudgetsTable[[#This Row],[prop_id]]&lt;&gt;A188)</f>
        <v>1</v>
      </c>
      <c r="E189" s="78">
        <v>42935.638888888891</v>
      </c>
      <c r="F189" s="79" t="s">
        <v>1430</v>
      </c>
      <c r="G189" s="79" t="s">
        <v>477</v>
      </c>
      <c r="H189" s="79" t="s">
        <v>582</v>
      </c>
      <c r="I189" s="77" t="s">
        <v>654</v>
      </c>
      <c r="J189" s="77" t="s">
        <v>13</v>
      </c>
      <c r="K189" s="79" t="s">
        <v>979</v>
      </c>
      <c r="L189" s="7" t="str">
        <f>IF(BudgetsTable[[#This Row],[pi_last_name]]=" ","",HYPERLINK("https://www.ejacket.nsf.gov/ej/showProposal.do?Continue=Y&amp;ID="&amp;BudgetsTable[[#This Row],[prop_id]],BudgetsTable[[#This Row],[prop_id]]))</f>
        <v/>
      </c>
      <c r="M189" s="15" t="str">
        <f>IF(BudgetsTable[[#This Row],[pi_last_name]]=" ","",HYPERLINK("https://www.ejacket.nsf.gov/ej/processReviewAnalysis.do?dispatch=add&amp;uniqId="&amp;BudgetsTable[[#This Row],[prop_id]]&amp;PO_id,"&gt;ra"))</f>
        <v/>
      </c>
      <c r="N189" s="79" t="s">
        <v>13</v>
      </c>
      <c r="O189" s="7" t="str">
        <f>IF(BudgetsTable[[#This Row],[pi_last_name]]=" ","",HYPERLINK("mailto:"&amp;BudgetsTable[[#This Row],[pi_email]]&amp;"&amp;subject=Your NSF Proposal:  "&amp;BudgetsTable[[#This Row],[prop_id]],BudgetsTable[[#This Row],[pi_email]]))</f>
        <v/>
      </c>
      <c r="P189" s="79" t="s">
        <v>13</v>
      </c>
      <c r="Q189" s="79">
        <v>1</v>
      </c>
      <c r="R189" s="79">
        <v>0.25</v>
      </c>
      <c r="S189" s="80">
        <v>0</v>
      </c>
      <c r="T189" s="80">
        <v>0</v>
      </c>
      <c r="U189" s="80">
        <v>0</v>
      </c>
      <c r="V189" s="81">
        <v>130141</v>
      </c>
      <c r="W189" s="79">
        <v>0</v>
      </c>
      <c r="X189" s="79">
        <v>5</v>
      </c>
      <c r="Y189" s="11" t="str">
        <f ca="1">IF(ISBLANK(BudgetsTable[[#This Row],[budg_seq_yr]]),"FY"&amp;fiscalyear,"FY"&amp;fiscalyear-1+BudgetsTable[[#This Row],[budg_seq_yr]])</f>
        <v>FY22</v>
      </c>
      <c r="Z189" s="80">
        <v>130141</v>
      </c>
      <c r="AA189" s="79" t="s">
        <v>477</v>
      </c>
      <c r="AB189" s="79" t="s">
        <v>582</v>
      </c>
      <c r="AC189" s="77" t="s">
        <v>94</v>
      </c>
      <c r="AD189" s="79" t="s">
        <v>1444</v>
      </c>
    </row>
    <row r="190" spans="1:30" x14ac:dyDescent="0.4">
      <c r="A190" s="10" t="s">
        <v>992</v>
      </c>
      <c r="B190" s="77" t="s">
        <v>95</v>
      </c>
      <c r="C190" s="77">
        <f>C189+(BudgetsTable[[#This Row],[lead]]&lt;&gt;K189)</f>
        <v>42</v>
      </c>
      <c r="D190" s="77">
        <f>D189*(BudgetsTable[[#This Row],[lead]]=K189)+(BudgetsTable[[#This Row],[prop_id]]&lt;&gt;A189)</f>
        <v>1</v>
      </c>
      <c r="E190" s="78">
        <v>42935.654166666667</v>
      </c>
      <c r="F190" s="79" t="s">
        <v>1430</v>
      </c>
      <c r="G190" s="79" t="s">
        <v>477</v>
      </c>
      <c r="H190" s="79" t="s">
        <v>582</v>
      </c>
      <c r="I190" s="77" t="s">
        <v>611</v>
      </c>
      <c r="J190" s="77" t="s">
        <v>1581</v>
      </c>
      <c r="K190" s="79" t="s">
        <v>992</v>
      </c>
      <c r="L190" s="7" t="str">
        <f>IF(BudgetsTable[[#This Row],[pi_last_name]]=" ","",HYPERLINK("https://www.ejacket.nsf.gov/ej/showProposal.do?Continue=Y&amp;ID="&amp;BudgetsTable[[#This Row],[prop_id]],BudgetsTable[[#This Row],[prop_id]]))</f>
        <v>1750893</v>
      </c>
      <c r="M190" s="15" t="e">
        <f>IF(BudgetsTable[[#This Row],[pi_last_name]]=" ","",HYPERLINK("https://www.ejacket.nsf.gov/ej/processReviewAnalysis.do?dispatch=add&amp;uniqId="&amp;BudgetsTable[[#This Row],[prop_id]]&amp;PO_id,"&gt;ra"))</f>
        <v>#REF!</v>
      </c>
      <c r="N190" s="79" t="s">
        <v>993</v>
      </c>
      <c r="O190" s="7" t="str">
        <f>IF(BudgetsTable[[#This Row],[pi_last_name]]=" ","",HYPERLINK("mailto:"&amp;BudgetsTable[[#This Row],[pi_email]]&amp;"&amp;subject=Your NSF Proposal:  "&amp;BudgetsTable[[#This Row],[prop_id]],BudgetsTable[[#This Row],[pi_email]]))</f>
        <v>nxie@cs.fiu.edu</v>
      </c>
      <c r="P190" s="79" t="s">
        <v>1578</v>
      </c>
      <c r="Q190" s="79"/>
      <c r="R190" s="79"/>
      <c r="S190" s="80"/>
      <c r="T190" s="80"/>
      <c r="U190" s="80"/>
      <c r="V190" s="81"/>
      <c r="W190" s="79">
        <v>0</v>
      </c>
      <c r="X190" s="79"/>
      <c r="Y190" s="11" t="str">
        <f ca="1">IF(ISBLANK(BudgetsTable[[#This Row],[budg_seq_yr]]),"FY"&amp;fiscalyear,"FY"&amp;fiscalyear-1+BudgetsTable[[#This Row],[budg_seq_yr]])</f>
        <v>FY18</v>
      </c>
      <c r="Z190" s="80">
        <v>520820</v>
      </c>
      <c r="AA190" s="79" t="s">
        <v>477</v>
      </c>
      <c r="AB190" s="79" t="s">
        <v>582</v>
      </c>
      <c r="AC190" s="77" t="s">
        <v>94</v>
      </c>
      <c r="AD190" s="79" t="s">
        <v>1469</v>
      </c>
    </row>
    <row r="191" spans="1:30" x14ac:dyDescent="0.4">
      <c r="A191" s="10" t="s">
        <v>992</v>
      </c>
      <c r="B191" s="77" t="s">
        <v>95</v>
      </c>
      <c r="C191" s="77">
        <f>C190+(BudgetsTable[[#This Row],[lead]]&lt;&gt;K190)</f>
        <v>42</v>
      </c>
      <c r="D191" s="77">
        <f>D190*(BudgetsTable[[#This Row],[lead]]=K190)+(BudgetsTable[[#This Row],[prop_id]]&lt;&gt;A190)</f>
        <v>1</v>
      </c>
      <c r="E191" s="78">
        <v>42935.654166666667</v>
      </c>
      <c r="F191" s="79" t="s">
        <v>1430</v>
      </c>
      <c r="G191" s="79" t="s">
        <v>477</v>
      </c>
      <c r="H191" s="79" t="s">
        <v>582</v>
      </c>
      <c r="I191" s="77" t="s">
        <v>611</v>
      </c>
      <c r="J191" s="77" t="s">
        <v>13</v>
      </c>
      <c r="K191" s="79" t="s">
        <v>992</v>
      </c>
      <c r="L191" s="7" t="str">
        <f>IF(BudgetsTable[[#This Row],[pi_last_name]]=" ","",HYPERLINK("https://www.ejacket.nsf.gov/ej/showProposal.do?Continue=Y&amp;ID="&amp;BudgetsTable[[#This Row],[prop_id]],BudgetsTable[[#This Row],[prop_id]]))</f>
        <v/>
      </c>
      <c r="M191" s="15" t="str">
        <f>IF(BudgetsTable[[#This Row],[pi_last_name]]=" ","",HYPERLINK("https://www.ejacket.nsf.gov/ej/processReviewAnalysis.do?dispatch=add&amp;uniqId="&amp;BudgetsTable[[#This Row],[prop_id]]&amp;PO_id,"&gt;ra"))</f>
        <v/>
      </c>
      <c r="N191" s="79" t="s">
        <v>13</v>
      </c>
      <c r="O191" s="7" t="str">
        <f>IF(BudgetsTable[[#This Row],[pi_last_name]]=" ","",HYPERLINK("mailto:"&amp;BudgetsTable[[#This Row],[pi_email]]&amp;"&amp;subject=Your NSF Proposal:  "&amp;BudgetsTable[[#This Row],[prop_id]],BudgetsTable[[#This Row],[pi_email]]))</f>
        <v/>
      </c>
      <c r="P191" s="79" t="s">
        <v>13</v>
      </c>
      <c r="Q191" s="79">
        <v>1</v>
      </c>
      <c r="R191" s="79">
        <v>1.5</v>
      </c>
      <c r="S191" s="80">
        <v>0</v>
      </c>
      <c r="T191" s="80">
        <v>3000</v>
      </c>
      <c r="U191" s="80">
        <v>0</v>
      </c>
      <c r="V191" s="81">
        <v>98632</v>
      </c>
      <c r="W191" s="79">
        <v>0</v>
      </c>
      <c r="X191" s="79">
        <v>1</v>
      </c>
      <c r="Y191" s="11" t="str">
        <f ca="1">IF(ISBLANK(BudgetsTable[[#This Row],[budg_seq_yr]]),"FY"&amp;fiscalyear,"FY"&amp;fiscalyear-1+BudgetsTable[[#This Row],[budg_seq_yr]])</f>
        <v>FY18</v>
      </c>
      <c r="Z191" s="80">
        <v>98632</v>
      </c>
      <c r="AA191" s="79" t="s">
        <v>477</v>
      </c>
      <c r="AB191" s="79" t="s">
        <v>582</v>
      </c>
      <c r="AC191" s="77" t="s">
        <v>94</v>
      </c>
      <c r="AD191" s="79" t="s">
        <v>1469</v>
      </c>
    </row>
    <row r="192" spans="1:30" x14ac:dyDescent="0.4">
      <c r="A192" s="10" t="s">
        <v>992</v>
      </c>
      <c r="B192" s="77" t="s">
        <v>95</v>
      </c>
      <c r="C192" s="77">
        <f>C191+(BudgetsTable[[#This Row],[lead]]&lt;&gt;K191)</f>
        <v>42</v>
      </c>
      <c r="D192" s="77">
        <f>D191*(BudgetsTable[[#This Row],[lead]]=K191)+(BudgetsTable[[#This Row],[prop_id]]&lt;&gt;A191)</f>
        <v>1</v>
      </c>
      <c r="E192" s="78">
        <v>42935.654166666667</v>
      </c>
      <c r="F192" s="79" t="s">
        <v>1430</v>
      </c>
      <c r="G192" s="79" t="s">
        <v>477</v>
      </c>
      <c r="H192" s="79" t="s">
        <v>582</v>
      </c>
      <c r="I192" s="77" t="s">
        <v>611</v>
      </c>
      <c r="J192" s="77" t="s">
        <v>13</v>
      </c>
      <c r="K192" s="79" t="s">
        <v>992</v>
      </c>
      <c r="L192" s="7" t="str">
        <f>IF(BudgetsTable[[#This Row],[pi_last_name]]=" ","",HYPERLINK("https://www.ejacket.nsf.gov/ej/showProposal.do?Continue=Y&amp;ID="&amp;BudgetsTable[[#This Row],[prop_id]],BudgetsTable[[#This Row],[prop_id]]))</f>
        <v/>
      </c>
      <c r="M192" s="15" t="str">
        <f>IF(BudgetsTable[[#This Row],[pi_last_name]]=" ","",HYPERLINK("https://www.ejacket.nsf.gov/ej/processReviewAnalysis.do?dispatch=add&amp;uniqId="&amp;BudgetsTable[[#This Row],[prop_id]]&amp;PO_id,"&gt;ra"))</f>
        <v/>
      </c>
      <c r="N192" s="79" t="s">
        <v>13</v>
      </c>
      <c r="O192" s="7" t="str">
        <f>IF(BudgetsTable[[#This Row],[pi_last_name]]=" ","",HYPERLINK("mailto:"&amp;BudgetsTable[[#This Row],[pi_email]]&amp;"&amp;subject=Your NSF Proposal:  "&amp;BudgetsTable[[#This Row],[prop_id]],BudgetsTable[[#This Row],[pi_email]]))</f>
        <v/>
      </c>
      <c r="P192" s="79" t="s">
        <v>13</v>
      </c>
      <c r="Q192" s="79">
        <v>1</v>
      </c>
      <c r="R192" s="79">
        <v>1.5</v>
      </c>
      <c r="S192" s="80">
        <v>0</v>
      </c>
      <c r="T192" s="80">
        <v>3000</v>
      </c>
      <c r="U192" s="80">
        <v>0</v>
      </c>
      <c r="V192" s="81">
        <v>101305</v>
      </c>
      <c r="W192" s="79">
        <v>0</v>
      </c>
      <c r="X192" s="79">
        <v>2</v>
      </c>
      <c r="Y192" s="11" t="str">
        <f ca="1">IF(ISBLANK(BudgetsTable[[#This Row],[budg_seq_yr]]),"FY"&amp;fiscalyear,"FY"&amp;fiscalyear-1+BudgetsTable[[#This Row],[budg_seq_yr]])</f>
        <v>FY19</v>
      </c>
      <c r="Z192" s="80">
        <v>101305</v>
      </c>
      <c r="AA192" s="79" t="s">
        <v>477</v>
      </c>
      <c r="AB192" s="79" t="s">
        <v>582</v>
      </c>
      <c r="AC192" s="77" t="s">
        <v>94</v>
      </c>
      <c r="AD192" s="79" t="s">
        <v>1469</v>
      </c>
    </row>
    <row r="193" spans="1:30" x14ac:dyDescent="0.4">
      <c r="A193" s="10" t="s">
        <v>992</v>
      </c>
      <c r="B193" s="77" t="s">
        <v>95</v>
      </c>
      <c r="C193" s="77">
        <f>C192+(BudgetsTable[[#This Row],[lead]]&lt;&gt;K192)</f>
        <v>42</v>
      </c>
      <c r="D193" s="77">
        <f>D192*(BudgetsTable[[#This Row],[lead]]=K192)+(BudgetsTable[[#This Row],[prop_id]]&lt;&gt;A192)</f>
        <v>1</v>
      </c>
      <c r="E193" s="78">
        <v>42935.654166666667</v>
      </c>
      <c r="F193" s="79" t="s">
        <v>1430</v>
      </c>
      <c r="G193" s="79" t="s">
        <v>477</v>
      </c>
      <c r="H193" s="79" t="s">
        <v>582</v>
      </c>
      <c r="I193" s="77" t="s">
        <v>611</v>
      </c>
      <c r="J193" s="77" t="s">
        <v>13</v>
      </c>
      <c r="K193" s="79" t="s">
        <v>992</v>
      </c>
      <c r="L193" s="7" t="str">
        <f>IF(BudgetsTable[[#This Row],[pi_last_name]]=" ","",HYPERLINK("https://www.ejacket.nsf.gov/ej/showProposal.do?Continue=Y&amp;ID="&amp;BudgetsTable[[#This Row],[prop_id]],BudgetsTable[[#This Row],[prop_id]]))</f>
        <v/>
      </c>
      <c r="M193" s="15" t="str">
        <f>IF(BudgetsTable[[#This Row],[pi_last_name]]=" ","",HYPERLINK("https://www.ejacket.nsf.gov/ej/processReviewAnalysis.do?dispatch=add&amp;uniqId="&amp;BudgetsTable[[#This Row],[prop_id]]&amp;PO_id,"&gt;ra"))</f>
        <v/>
      </c>
      <c r="N193" s="79" t="s">
        <v>13</v>
      </c>
      <c r="O193" s="7" t="str">
        <f>IF(BudgetsTable[[#This Row],[pi_last_name]]=" ","",HYPERLINK("mailto:"&amp;BudgetsTable[[#This Row],[pi_email]]&amp;"&amp;subject=Your NSF Proposal:  "&amp;BudgetsTable[[#This Row],[prop_id]],BudgetsTable[[#This Row],[pi_email]]))</f>
        <v/>
      </c>
      <c r="P193" s="79" t="s">
        <v>13</v>
      </c>
      <c r="Q193" s="79">
        <v>1</v>
      </c>
      <c r="R193" s="79">
        <v>1.5</v>
      </c>
      <c r="S193" s="80">
        <v>0</v>
      </c>
      <c r="T193" s="80">
        <v>3000</v>
      </c>
      <c r="U193" s="80">
        <v>0</v>
      </c>
      <c r="V193" s="81">
        <v>104071</v>
      </c>
      <c r="W193" s="79">
        <v>0</v>
      </c>
      <c r="X193" s="79">
        <v>3</v>
      </c>
      <c r="Y193" s="11" t="str">
        <f ca="1">IF(ISBLANK(BudgetsTable[[#This Row],[budg_seq_yr]]),"FY"&amp;fiscalyear,"FY"&amp;fiscalyear-1+BudgetsTable[[#This Row],[budg_seq_yr]])</f>
        <v>FY20</v>
      </c>
      <c r="Z193" s="80">
        <v>104071</v>
      </c>
      <c r="AA193" s="79" t="s">
        <v>477</v>
      </c>
      <c r="AB193" s="79" t="s">
        <v>582</v>
      </c>
      <c r="AC193" s="77" t="s">
        <v>94</v>
      </c>
      <c r="AD193" s="79" t="s">
        <v>1469</v>
      </c>
    </row>
    <row r="194" spans="1:30" x14ac:dyDescent="0.4">
      <c r="A194" s="10" t="s">
        <v>992</v>
      </c>
      <c r="B194" s="77" t="s">
        <v>95</v>
      </c>
      <c r="C194" s="77">
        <f>C193+(BudgetsTable[[#This Row],[lead]]&lt;&gt;K193)</f>
        <v>42</v>
      </c>
      <c r="D194" s="77">
        <f>D193*(BudgetsTable[[#This Row],[lead]]=K193)+(BudgetsTable[[#This Row],[prop_id]]&lt;&gt;A193)</f>
        <v>1</v>
      </c>
      <c r="E194" s="78">
        <v>42935.654166666667</v>
      </c>
      <c r="F194" s="79" t="s">
        <v>1430</v>
      </c>
      <c r="G194" s="79" t="s">
        <v>477</v>
      </c>
      <c r="H194" s="79" t="s">
        <v>582</v>
      </c>
      <c r="I194" s="77" t="s">
        <v>611</v>
      </c>
      <c r="J194" s="77" t="s">
        <v>13</v>
      </c>
      <c r="K194" s="79" t="s">
        <v>992</v>
      </c>
      <c r="L194" s="7" t="str">
        <f>IF(BudgetsTable[[#This Row],[pi_last_name]]=" ","",HYPERLINK("https://www.ejacket.nsf.gov/ej/showProposal.do?Continue=Y&amp;ID="&amp;BudgetsTable[[#This Row],[prop_id]],BudgetsTable[[#This Row],[prop_id]]))</f>
        <v/>
      </c>
      <c r="M194" s="15" t="str">
        <f>IF(BudgetsTable[[#This Row],[pi_last_name]]=" ","",HYPERLINK("https://www.ejacket.nsf.gov/ej/processReviewAnalysis.do?dispatch=add&amp;uniqId="&amp;BudgetsTable[[#This Row],[prop_id]]&amp;PO_id,"&gt;ra"))</f>
        <v/>
      </c>
      <c r="N194" s="79" t="s">
        <v>13</v>
      </c>
      <c r="O194" s="7" t="str">
        <f>IF(BudgetsTable[[#This Row],[pi_last_name]]=" ","",HYPERLINK("mailto:"&amp;BudgetsTable[[#This Row],[pi_email]]&amp;"&amp;subject=Your NSF Proposal:  "&amp;BudgetsTable[[#This Row],[prop_id]],BudgetsTable[[#This Row],[pi_email]]))</f>
        <v/>
      </c>
      <c r="P194" s="79" t="s">
        <v>13</v>
      </c>
      <c r="Q194" s="79">
        <v>1</v>
      </c>
      <c r="R194" s="79">
        <v>1.5</v>
      </c>
      <c r="S194" s="80">
        <v>0</v>
      </c>
      <c r="T194" s="80">
        <v>3000</v>
      </c>
      <c r="U194" s="80">
        <v>0</v>
      </c>
      <c r="V194" s="81">
        <v>106929</v>
      </c>
      <c r="W194" s="79">
        <v>0</v>
      </c>
      <c r="X194" s="79">
        <v>4</v>
      </c>
      <c r="Y194" s="11" t="str">
        <f ca="1">IF(ISBLANK(BudgetsTable[[#This Row],[budg_seq_yr]]),"FY"&amp;fiscalyear,"FY"&amp;fiscalyear-1+BudgetsTable[[#This Row],[budg_seq_yr]])</f>
        <v>FY21</v>
      </c>
      <c r="Z194" s="80">
        <v>106929</v>
      </c>
      <c r="AA194" s="79" t="s">
        <v>477</v>
      </c>
      <c r="AB194" s="79" t="s">
        <v>582</v>
      </c>
      <c r="AC194" s="77" t="s">
        <v>94</v>
      </c>
      <c r="AD194" s="79" t="s">
        <v>1469</v>
      </c>
    </row>
    <row r="195" spans="1:30" x14ac:dyDescent="0.4">
      <c r="A195" s="10" t="s">
        <v>992</v>
      </c>
      <c r="B195" s="77" t="s">
        <v>95</v>
      </c>
      <c r="C195" s="77">
        <f>C194+(BudgetsTable[[#This Row],[lead]]&lt;&gt;K194)</f>
        <v>42</v>
      </c>
      <c r="D195" s="77">
        <f>D194*(BudgetsTable[[#This Row],[lead]]=K194)+(BudgetsTable[[#This Row],[prop_id]]&lt;&gt;A194)</f>
        <v>1</v>
      </c>
      <c r="E195" s="78">
        <v>42935.654166666667</v>
      </c>
      <c r="F195" s="79" t="s">
        <v>1430</v>
      </c>
      <c r="G195" s="79" t="s">
        <v>477</v>
      </c>
      <c r="H195" s="79" t="s">
        <v>582</v>
      </c>
      <c r="I195" s="77" t="s">
        <v>611</v>
      </c>
      <c r="J195" s="77" t="s">
        <v>13</v>
      </c>
      <c r="K195" s="79" t="s">
        <v>992</v>
      </c>
      <c r="L195" s="7" t="str">
        <f>IF(BudgetsTable[[#This Row],[pi_last_name]]=" ","",HYPERLINK("https://www.ejacket.nsf.gov/ej/showProposal.do?Continue=Y&amp;ID="&amp;BudgetsTable[[#This Row],[prop_id]],BudgetsTable[[#This Row],[prop_id]]))</f>
        <v/>
      </c>
      <c r="M195" s="15" t="str">
        <f>IF(BudgetsTable[[#This Row],[pi_last_name]]=" ","",HYPERLINK("https://www.ejacket.nsf.gov/ej/processReviewAnalysis.do?dispatch=add&amp;uniqId="&amp;BudgetsTable[[#This Row],[prop_id]]&amp;PO_id,"&gt;ra"))</f>
        <v/>
      </c>
      <c r="N195" s="79" t="s">
        <v>13</v>
      </c>
      <c r="O195" s="7" t="str">
        <f>IF(BudgetsTable[[#This Row],[pi_last_name]]=" ","",HYPERLINK("mailto:"&amp;BudgetsTable[[#This Row],[pi_email]]&amp;"&amp;subject=Your NSF Proposal:  "&amp;BudgetsTable[[#This Row],[prop_id]],BudgetsTable[[#This Row],[pi_email]]))</f>
        <v/>
      </c>
      <c r="P195" s="79" t="s">
        <v>13</v>
      </c>
      <c r="Q195" s="79">
        <v>1</v>
      </c>
      <c r="R195" s="79">
        <v>1.5</v>
      </c>
      <c r="S195" s="80">
        <v>0</v>
      </c>
      <c r="T195" s="80">
        <v>3000</v>
      </c>
      <c r="U195" s="80">
        <v>0</v>
      </c>
      <c r="V195" s="81">
        <v>109883</v>
      </c>
      <c r="W195" s="79">
        <v>0</v>
      </c>
      <c r="X195" s="79">
        <v>5</v>
      </c>
      <c r="Y195" s="11" t="str">
        <f ca="1">IF(ISBLANK(BudgetsTable[[#This Row],[budg_seq_yr]]),"FY"&amp;fiscalyear,"FY"&amp;fiscalyear-1+BudgetsTable[[#This Row],[budg_seq_yr]])</f>
        <v>FY22</v>
      </c>
      <c r="Z195" s="80">
        <v>109883</v>
      </c>
      <c r="AA195" s="79" t="s">
        <v>477</v>
      </c>
      <c r="AB195" s="79" t="s">
        <v>582</v>
      </c>
      <c r="AC195" s="77" t="s">
        <v>94</v>
      </c>
      <c r="AD195" s="79" t="s">
        <v>1469</v>
      </c>
    </row>
    <row r="196" spans="1:30" x14ac:dyDescent="0.4">
      <c r="A196" s="10" t="s">
        <v>1004</v>
      </c>
      <c r="B196" s="77" t="s">
        <v>95</v>
      </c>
      <c r="C196" s="77">
        <f>C195+(BudgetsTable[[#This Row],[lead]]&lt;&gt;K195)</f>
        <v>43</v>
      </c>
      <c r="D196" s="77">
        <f>D195*(BudgetsTable[[#This Row],[lead]]=K195)+(BudgetsTable[[#This Row],[prop_id]]&lt;&gt;A195)</f>
        <v>1</v>
      </c>
      <c r="E196" s="78">
        <v>42935.679166666669</v>
      </c>
      <c r="F196" s="79" t="s">
        <v>1430</v>
      </c>
      <c r="G196" s="79" t="s">
        <v>477</v>
      </c>
      <c r="H196" s="79" t="s">
        <v>582</v>
      </c>
      <c r="I196" s="77" t="s">
        <v>611</v>
      </c>
      <c r="J196" s="77" t="s">
        <v>1584</v>
      </c>
      <c r="K196" s="79" t="s">
        <v>1004</v>
      </c>
      <c r="L196" s="7" t="str">
        <f>IF(BudgetsTable[[#This Row],[pi_last_name]]=" ","",HYPERLINK("https://www.ejacket.nsf.gov/ej/showProposal.do?Continue=Y&amp;ID="&amp;BudgetsTable[[#This Row],[prop_id]],BudgetsTable[[#This Row],[prop_id]]))</f>
        <v>1751040</v>
      </c>
      <c r="M196" s="15" t="e">
        <f>IF(BudgetsTable[[#This Row],[pi_last_name]]=" ","",HYPERLINK("https://www.ejacket.nsf.gov/ej/processReviewAnalysis.do?dispatch=add&amp;uniqId="&amp;BudgetsTable[[#This Row],[prop_id]]&amp;PO_id,"&gt;ra"))</f>
        <v>#REF!</v>
      </c>
      <c r="N196" s="79" t="s">
        <v>1005</v>
      </c>
      <c r="O196" s="7" t="str">
        <f>IF(BudgetsTable[[#This Row],[pi_last_name]]=" ","",HYPERLINK("mailto:"&amp;BudgetsTable[[#This Row],[pi_email]]&amp;"&amp;subject=Your NSF Proposal:  "&amp;BudgetsTable[[#This Row],[prop_id]],BudgetsTable[[#This Row],[pi_email]]))</f>
        <v>ecprice@cs.utexas.edu</v>
      </c>
      <c r="P196" s="79" t="s">
        <v>550</v>
      </c>
      <c r="Q196" s="79"/>
      <c r="R196" s="79"/>
      <c r="S196" s="80"/>
      <c r="T196" s="80"/>
      <c r="U196" s="80"/>
      <c r="V196" s="81"/>
      <c r="W196" s="79">
        <v>0</v>
      </c>
      <c r="X196" s="79"/>
      <c r="Y196" s="11" t="str">
        <f ca="1">IF(ISBLANK(BudgetsTable[[#This Row],[budg_seq_yr]]),"FY"&amp;fiscalyear,"FY"&amp;fiscalyear-1+BudgetsTable[[#This Row],[budg_seq_yr]])</f>
        <v>FY18</v>
      </c>
      <c r="Z196" s="80">
        <v>499575</v>
      </c>
      <c r="AA196" s="79" t="s">
        <v>477</v>
      </c>
      <c r="AB196" s="79" t="s">
        <v>582</v>
      </c>
      <c r="AC196" s="77" t="s">
        <v>94</v>
      </c>
      <c r="AD196" s="79" t="s">
        <v>1432</v>
      </c>
    </row>
    <row r="197" spans="1:30" x14ac:dyDescent="0.4">
      <c r="A197" s="10" t="s">
        <v>1004</v>
      </c>
      <c r="B197" s="77" t="s">
        <v>95</v>
      </c>
      <c r="C197" s="77">
        <f>C196+(BudgetsTable[[#This Row],[lead]]&lt;&gt;K196)</f>
        <v>43</v>
      </c>
      <c r="D197" s="77">
        <f>D196*(BudgetsTable[[#This Row],[lead]]=K196)+(BudgetsTable[[#This Row],[prop_id]]&lt;&gt;A196)</f>
        <v>1</v>
      </c>
      <c r="E197" s="78">
        <v>42935.679166666669</v>
      </c>
      <c r="F197" s="79" t="s">
        <v>1430</v>
      </c>
      <c r="G197" s="79" t="s">
        <v>477</v>
      </c>
      <c r="H197" s="79" t="s">
        <v>582</v>
      </c>
      <c r="I197" s="77" t="s">
        <v>611</v>
      </c>
      <c r="J197" s="77" t="s">
        <v>13</v>
      </c>
      <c r="K197" s="79" t="s">
        <v>1004</v>
      </c>
      <c r="L197" s="7" t="str">
        <f>IF(BudgetsTable[[#This Row],[pi_last_name]]=" ","",HYPERLINK("https://www.ejacket.nsf.gov/ej/showProposal.do?Continue=Y&amp;ID="&amp;BudgetsTable[[#This Row],[prop_id]],BudgetsTable[[#This Row],[prop_id]]))</f>
        <v/>
      </c>
      <c r="M197" s="15" t="str">
        <f>IF(BudgetsTable[[#This Row],[pi_last_name]]=" ","",HYPERLINK("https://www.ejacket.nsf.gov/ej/processReviewAnalysis.do?dispatch=add&amp;uniqId="&amp;BudgetsTable[[#This Row],[prop_id]]&amp;PO_id,"&gt;ra"))</f>
        <v/>
      </c>
      <c r="N197" s="79" t="s">
        <v>13</v>
      </c>
      <c r="O197" s="7" t="str">
        <f>IF(BudgetsTable[[#This Row],[pi_last_name]]=" ","",HYPERLINK("mailto:"&amp;BudgetsTable[[#This Row],[pi_email]]&amp;"&amp;subject=Your NSF Proposal:  "&amp;BudgetsTable[[#This Row],[prop_id]],BudgetsTable[[#This Row],[pi_email]]))</f>
        <v/>
      </c>
      <c r="P197" s="79" t="s">
        <v>13</v>
      </c>
      <c r="Q197" s="79">
        <v>1</v>
      </c>
      <c r="R197" s="79">
        <v>1</v>
      </c>
      <c r="S197" s="80">
        <v>0</v>
      </c>
      <c r="T197" s="80">
        <v>0</v>
      </c>
      <c r="U197" s="80">
        <v>0</v>
      </c>
      <c r="V197" s="81">
        <v>94979</v>
      </c>
      <c r="W197" s="79">
        <v>0</v>
      </c>
      <c r="X197" s="79">
        <v>1</v>
      </c>
      <c r="Y197" s="11" t="str">
        <f ca="1">IF(ISBLANK(BudgetsTable[[#This Row],[budg_seq_yr]]),"FY"&amp;fiscalyear,"FY"&amp;fiscalyear-1+BudgetsTable[[#This Row],[budg_seq_yr]])</f>
        <v>FY18</v>
      </c>
      <c r="Z197" s="80">
        <v>94979</v>
      </c>
      <c r="AA197" s="79" t="s">
        <v>477</v>
      </c>
      <c r="AB197" s="79" t="s">
        <v>582</v>
      </c>
      <c r="AC197" s="77" t="s">
        <v>94</v>
      </c>
      <c r="AD197" s="79" t="s">
        <v>1432</v>
      </c>
    </row>
    <row r="198" spans="1:30" x14ac:dyDescent="0.4">
      <c r="A198" s="10" t="s">
        <v>1004</v>
      </c>
      <c r="B198" s="77" t="s">
        <v>95</v>
      </c>
      <c r="C198" s="77">
        <f>C197+(BudgetsTable[[#This Row],[lead]]&lt;&gt;K197)</f>
        <v>43</v>
      </c>
      <c r="D198" s="77">
        <f>D197*(BudgetsTable[[#This Row],[lead]]=K197)+(BudgetsTable[[#This Row],[prop_id]]&lt;&gt;A197)</f>
        <v>1</v>
      </c>
      <c r="E198" s="78">
        <v>42935.679166666669</v>
      </c>
      <c r="F198" s="79" t="s">
        <v>1430</v>
      </c>
      <c r="G198" s="79" t="s">
        <v>477</v>
      </c>
      <c r="H198" s="79" t="s">
        <v>582</v>
      </c>
      <c r="I198" s="77" t="s">
        <v>611</v>
      </c>
      <c r="J198" s="77" t="s">
        <v>13</v>
      </c>
      <c r="K198" s="79" t="s">
        <v>1004</v>
      </c>
      <c r="L198" s="7" t="str">
        <f>IF(BudgetsTable[[#This Row],[pi_last_name]]=" ","",HYPERLINK("https://www.ejacket.nsf.gov/ej/showProposal.do?Continue=Y&amp;ID="&amp;BudgetsTable[[#This Row],[prop_id]],BudgetsTable[[#This Row],[prop_id]]))</f>
        <v/>
      </c>
      <c r="M198" s="15" t="str">
        <f>IF(BudgetsTable[[#This Row],[pi_last_name]]=" ","",HYPERLINK("https://www.ejacket.nsf.gov/ej/processReviewAnalysis.do?dispatch=add&amp;uniqId="&amp;BudgetsTable[[#This Row],[prop_id]]&amp;PO_id,"&gt;ra"))</f>
        <v/>
      </c>
      <c r="N198" s="79" t="s">
        <v>13</v>
      </c>
      <c r="O198" s="7" t="str">
        <f>IF(BudgetsTable[[#This Row],[pi_last_name]]=" ","",HYPERLINK("mailto:"&amp;BudgetsTable[[#This Row],[pi_email]]&amp;"&amp;subject=Your NSF Proposal:  "&amp;BudgetsTable[[#This Row],[prop_id]],BudgetsTable[[#This Row],[pi_email]]))</f>
        <v/>
      </c>
      <c r="P198" s="79" t="s">
        <v>13</v>
      </c>
      <c r="Q198" s="79">
        <v>1</v>
      </c>
      <c r="R198" s="79">
        <v>1</v>
      </c>
      <c r="S198" s="80">
        <v>0</v>
      </c>
      <c r="T198" s="80">
        <v>0</v>
      </c>
      <c r="U198" s="80">
        <v>0</v>
      </c>
      <c r="V198" s="81">
        <v>97373</v>
      </c>
      <c r="W198" s="79">
        <v>0</v>
      </c>
      <c r="X198" s="79">
        <v>2</v>
      </c>
      <c r="Y198" s="11" t="str">
        <f ca="1">IF(ISBLANK(BudgetsTable[[#This Row],[budg_seq_yr]]),"FY"&amp;fiscalyear,"FY"&amp;fiscalyear-1+BudgetsTable[[#This Row],[budg_seq_yr]])</f>
        <v>FY19</v>
      </c>
      <c r="Z198" s="80">
        <v>97373</v>
      </c>
      <c r="AA198" s="79" t="s">
        <v>477</v>
      </c>
      <c r="AB198" s="79" t="s">
        <v>582</v>
      </c>
      <c r="AC198" s="77" t="s">
        <v>94</v>
      </c>
      <c r="AD198" s="79" t="s">
        <v>1432</v>
      </c>
    </row>
    <row r="199" spans="1:30" x14ac:dyDescent="0.4">
      <c r="A199" s="10" t="s">
        <v>1004</v>
      </c>
      <c r="B199" s="77" t="s">
        <v>95</v>
      </c>
      <c r="C199" s="77">
        <f>C198+(BudgetsTable[[#This Row],[lead]]&lt;&gt;K198)</f>
        <v>43</v>
      </c>
      <c r="D199" s="77">
        <f>D198*(BudgetsTable[[#This Row],[lead]]=K198)+(BudgetsTable[[#This Row],[prop_id]]&lt;&gt;A198)</f>
        <v>1</v>
      </c>
      <c r="E199" s="78">
        <v>42935.679166666669</v>
      </c>
      <c r="F199" s="79" t="s">
        <v>1430</v>
      </c>
      <c r="G199" s="79" t="s">
        <v>477</v>
      </c>
      <c r="H199" s="79" t="s">
        <v>582</v>
      </c>
      <c r="I199" s="77" t="s">
        <v>611</v>
      </c>
      <c r="J199" s="77" t="s">
        <v>13</v>
      </c>
      <c r="K199" s="79" t="s">
        <v>1004</v>
      </c>
      <c r="L199" s="7" t="str">
        <f>IF(BudgetsTable[[#This Row],[pi_last_name]]=" ","",HYPERLINK("https://www.ejacket.nsf.gov/ej/showProposal.do?Continue=Y&amp;ID="&amp;BudgetsTable[[#This Row],[prop_id]],BudgetsTable[[#This Row],[prop_id]]))</f>
        <v/>
      </c>
      <c r="M199" s="15" t="str">
        <f>IF(BudgetsTable[[#This Row],[pi_last_name]]=" ","",HYPERLINK("https://www.ejacket.nsf.gov/ej/processReviewAnalysis.do?dispatch=add&amp;uniqId="&amp;BudgetsTable[[#This Row],[prop_id]]&amp;PO_id,"&gt;ra"))</f>
        <v/>
      </c>
      <c r="N199" s="79" t="s">
        <v>13</v>
      </c>
      <c r="O199" s="7" t="str">
        <f>IF(BudgetsTable[[#This Row],[pi_last_name]]=" ","",HYPERLINK("mailto:"&amp;BudgetsTable[[#This Row],[pi_email]]&amp;"&amp;subject=Your NSF Proposal:  "&amp;BudgetsTable[[#This Row],[prop_id]],BudgetsTable[[#This Row],[pi_email]]))</f>
        <v/>
      </c>
      <c r="P199" s="79" t="s">
        <v>13</v>
      </c>
      <c r="Q199" s="79">
        <v>1</v>
      </c>
      <c r="R199" s="79">
        <v>1</v>
      </c>
      <c r="S199" s="80">
        <v>0</v>
      </c>
      <c r="T199" s="80">
        <v>0</v>
      </c>
      <c r="U199" s="80">
        <v>0</v>
      </c>
      <c r="V199" s="81">
        <v>99840</v>
      </c>
      <c r="W199" s="79">
        <v>0</v>
      </c>
      <c r="X199" s="79">
        <v>3</v>
      </c>
      <c r="Y199" s="11" t="str">
        <f ca="1">IF(ISBLANK(BudgetsTable[[#This Row],[budg_seq_yr]]),"FY"&amp;fiscalyear,"FY"&amp;fiscalyear-1+BudgetsTable[[#This Row],[budg_seq_yr]])</f>
        <v>FY20</v>
      </c>
      <c r="Z199" s="80">
        <v>99840</v>
      </c>
      <c r="AA199" s="79" t="s">
        <v>477</v>
      </c>
      <c r="AB199" s="79" t="s">
        <v>582</v>
      </c>
      <c r="AC199" s="77" t="s">
        <v>94</v>
      </c>
      <c r="AD199" s="79" t="s">
        <v>1432</v>
      </c>
    </row>
    <row r="200" spans="1:30" x14ac:dyDescent="0.4">
      <c r="A200" s="10" t="s">
        <v>1004</v>
      </c>
      <c r="B200" s="77" t="s">
        <v>95</v>
      </c>
      <c r="C200" s="77">
        <f>C199+(BudgetsTable[[#This Row],[lead]]&lt;&gt;K199)</f>
        <v>43</v>
      </c>
      <c r="D200" s="77">
        <f>D199*(BudgetsTable[[#This Row],[lead]]=K199)+(BudgetsTable[[#This Row],[prop_id]]&lt;&gt;A199)</f>
        <v>1</v>
      </c>
      <c r="E200" s="78">
        <v>42935.679166666669</v>
      </c>
      <c r="F200" s="79" t="s">
        <v>1430</v>
      </c>
      <c r="G200" s="79" t="s">
        <v>477</v>
      </c>
      <c r="H200" s="79" t="s">
        <v>582</v>
      </c>
      <c r="I200" s="77" t="s">
        <v>611</v>
      </c>
      <c r="J200" s="77" t="s">
        <v>13</v>
      </c>
      <c r="K200" s="79" t="s">
        <v>1004</v>
      </c>
      <c r="L200" s="7" t="str">
        <f>IF(BudgetsTable[[#This Row],[pi_last_name]]=" ","",HYPERLINK("https://www.ejacket.nsf.gov/ej/showProposal.do?Continue=Y&amp;ID="&amp;BudgetsTable[[#This Row],[prop_id]],BudgetsTable[[#This Row],[prop_id]]))</f>
        <v/>
      </c>
      <c r="M200" s="15" t="str">
        <f>IF(BudgetsTable[[#This Row],[pi_last_name]]=" ","",HYPERLINK("https://www.ejacket.nsf.gov/ej/processReviewAnalysis.do?dispatch=add&amp;uniqId="&amp;BudgetsTable[[#This Row],[prop_id]]&amp;PO_id,"&gt;ra"))</f>
        <v/>
      </c>
      <c r="N200" s="79" t="s">
        <v>13</v>
      </c>
      <c r="O200" s="7" t="str">
        <f>IF(BudgetsTable[[#This Row],[pi_last_name]]=" ","",HYPERLINK("mailto:"&amp;BudgetsTable[[#This Row],[pi_email]]&amp;"&amp;subject=Your NSF Proposal:  "&amp;BudgetsTable[[#This Row],[prop_id]],BudgetsTable[[#This Row],[pi_email]]))</f>
        <v/>
      </c>
      <c r="P200" s="79" t="s">
        <v>13</v>
      </c>
      <c r="Q200" s="79">
        <v>1</v>
      </c>
      <c r="R200" s="79">
        <v>1</v>
      </c>
      <c r="S200" s="80">
        <v>0</v>
      </c>
      <c r="T200" s="80">
        <v>0</v>
      </c>
      <c r="U200" s="80">
        <v>0</v>
      </c>
      <c r="V200" s="81">
        <v>102383</v>
      </c>
      <c r="W200" s="79">
        <v>0</v>
      </c>
      <c r="X200" s="79">
        <v>4</v>
      </c>
      <c r="Y200" s="11" t="str">
        <f ca="1">IF(ISBLANK(BudgetsTable[[#This Row],[budg_seq_yr]]),"FY"&amp;fiscalyear,"FY"&amp;fiscalyear-1+BudgetsTable[[#This Row],[budg_seq_yr]])</f>
        <v>FY21</v>
      </c>
      <c r="Z200" s="80">
        <v>102383</v>
      </c>
      <c r="AA200" s="79" t="s">
        <v>477</v>
      </c>
      <c r="AB200" s="79" t="s">
        <v>582</v>
      </c>
      <c r="AC200" s="77" t="s">
        <v>94</v>
      </c>
      <c r="AD200" s="79" t="s">
        <v>1432</v>
      </c>
    </row>
    <row r="201" spans="1:30" x14ac:dyDescent="0.4">
      <c r="A201" s="10" t="s">
        <v>1004</v>
      </c>
      <c r="B201" s="77" t="s">
        <v>95</v>
      </c>
      <c r="C201" s="77">
        <f>C200+(BudgetsTable[[#This Row],[lead]]&lt;&gt;K200)</f>
        <v>43</v>
      </c>
      <c r="D201" s="77">
        <f>D200*(BudgetsTable[[#This Row],[lead]]=K200)+(BudgetsTable[[#This Row],[prop_id]]&lt;&gt;A200)</f>
        <v>1</v>
      </c>
      <c r="E201" s="78">
        <v>42935.679166666669</v>
      </c>
      <c r="F201" s="79" t="s">
        <v>1430</v>
      </c>
      <c r="G201" s="79" t="s">
        <v>477</v>
      </c>
      <c r="H201" s="79" t="s">
        <v>582</v>
      </c>
      <c r="I201" s="77" t="s">
        <v>611</v>
      </c>
      <c r="J201" s="77" t="s">
        <v>13</v>
      </c>
      <c r="K201" s="79" t="s">
        <v>1004</v>
      </c>
      <c r="L201" s="7" t="str">
        <f>IF(BudgetsTable[[#This Row],[pi_last_name]]=" ","",HYPERLINK("https://www.ejacket.nsf.gov/ej/showProposal.do?Continue=Y&amp;ID="&amp;BudgetsTable[[#This Row],[prop_id]],BudgetsTable[[#This Row],[prop_id]]))</f>
        <v/>
      </c>
      <c r="M201" s="15" t="str">
        <f>IF(BudgetsTable[[#This Row],[pi_last_name]]=" ","",HYPERLINK("https://www.ejacket.nsf.gov/ej/processReviewAnalysis.do?dispatch=add&amp;uniqId="&amp;BudgetsTable[[#This Row],[prop_id]]&amp;PO_id,"&gt;ra"))</f>
        <v/>
      </c>
      <c r="N201" s="79" t="s">
        <v>13</v>
      </c>
      <c r="O201" s="7" t="str">
        <f>IF(BudgetsTable[[#This Row],[pi_last_name]]=" ","",HYPERLINK("mailto:"&amp;BudgetsTable[[#This Row],[pi_email]]&amp;"&amp;subject=Your NSF Proposal:  "&amp;BudgetsTable[[#This Row],[prop_id]],BudgetsTable[[#This Row],[pi_email]]))</f>
        <v/>
      </c>
      <c r="P201" s="79" t="s">
        <v>13</v>
      </c>
      <c r="Q201" s="79">
        <v>1</v>
      </c>
      <c r="R201" s="79">
        <v>1</v>
      </c>
      <c r="S201" s="80">
        <v>0</v>
      </c>
      <c r="T201" s="80">
        <v>0</v>
      </c>
      <c r="U201" s="80">
        <v>0</v>
      </c>
      <c r="V201" s="81">
        <v>105000</v>
      </c>
      <c r="W201" s="79">
        <v>0</v>
      </c>
      <c r="X201" s="79">
        <v>5</v>
      </c>
      <c r="Y201" s="11" t="str">
        <f ca="1">IF(ISBLANK(BudgetsTable[[#This Row],[budg_seq_yr]]),"FY"&amp;fiscalyear,"FY"&amp;fiscalyear-1+BudgetsTable[[#This Row],[budg_seq_yr]])</f>
        <v>FY22</v>
      </c>
      <c r="Z201" s="80">
        <v>105000</v>
      </c>
      <c r="AA201" s="79" t="s">
        <v>477</v>
      </c>
      <c r="AB201" s="79" t="s">
        <v>582</v>
      </c>
      <c r="AC201" s="77" t="s">
        <v>94</v>
      </c>
      <c r="AD201" s="79" t="s">
        <v>1432</v>
      </c>
    </row>
    <row r="202" spans="1:30" x14ac:dyDescent="0.4">
      <c r="A202" s="10" t="s">
        <v>1012</v>
      </c>
      <c r="B202" s="77" t="s">
        <v>95</v>
      </c>
      <c r="C202" s="77">
        <f>C201+(BudgetsTable[[#This Row],[lead]]&lt;&gt;K201)</f>
        <v>44</v>
      </c>
      <c r="D202" s="77">
        <f>D201*(BudgetsTable[[#This Row],[lead]]=K201)+(BudgetsTable[[#This Row],[prop_id]]&lt;&gt;A201)</f>
        <v>1</v>
      </c>
      <c r="E202" s="78">
        <v>42935.680555555555</v>
      </c>
      <c r="F202" s="79" t="s">
        <v>1430</v>
      </c>
      <c r="G202" s="79" t="s">
        <v>477</v>
      </c>
      <c r="H202" s="79" t="s">
        <v>582</v>
      </c>
      <c r="I202" s="77" t="s">
        <v>604</v>
      </c>
      <c r="J202" s="77" t="s">
        <v>1589</v>
      </c>
      <c r="K202" s="79" t="s">
        <v>1012</v>
      </c>
      <c r="L202" s="7" t="str">
        <f>IF(BudgetsTable[[#This Row],[pi_last_name]]=" ","",HYPERLINK("https://www.ejacket.nsf.gov/ej/showProposal.do?Continue=Y&amp;ID="&amp;BudgetsTable[[#This Row],[prop_id]],BudgetsTable[[#This Row],[prop_id]]))</f>
        <v>1751047</v>
      </c>
      <c r="M202" s="15" t="e">
        <f>IF(BudgetsTable[[#This Row],[pi_last_name]]=" ","",HYPERLINK("https://www.ejacket.nsf.gov/ej/processReviewAnalysis.do?dispatch=add&amp;uniqId="&amp;BudgetsTable[[#This Row],[prop_id]]&amp;PO_id,"&gt;ra"))</f>
        <v>#REF!</v>
      </c>
      <c r="N202" s="79" t="s">
        <v>1013</v>
      </c>
      <c r="O202" s="7" t="str">
        <f>IF(BudgetsTable[[#This Row],[pi_last_name]]=" ","",HYPERLINK("mailto:"&amp;BudgetsTable[[#This Row],[pi_email]]&amp;"&amp;subject=Your NSF Proposal:  "&amp;BudgetsTable[[#This Row],[prop_id]],BudgetsTable[[#This Row],[pi_email]]))</f>
        <v>MATTHEW.GIBSON@UTSA.EDU</v>
      </c>
      <c r="P202" s="79" t="s">
        <v>1586</v>
      </c>
      <c r="Q202" s="79"/>
      <c r="R202" s="79"/>
      <c r="S202" s="80"/>
      <c r="T202" s="80"/>
      <c r="U202" s="80"/>
      <c r="V202" s="81"/>
      <c r="W202" s="79">
        <v>0</v>
      </c>
      <c r="X202" s="79"/>
      <c r="Y202" s="11" t="str">
        <f ca="1">IF(ISBLANK(BudgetsTable[[#This Row],[budg_seq_yr]]),"FY"&amp;fiscalyear,"FY"&amp;fiscalyear-1+BudgetsTable[[#This Row],[budg_seq_yr]])</f>
        <v>FY18</v>
      </c>
      <c r="Z202" s="80">
        <v>415497</v>
      </c>
      <c r="AA202" s="79" t="s">
        <v>477</v>
      </c>
      <c r="AB202" s="79" t="s">
        <v>582</v>
      </c>
      <c r="AC202" s="77" t="s">
        <v>94</v>
      </c>
      <c r="AD202" s="79" t="s">
        <v>1439</v>
      </c>
    </row>
    <row r="203" spans="1:30" x14ac:dyDescent="0.4">
      <c r="A203" s="10" t="s">
        <v>1012</v>
      </c>
      <c r="B203" s="77" t="s">
        <v>95</v>
      </c>
      <c r="C203" s="77">
        <f>C202+(BudgetsTable[[#This Row],[lead]]&lt;&gt;K202)</f>
        <v>44</v>
      </c>
      <c r="D203" s="77">
        <f>D202*(BudgetsTable[[#This Row],[lead]]=K202)+(BudgetsTable[[#This Row],[prop_id]]&lt;&gt;A202)</f>
        <v>1</v>
      </c>
      <c r="E203" s="78">
        <v>42935.680555555555</v>
      </c>
      <c r="F203" s="79" t="s">
        <v>1430</v>
      </c>
      <c r="G203" s="79" t="s">
        <v>477</v>
      </c>
      <c r="H203" s="79" t="s">
        <v>582</v>
      </c>
      <c r="I203" s="77" t="s">
        <v>604</v>
      </c>
      <c r="J203" s="77" t="s">
        <v>13</v>
      </c>
      <c r="K203" s="79" t="s">
        <v>1012</v>
      </c>
      <c r="L203" s="7" t="str">
        <f>IF(BudgetsTable[[#This Row],[pi_last_name]]=" ","",HYPERLINK("https://www.ejacket.nsf.gov/ej/showProposal.do?Continue=Y&amp;ID="&amp;BudgetsTable[[#This Row],[prop_id]],BudgetsTable[[#This Row],[prop_id]]))</f>
        <v/>
      </c>
      <c r="M203" s="15" t="str">
        <f>IF(BudgetsTable[[#This Row],[pi_last_name]]=" ","",HYPERLINK("https://www.ejacket.nsf.gov/ej/processReviewAnalysis.do?dispatch=add&amp;uniqId="&amp;BudgetsTable[[#This Row],[prop_id]]&amp;PO_id,"&gt;ra"))</f>
        <v/>
      </c>
      <c r="N203" s="79" t="s">
        <v>13</v>
      </c>
      <c r="O203" s="7" t="str">
        <f>IF(BudgetsTable[[#This Row],[pi_last_name]]=" ","",HYPERLINK("mailto:"&amp;BudgetsTable[[#This Row],[pi_email]]&amp;"&amp;subject=Your NSF Proposal:  "&amp;BudgetsTable[[#This Row],[prop_id]],BudgetsTable[[#This Row],[pi_email]]))</f>
        <v/>
      </c>
      <c r="P203" s="79" t="s">
        <v>13</v>
      </c>
      <c r="Q203" s="79">
        <v>1</v>
      </c>
      <c r="R203" s="79">
        <v>1</v>
      </c>
      <c r="S203" s="80">
        <v>0</v>
      </c>
      <c r="T203" s="80">
        <v>2450</v>
      </c>
      <c r="U203" s="80">
        <v>16000</v>
      </c>
      <c r="V203" s="81">
        <v>92539</v>
      </c>
      <c r="W203" s="79">
        <v>0</v>
      </c>
      <c r="X203" s="79">
        <v>1</v>
      </c>
      <c r="Y203" s="11" t="str">
        <f ca="1">IF(ISBLANK(BudgetsTable[[#This Row],[budg_seq_yr]]),"FY"&amp;fiscalyear,"FY"&amp;fiscalyear-1+BudgetsTable[[#This Row],[budg_seq_yr]])</f>
        <v>FY18</v>
      </c>
      <c r="Z203" s="80">
        <v>92539</v>
      </c>
      <c r="AA203" s="79" t="s">
        <v>477</v>
      </c>
      <c r="AB203" s="79" t="s">
        <v>582</v>
      </c>
      <c r="AC203" s="77" t="s">
        <v>94</v>
      </c>
      <c r="AD203" s="79" t="s">
        <v>1439</v>
      </c>
    </row>
    <row r="204" spans="1:30" x14ac:dyDescent="0.4">
      <c r="A204" s="10" t="s">
        <v>1012</v>
      </c>
      <c r="B204" s="77" t="s">
        <v>95</v>
      </c>
      <c r="C204" s="77">
        <f>C203+(BudgetsTable[[#This Row],[lead]]&lt;&gt;K203)</f>
        <v>44</v>
      </c>
      <c r="D204" s="77">
        <f>D203*(BudgetsTable[[#This Row],[lead]]=K203)+(BudgetsTable[[#This Row],[prop_id]]&lt;&gt;A203)</f>
        <v>1</v>
      </c>
      <c r="E204" s="78">
        <v>42935.680555555555</v>
      </c>
      <c r="F204" s="79" t="s">
        <v>1430</v>
      </c>
      <c r="G204" s="79" t="s">
        <v>477</v>
      </c>
      <c r="H204" s="79" t="s">
        <v>582</v>
      </c>
      <c r="I204" s="77" t="s">
        <v>604</v>
      </c>
      <c r="J204" s="77" t="s">
        <v>13</v>
      </c>
      <c r="K204" s="79" t="s">
        <v>1012</v>
      </c>
      <c r="L204" s="7" t="str">
        <f>IF(BudgetsTable[[#This Row],[pi_last_name]]=" ","",HYPERLINK("https://www.ejacket.nsf.gov/ej/showProposal.do?Continue=Y&amp;ID="&amp;BudgetsTable[[#This Row],[prop_id]],BudgetsTable[[#This Row],[prop_id]]))</f>
        <v/>
      </c>
      <c r="M204" s="15" t="str">
        <f>IF(BudgetsTable[[#This Row],[pi_last_name]]=" ","",HYPERLINK("https://www.ejacket.nsf.gov/ej/processReviewAnalysis.do?dispatch=add&amp;uniqId="&amp;BudgetsTable[[#This Row],[prop_id]]&amp;PO_id,"&gt;ra"))</f>
        <v/>
      </c>
      <c r="N204" s="79" t="s">
        <v>13</v>
      </c>
      <c r="O204" s="7" t="str">
        <f>IF(BudgetsTable[[#This Row],[pi_last_name]]=" ","",HYPERLINK("mailto:"&amp;BudgetsTable[[#This Row],[pi_email]]&amp;"&amp;subject=Your NSF Proposal:  "&amp;BudgetsTable[[#This Row],[prop_id]],BudgetsTable[[#This Row],[pi_email]]))</f>
        <v/>
      </c>
      <c r="P204" s="79" t="s">
        <v>13</v>
      </c>
      <c r="Q204" s="79">
        <v>1</v>
      </c>
      <c r="R204" s="79">
        <v>1</v>
      </c>
      <c r="S204" s="80">
        <v>0</v>
      </c>
      <c r="T204" s="80">
        <v>2450</v>
      </c>
      <c r="U204" s="80">
        <v>0</v>
      </c>
      <c r="V204" s="81">
        <v>78169</v>
      </c>
      <c r="W204" s="79">
        <v>0</v>
      </c>
      <c r="X204" s="79">
        <v>2</v>
      </c>
      <c r="Y204" s="11" t="str">
        <f ca="1">IF(ISBLANK(BudgetsTable[[#This Row],[budg_seq_yr]]),"FY"&amp;fiscalyear,"FY"&amp;fiscalyear-1+BudgetsTable[[#This Row],[budg_seq_yr]])</f>
        <v>FY19</v>
      </c>
      <c r="Z204" s="80">
        <v>78169</v>
      </c>
      <c r="AA204" s="79" t="s">
        <v>477</v>
      </c>
      <c r="AB204" s="79" t="s">
        <v>582</v>
      </c>
      <c r="AC204" s="77" t="s">
        <v>94</v>
      </c>
      <c r="AD204" s="79" t="s">
        <v>1439</v>
      </c>
    </row>
    <row r="205" spans="1:30" x14ac:dyDescent="0.4">
      <c r="A205" s="10" t="s">
        <v>1012</v>
      </c>
      <c r="B205" s="77" t="s">
        <v>95</v>
      </c>
      <c r="C205" s="77">
        <f>C204+(BudgetsTable[[#This Row],[lead]]&lt;&gt;K204)</f>
        <v>44</v>
      </c>
      <c r="D205" s="77">
        <f>D204*(BudgetsTable[[#This Row],[lead]]=K204)+(BudgetsTable[[#This Row],[prop_id]]&lt;&gt;A204)</f>
        <v>1</v>
      </c>
      <c r="E205" s="78">
        <v>42935.680555555555</v>
      </c>
      <c r="F205" s="79" t="s">
        <v>1430</v>
      </c>
      <c r="G205" s="79" t="s">
        <v>477</v>
      </c>
      <c r="H205" s="79" t="s">
        <v>582</v>
      </c>
      <c r="I205" s="77" t="s">
        <v>604</v>
      </c>
      <c r="J205" s="77" t="s">
        <v>13</v>
      </c>
      <c r="K205" s="79" t="s">
        <v>1012</v>
      </c>
      <c r="L205" s="7" t="str">
        <f>IF(BudgetsTable[[#This Row],[pi_last_name]]=" ","",HYPERLINK("https://www.ejacket.nsf.gov/ej/showProposal.do?Continue=Y&amp;ID="&amp;BudgetsTable[[#This Row],[prop_id]],BudgetsTable[[#This Row],[prop_id]]))</f>
        <v/>
      </c>
      <c r="M205" s="15" t="str">
        <f>IF(BudgetsTable[[#This Row],[pi_last_name]]=" ","",HYPERLINK("https://www.ejacket.nsf.gov/ej/processReviewAnalysis.do?dispatch=add&amp;uniqId="&amp;BudgetsTable[[#This Row],[prop_id]]&amp;PO_id,"&gt;ra"))</f>
        <v/>
      </c>
      <c r="N205" s="79" t="s">
        <v>13</v>
      </c>
      <c r="O205" s="7" t="str">
        <f>IF(BudgetsTable[[#This Row],[pi_last_name]]=" ","",HYPERLINK("mailto:"&amp;BudgetsTable[[#This Row],[pi_email]]&amp;"&amp;subject=Your NSF Proposal:  "&amp;BudgetsTable[[#This Row],[prop_id]],BudgetsTable[[#This Row],[pi_email]]))</f>
        <v/>
      </c>
      <c r="P205" s="79" t="s">
        <v>13</v>
      </c>
      <c r="Q205" s="79">
        <v>1</v>
      </c>
      <c r="R205" s="79">
        <v>1</v>
      </c>
      <c r="S205" s="80">
        <v>0</v>
      </c>
      <c r="T205" s="80">
        <v>2450</v>
      </c>
      <c r="U205" s="80">
        <v>0</v>
      </c>
      <c r="V205" s="81">
        <v>79849</v>
      </c>
      <c r="W205" s="79">
        <v>0</v>
      </c>
      <c r="X205" s="79">
        <v>3</v>
      </c>
      <c r="Y205" s="11" t="str">
        <f ca="1">IF(ISBLANK(BudgetsTable[[#This Row],[budg_seq_yr]]),"FY"&amp;fiscalyear,"FY"&amp;fiscalyear-1+BudgetsTable[[#This Row],[budg_seq_yr]])</f>
        <v>FY20</v>
      </c>
      <c r="Z205" s="80">
        <v>79849</v>
      </c>
      <c r="AA205" s="79" t="s">
        <v>477</v>
      </c>
      <c r="AB205" s="79" t="s">
        <v>582</v>
      </c>
      <c r="AC205" s="77" t="s">
        <v>94</v>
      </c>
      <c r="AD205" s="79" t="s">
        <v>1439</v>
      </c>
    </row>
    <row r="206" spans="1:30" x14ac:dyDescent="0.4">
      <c r="A206" s="10" t="s">
        <v>1012</v>
      </c>
      <c r="B206" s="77" t="s">
        <v>95</v>
      </c>
      <c r="C206" s="77">
        <f>C205+(BudgetsTable[[#This Row],[lead]]&lt;&gt;K205)</f>
        <v>44</v>
      </c>
      <c r="D206" s="77">
        <f>D205*(BudgetsTable[[#This Row],[lead]]=K205)+(BudgetsTable[[#This Row],[prop_id]]&lt;&gt;A205)</f>
        <v>1</v>
      </c>
      <c r="E206" s="78">
        <v>42935.680555555555</v>
      </c>
      <c r="F206" s="79" t="s">
        <v>1430</v>
      </c>
      <c r="G206" s="79" t="s">
        <v>477</v>
      </c>
      <c r="H206" s="79" t="s">
        <v>582</v>
      </c>
      <c r="I206" s="77" t="s">
        <v>604</v>
      </c>
      <c r="J206" s="77" t="s">
        <v>13</v>
      </c>
      <c r="K206" s="79" t="s">
        <v>1012</v>
      </c>
      <c r="L206" s="7" t="str">
        <f>IF(BudgetsTable[[#This Row],[pi_last_name]]=" ","",HYPERLINK("https://www.ejacket.nsf.gov/ej/showProposal.do?Continue=Y&amp;ID="&amp;BudgetsTable[[#This Row],[prop_id]],BudgetsTable[[#This Row],[prop_id]]))</f>
        <v/>
      </c>
      <c r="M206" s="15" t="str">
        <f>IF(BudgetsTable[[#This Row],[pi_last_name]]=" ","",HYPERLINK("https://www.ejacket.nsf.gov/ej/processReviewAnalysis.do?dispatch=add&amp;uniqId="&amp;BudgetsTable[[#This Row],[prop_id]]&amp;PO_id,"&gt;ra"))</f>
        <v/>
      </c>
      <c r="N206" s="79" t="s">
        <v>13</v>
      </c>
      <c r="O206" s="7" t="str">
        <f>IF(BudgetsTable[[#This Row],[pi_last_name]]=" ","",HYPERLINK("mailto:"&amp;BudgetsTable[[#This Row],[pi_email]]&amp;"&amp;subject=Your NSF Proposal:  "&amp;BudgetsTable[[#This Row],[prop_id]],BudgetsTable[[#This Row],[pi_email]]))</f>
        <v/>
      </c>
      <c r="P206" s="79" t="s">
        <v>13</v>
      </c>
      <c r="Q206" s="79">
        <v>1</v>
      </c>
      <c r="R206" s="79">
        <v>1</v>
      </c>
      <c r="S206" s="80">
        <v>0</v>
      </c>
      <c r="T206" s="80">
        <v>2450</v>
      </c>
      <c r="U206" s="80">
        <v>0</v>
      </c>
      <c r="V206" s="81">
        <v>81580</v>
      </c>
      <c r="W206" s="79">
        <v>0</v>
      </c>
      <c r="X206" s="79">
        <v>4</v>
      </c>
      <c r="Y206" s="11" t="str">
        <f ca="1">IF(ISBLANK(BudgetsTable[[#This Row],[budg_seq_yr]]),"FY"&amp;fiscalyear,"FY"&amp;fiscalyear-1+BudgetsTable[[#This Row],[budg_seq_yr]])</f>
        <v>FY21</v>
      </c>
      <c r="Z206" s="80">
        <v>81580</v>
      </c>
      <c r="AA206" s="79" t="s">
        <v>477</v>
      </c>
      <c r="AB206" s="79" t="s">
        <v>582</v>
      </c>
      <c r="AC206" s="77" t="s">
        <v>94</v>
      </c>
      <c r="AD206" s="79" t="s">
        <v>1439</v>
      </c>
    </row>
    <row r="207" spans="1:30" x14ac:dyDescent="0.4">
      <c r="A207" s="10" t="s">
        <v>1012</v>
      </c>
      <c r="B207" s="77" t="s">
        <v>95</v>
      </c>
      <c r="C207" s="77">
        <f>C206+(BudgetsTable[[#This Row],[lead]]&lt;&gt;K206)</f>
        <v>44</v>
      </c>
      <c r="D207" s="77">
        <f>D206*(BudgetsTable[[#This Row],[lead]]=K206)+(BudgetsTable[[#This Row],[prop_id]]&lt;&gt;A206)</f>
        <v>1</v>
      </c>
      <c r="E207" s="78">
        <v>42935.680555555555</v>
      </c>
      <c r="F207" s="79" t="s">
        <v>1430</v>
      </c>
      <c r="G207" s="79" t="s">
        <v>477</v>
      </c>
      <c r="H207" s="79" t="s">
        <v>582</v>
      </c>
      <c r="I207" s="77" t="s">
        <v>604</v>
      </c>
      <c r="J207" s="77" t="s">
        <v>13</v>
      </c>
      <c r="K207" s="79" t="s">
        <v>1012</v>
      </c>
      <c r="L207" s="7" t="str">
        <f>IF(BudgetsTable[[#This Row],[pi_last_name]]=" ","",HYPERLINK("https://www.ejacket.nsf.gov/ej/showProposal.do?Continue=Y&amp;ID="&amp;BudgetsTable[[#This Row],[prop_id]],BudgetsTable[[#This Row],[prop_id]]))</f>
        <v/>
      </c>
      <c r="M207" s="15" t="str">
        <f>IF(BudgetsTable[[#This Row],[pi_last_name]]=" ","",HYPERLINK("https://www.ejacket.nsf.gov/ej/processReviewAnalysis.do?dispatch=add&amp;uniqId="&amp;BudgetsTable[[#This Row],[prop_id]]&amp;PO_id,"&gt;ra"))</f>
        <v/>
      </c>
      <c r="N207" s="79" t="s">
        <v>13</v>
      </c>
      <c r="O207" s="7" t="str">
        <f>IF(BudgetsTable[[#This Row],[pi_last_name]]=" ","",HYPERLINK("mailto:"&amp;BudgetsTable[[#This Row],[pi_email]]&amp;"&amp;subject=Your NSF Proposal:  "&amp;BudgetsTable[[#This Row],[prop_id]],BudgetsTable[[#This Row],[pi_email]]))</f>
        <v/>
      </c>
      <c r="P207" s="79" t="s">
        <v>13</v>
      </c>
      <c r="Q207" s="79">
        <v>1</v>
      </c>
      <c r="R207" s="79">
        <v>1</v>
      </c>
      <c r="S207" s="80">
        <v>0</v>
      </c>
      <c r="T207" s="80">
        <v>2450</v>
      </c>
      <c r="U207" s="80">
        <v>0</v>
      </c>
      <c r="V207" s="81">
        <v>83360</v>
      </c>
      <c r="W207" s="79">
        <v>0</v>
      </c>
      <c r="X207" s="79">
        <v>5</v>
      </c>
      <c r="Y207" s="11" t="str">
        <f ca="1">IF(ISBLANK(BudgetsTable[[#This Row],[budg_seq_yr]]),"FY"&amp;fiscalyear,"FY"&amp;fiscalyear-1+BudgetsTable[[#This Row],[budg_seq_yr]])</f>
        <v>FY22</v>
      </c>
      <c r="Z207" s="80">
        <v>83360</v>
      </c>
      <c r="AA207" s="79" t="s">
        <v>477</v>
      </c>
      <c r="AB207" s="79" t="s">
        <v>582</v>
      </c>
      <c r="AC207" s="77" t="s">
        <v>94</v>
      </c>
      <c r="AD207" s="79" t="s">
        <v>1439</v>
      </c>
    </row>
    <row r="208" spans="1:30" x14ac:dyDescent="0.4">
      <c r="A208" s="10" t="s">
        <v>1021</v>
      </c>
      <c r="B208" s="77" t="s">
        <v>95</v>
      </c>
      <c r="C208" s="77">
        <f>C207+(BudgetsTable[[#This Row],[lead]]&lt;&gt;K207)</f>
        <v>45</v>
      </c>
      <c r="D208" s="77">
        <f>D207*(BudgetsTable[[#This Row],[lead]]=K207)+(BudgetsTable[[#This Row],[prop_id]]&lt;&gt;A207)</f>
        <v>1</v>
      </c>
      <c r="E208" s="78">
        <v>42935.680555555555</v>
      </c>
      <c r="F208" s="79" t="s">
        <v>1430</v>
      </c>
      <c r="G208" s="79" t="s">
        <v>477</v>
      </c>
      <c r="H208" s="79" t="s">
        <v>582</v>
      </c>
      <c r="I208" s="77" t="s">
        <v>611</v>
      </c>
      <c r="J208" s="77" t="s">
        <v>1301</v>
      </c>
      <c r="K208" s="79" t="s">
        <v>1021</v>
      </c>
      <c r="L208" s="7" t="str">
        <f>IF(BudgetsTable[[#This Row],[pi_last_name]]=" ","",HYPERLINK("https://www.ejacket.nsf.gov/ej/showProposal.do?Continue=Y&amp;ID="&amp;BudgetsTable[[#This Row],[prop_id]],BudgetsTable[[#This Row],[prop_id]]))</f>
        <v>1751048</v>
      </c>
      <c r="M208" s="15" t="e">
        <f>IF(BudgetsTable[[#This Row],[pi_last_name]]=" ","",HYPERLINK("https://www.ejacket.nsf.gov/ej/processReviewAnalysis.do?dispatch=add&amp;uniqId="&amp;BudgetsTable[[#This Row],[prop_id]]&amp;PO_id,"&gt;ra"))</f>
        <v>#REF!</v>
      </c>
      <c r="N208" s="79" t="s">
        <v>1022</v>
      </c>
      <c r="O208" s="7" t="str">
        <f>IF(BudgetsTable[[#This Row],[pi_last_name]]=" ","",HYPERLINK("mailto:"&amp;BudgetsTable[[#This Row],[pi_email]]&amp;"&amp;subject=Your NSF Proposal:  "&amp;BudgetsTable[[#This Row],[prop_id]],BudgetsTable[[#This Row],[pi_email]]))</f>
        <v>periklis.research@gmail.com</v>
      </c>
      <c r="P208" s="79" t="s">
        <v>1591</v>
      </c>
      <c r="Q208" s="79"/>
      <c r="R208" s="79"/>
      <c r="S208" s="80"/>
      <c r="T208" s="80"/>
      <c r="U208" s="80"/>
      <c r="V208" s="81"/>
      <c r="W208" s="79">
        <v>0</v>
      </c>
      <c r="X208" s="79"/>
      <c r="Y208" s="11" t="str">
        <f ca="1">IF(ISBLANK(BudgetsTable[[#This Row],[budg_seq_yr]]),"FY"&amp;fiscalyear,"FY"&amp;fiscalyear-1+BudgetsTable[[#This Row],[budg_seq_yr]])</f>
        <v>FY18</v>
      </c>
      <c r="Z208" s="80">
        <v>667571</v>
      </c>
      <c r="AA208" s="79" t="s">
        <v>477</v>
      </c>
      <c r="AB208" s="79" t="s">
        <v>582</v>
      </c>
      <c r="AC208" s="77" t="s">
        <v>94</v>
      </c>
      <c r="AD208" s="79" t="s">
        <v>1432</v>
      </c>
    </row>
    <row r="209" spans="1:30" x14ac:dyDescent="0.4">
      <c r="A209" s="10" t="s">
        <v>1021</v>
      </c>
      <c r="B209" s="77" t="s">
        <v>95</v>
      </c>
      <c r="C209" s="77">
        <f>C208+(BudgetsTable[[#This Row],[lead]]&lt;&gt;K208)</f>
        <v>45</v>
      </c>
      <c r="D209" s="77">
        <f>D208*(BudgetsTable[[#This Row],[lead]]=K208)+(BudgetsTable[[#This Row],[prop_id]]&lt;&gt;A208)</f>
        <v>1</v>
      </c>
      <c r="E209" s="78">
        <v>42935.680555555555</v>
      </c>
      <c r="F209" s="79" t="s">
        <v>1430</v>
      </c>
      <c r="G209" s="79" t="s">
        <v>477</v>
      </c>
      <c r="H209" s="79" t="s">
        <v>582</v>
      </c>
      <c r="I209" s="77" t="s">
        <v>611</v>
      </c>
      <c r="J209" s="77" t="s">
        <v>13</v>
      </c>
      <c r="K209" s="79" t="s">
        <v>1021</v>
      </c>
      <c r="L209" s="7" t="str">
        <f>IF(BudgetsTable[[#This Row],[pi_last_name]]=" ","",HYPERLINK("https://www.ejacket.nsf.gov/ej/showProposal.do?Continue=Y&amp;ID="&amp;BudgetsTable[[#This Row],[prop_id]],BudgetsTable[[#This Row],[prop_id]]))</f>
        <v/>
      </c>
      <c r="M209" s="15" t="str">
        <f>IF(BudgetsTable[[#This Row],[pi_last_name]]=" ","",HYPERLINK("https://www.ejacket.nsf.gov/ej/processReviewAnalysis.do?dispatch=add&amp;uniqId="&amp;BudgetsTable[[#This Row],[prop_id]]&amp;PO_id,"&gt;ra"))</f>
        <v/>
      </c>
      <c r="N209" s="79" t="s">
        <v>13</v>
      </c>
      <c r="O209" s="7" t="str">
        <f>IF(BudgetsTable[[#This Row],[pi_last_name]]=" ","",HYPERLINK("mailto:"&amp;BudgetsTable[[#This Row],[pi_email]]&amp;"&amp;subject=Your NSF Proposal:  "&amp;BudgetsTable[[#This Row],[prop_id]],BudgetsTable[[#This Row],[pi_email]]))</f>
        <v/>
      </c>
      <c r="P209" s="79" t="s">
        <v>13</v>
      </c>
      <c r="Q209" s="79">
        <v>1</v>
      </c>
      <c r="R209" s="79">
        <v>1</v>
      </c>
      <c r="S209" s="80">
        <v>0</v>
      </c>
      <c r="T209" s="80">
        <v>5000</v>
      </c>
      <c r="U209" s="80">
        <v>0</v>
      </c>
      <c r="V209" s="81">
        <v>129588</v>
      </c>
      <c r="W209" s="79">
        <v>0</v>
      </c>
      <c r="X209" s="79">
        <v>1</v>
      </c>
      <c r="Y209" s="11" t="str">
        <f ca="1">IF(ISBLANK(BudgetsTable[[#This Row],[budg_seq_yr]]),"FY"&amp;fiscalyear,"FY"&amp;fiscalyear-1+BudgetsTable[[#This Row],[budg_seq_yr]])</f>
        <v>FY18</v>
      </c>
      <c r="Z209" s="80">
        <v>129588</v>
      </c>
      <c r="AA209" s="79" t="s">
        <v>477</v>
      </c>
      <c r="AB209" s="79" t="s">
        <v>582</v>
      </c>
      <c r="AC209" s="77" t="s">
        <v>94</v>
      </c>
      <c r="AD209" s="79" t="s">
        <v>1432</v>
      </c>
    </row>
    <row r="210" spans="1:30" x14ac:dyDescent="0.4">
      <c r="A210" s="10" t="s">
        <v>1021</v>
      </c>
      <c r="B210" s="77" t="s">
        <v>95</v>
      </c>
      <c r="C210" s="77">
        <f>C209+(BudgetsTable[[#This Row],[lead]]&lt;&gt;K209)</f>
        <v>45</v>
      </c>
      <c r="D210" s="77">
        <f>D209*(BudgetsTable[[#This Row],[lead]]=K209)+(BudgetsTable[[#This Row],[prop_id]]&lt;&gt;A209)</f>
        <v>1</v>
      </c>
      <c r="E210" s="78">
        <v>42935.680555555555</v>
      </c>
      <c r="F210" s="79" t="s">
        <v>1430</v>
      </c>
      <c r="G210" s="79" t="s">
        <v>477</v>
      </c>
      <c r="H210" s="79" t="s">
        <v>582</v>
      </c>
      <c r="I210" s="77" t="s">
        <v>611</v>
      </c>
      <c r="J210" s="77" t="s">
        <v>13</v>
      </c>
      <c r="K210" s="79" t="s">
        <v>1021</v>
      </c>
      <c r="L210" s="7" t="str">
        <f>IF(BudgetsTable[[#This Row],[pi_last_name]]=" ","",HYPERLINK("https://www.ejacket.nsf.gov/ej/showProposal.do?Continue=Y&amp;ID="&amp;BudgetsTable[[#This Row],[prop_id]],BudgetsTable[[#This Row],[prop_id]]))</f>
        <v/>
      </c>
      <c r="M210" s="15" t="str">
        <f>IF(BudgetsTable[[#This Row],[pi_last_name]]=" ","",HYPERLINK("https://www.ejacket.nsf.gov/ej/processReviewAnalysis.do?dispatch=add&amp;uniqId="&amp;BudgetsTable[[#This Row],[prop_id]]&amp;PO_id,"&gt;ra"))</f>
        <v/>
      </c>
      <c r="N210" s="79" t="s">
        <v>13</v>
      </c>
      <c r="O210" s="7" t="str">
        <f>IF(BudgetsTable[[#This Row],[pi_last_name]]=" ","",HYPERLINK("mailto:"&amp;BudgetsTable[[#This Row],[pi_email]]&amp;"&amp;subject=Your NSF Proposal:  "&amp;BudgetsTable[[#This Row],[prop_id]],BudgetsTable[[#This Row],[pi_email]]))</f>
        <v/>
      </c>
      <c r="P210" s="79" t="s">
        <v>13</v>
      </c>
      <c r="Q210" s="79">
        <v>1</v>
      </c>
      <c r="R210" s="79">
        <v>1</v>
      </c>
      <c r="S210" s="80">
        <v>0</v>
      </c>
      <c r="T210" s="80">
        <v>5000</v>
      </c>
      <c r="U210" s="80">
        <v>0</v>
      </c>
      <c r="V210" s="81">
        <v>128146</v>
      </c>
      <c r="W210" s="79">
        <v>0</v>
      </c>
      <c r="X210" s="79">
        <v>2</v>
      </c>
      <c r="Y210" s="11" t="str">
        <f ca="1">IF(ISBLANK(BudgetsTable[[#This Row],[budg_seq_yr]]),"FY"&amp;fiscalyear,"FY"&amp;fiscalyear-1+BudgetsTable[[#This Row],[budg_seq_yr]])</f>
        <v>FY19</v>
      </c>
      <c r="Z210" s="80">
        <v>128146</v>
      </c>
      <c r="AA210" s="79" t="s">
        <v>477</v>
      </c>
      <c r="AB210" s="79" t="s">
        <v>582</v>
      </c>
      <c r="AC210" s="77" t="s">
        <v>94</v>
      </c>
      <c r="AD210" s="79" t="s">
        <v>1432</v>
      </c>
    </row>
    <row r="211" spans="1:30" x14ac:dyDescent="0.4">
      <c r="A211" s="10" t="s">
        <v>1021</v>
      </c>
      <c r="B211" s="77" t="s">
        <v>95</v>
      </c>
      <c r="C211" s="77">
        <f>C210+(BudgetsTable[[#This Row],[lead]]&lt;&gt;K210)</f>
        <v>45</v>
      </c>
      <c r="D211" s="77">
        <f>D210*(BudgetsTable[[#This Row],[lead]]=K210)+(BudgetsTable[[#This Row],[prop_id]]&lt;&gt;A210)</f>
        <v>1</v>
      </c>
      <c r="E211" s="78">
        <v>42935.680555555555</v>
      </c>
      <c r="F211" s="79" t="s">
        <v>1430</v>
      </c>
      <c r="G211" s="79" t="s">
        <v>477</v>
      </c>
      <c r="H211" s="79" t="s">
        <v>582</v>
      </c>
      <c r="I211" s="77" t="s">
        <v>611</v>
      </c>
      <c r="J211" s="77" t="s">
        <v>13</v>
      </c>
      <c r="K211" s="79" t="s">
        <v>1021</v>
      </c>
      <c r="L211" s="7" t="str">
        <f>IF(BudgetsTable[[#This Row],[pi_last_name]]=" ","",HYPERLINK("https://www.ejacket.nsf.gov/ej/showProposal.do?Continue=Y&amp;ID="&amp;BudgetsTable[[#This Row],[prop_id]],BudgetsTable[[#This Row],[prop_id]]))</f>
        <v/>
      </c>
      <c r="M211" s="15" t="str">
        <f>IF(BudgetsTable[[#This Row],[pi_last_name]]=" ","",HYPERLINK("https://www.ejacket.nsf.gov/ej/processReviewAnalysis.do?dispatch=add&amp;uniqId="&amp;BudgetsTable[[#This Row],[prop_id]]&amp;PO_id,"&gt;ra"))</f>
        <v/>
      </c>
      <c r="N211" s="79" t="s">
        <v>13</v>
      </c>
      <c r="O211" s="7" t="str">
        <f>IF(BudgetsTable[[#This Row],[pi_last_name]]=" ","",HYPERLINK("mailto:"&amp;BudgetsTable[[#This Row],[pi_email]]&amp;"&amp;subject=Your NSF Proposal:  "&amp;BudgetsTable[[#This Row],[prop_id]],BudgetsTable[[#This Row],[pi_email]]))</f>
        <v/>
      </c>
      <c r="P211" s="79" t="s">
        <v>13</v>
      </c>
      <c r="Q211" s="79">
        <v>1</v>
      </c>
      <c r="R211" s="79">
        <v>1</v>
      </c>
      <c r="S211" s="80">
        <v>0</v>
      </c>
      <c r="T211" s="80">
        <v>5000</v>
      </c>
      <c r="U211" s="80">
        <v>0</v>
      </c>
      <c r="V211" s="81">
        <v>132271</v>
      </c>
      <c r="W211" s="79">
        <v>0</v>
      </c>
      <c r="X211" s="79">
        <v>3</v>
      </c>
      <c r="Y211" s="11" t="str">
        <f ca="1">IF(ISBLANK(BudgetsTable[[#This Row],[budg_seq_yr]]),"FY"&amp;fiscalyear,"FY"&amp;fiscalyear-1+BudgetsTable[[#This Row],[budg_seq_yr]])</f>
        <v>FY20</v>
      </c>
      <c r="Z211" s="80">
        <v>132271</v>
      </c>
      <c r="AA211" s="79" t="s">
        <v>477</v>
      </c>
      <c r="AB211" s="79" t="s">
        <v>582</v>
      </c>
      <c r="AC211" s="77" t="s">
        <v>94</v>
      </c>
      <c r="AD211" s="79" t="s">
        <v>1432</v>
      </c>
    </row>
    <row r="212" spans="1:30" x14ac:dyDescent="0.4">
      <c r="A212" s="10" t="s">
        <v>1021</v>
      </c>
      <c r="B212" s="77" t="s">
        <v>95</v>
      </c>
      <c r="C212" s="77">
        <f>C211+(BudgetsTable[[#This Row],[lead]]&lt;&gt;K211)</f>
        <v>45</v>
      </c>
      <c r="D212" s="77">
        <f>D211*(BudgetsTable[[#This Row],[lead]]=K211)+(BudgetsTable[[#This Row],[prop_id]]&lt;&gt;A211)</f>
        <v>1</v>
      </c>
      <c r="E212" s="78">
        <v>42935.680555555555</v>
      </c>
      <c r="F212" s="79" t="s">
        <v>1430</v>
      </c>
      <c r="G212" s="79" t="s">
        <v>477</v>
      </c>
      <c r="H212" s="79" t="s">
        <v>582</v>
      </c>
      <c r="I212" s="77" t="s">
        <v>611</v>
      </c>
      <c r="J212" s="77" t="s">
        <v>13</v>
      </c>
      <c r="K212" s="79" t="s">
        <v>1021</v>
      </c>
      <c r="L212" s="7" t="str">
        <f>IF(BudgetsTable[[#This Row],[pi_last_name]]=" ","",HYPERLINK("https://www.ejacket.nsf.gov/ej/showProposal.do?Continue=Y&amp;ID="&amp;BudgetsTable[[#This Row],[prop_id]],BudgetsTable[[#This Row],[prop_id]]))</f>
        <v/>
      </c>
      <c r="M212" s="15" t="str">
        <f>IF(BudgetsTable[[#This Row],[pi_last_name]]=" ","",HYPERLINK("https://www.ejacket.nsf.gov/ej/processReviewAnalysis.do?dispatch=add&amp;uniqId="&amp;BudgetsTable[[#This Row],[prop_id]]&amp;PO_id,"&gt;ra"))</f>
        <v/>
      </c>
      <c r="N212" s="79" t="s">
        <v>13</v>
      </c>
      <c r="O212" s="7" t="str">
        <f>IF(BudgetsTable[[#This Row],[pi_last_name]]=" ","",HYPERLINK("mailto:"&amp;BudgetsTable[[#This Row],[pi_email]]&amp;"&amp;subject=Your NSF Proposal:  "&amp;BudgetsTable[[#This Row],[prop_id]],BudgetsTable[[#This Row],[pi_email]]))</f>
        <v/>
      </c>
      <c r="P212" s="79" t="s">
        <v>13</v>
      </c>
      <c r="Q212" s="79">
        <v>1</v>
      </c>
      <c r="R212" s="79">
        <v>1</v>
      </c>
      <c r="S212" s="80">
        <v>0</v>
      </c>
      <c r="T212" s="80">
        <v>5000</v>
      </c>
      <c r="U212" s="80">
        <v>0</v>
      </c>
      <c r="V212" s="81">
        <v>136556</v>
      </c>
      <c r="W212" s="79">
        <v>0</v>
      </c>
      <c r="X212" s="79">
        <v>4</v>
      </c>
      <c r="Y212" s="11" t="str">
        <f ca="1">IF(ISBLANK(BudgetsTable[[#This Row],[budg_seq_yr]]),"FY"&amp;fiscalyear,"FY"&amp;fiscalyear-1+BudgetsTable[[#This Row],[budg_seq_yr]])</f>
        <v>FY21</v>
      </c>
      <c r="Z212" s="80">
        <v>136556</v>
      </c>
      <c r="AA212" s="79" t="s">
        <v>477</v>
      </c>
      <c r="AB212" s="79" t="s">
        <v>582</v>
      </c>
      <c r="AC212" s="77" t="s">
        <v>94</v>
      </c>
      <c r="AD212" s="79" t="s">
        <v>1432</v>
      </c>
    </row>
    <row r="213" spans="1:30" x14ac:dyDescent="0.4">
      <c r="A213" s="10" t="s">
        <v>1021</v>
      </c>
      <c r="B213" s="77" t="s">
        <v>95</v>
      </c>
      <c r="C213" s="77">
        <f>C212+(BudgetsTable[[#This Row],[lead]]&lt;&gt;K212)</f>
        <v>45</v>
      </c>
      <c r="D213" s="77">
        <f>D212*(BudgetsTable[[#This Row],[lead]]=K212)+(BudgetsTable[[#This Row],[prop_id]]&lt;&gt;A212)</f>
        <v>1</v>
      </c>
      <c r="E213" s="78">
        <v>42935.680555555555</v>
      </c>
      <c r="F213" s="79" t="s">
        <v>1430</v>
      </c>
      <c r="G213" s="79" t="s">
        <v>477</v>
      </c>
      <c r="H213" s="79" t="s">
        <v>582</v>
      </c>
      <c r="I213" s="77" t="s">
        <v>611</v>
      </c>
      <c r="J213" s="77" t="s">
        <v>13</v>
      </c>
      <c r="K213" s="79" t="s">
        <v>1021</v>
      </c>
      <c r="L213" s="7" t="str">
        <f>IF(BudgetsTable[[#This Row],[pi_last_name]]=" ","",HYPERLINK("https://www.ejacket.nsf.gov/ej/showProposal.do?Continue=Y&amp;ID="&amp;BudgetsTable[[#This Row],[prop_id]],BudgetsTable[[#This Row],[prop_id]]))</f>
        <v/>
      </c>
      <c r="M213" s="15" t="str">
        <f>IF(BudgetsTable[[#This Row],[pi_last_name]]=" ","",HYPERLINK("https://www.ejacket.nsf.gov/ej/processReviewAnalysis.do?dispatch=add&amp;uniqId="&amp;BudgetsTable[[#This Row],[prop_id]]&amp;PO_id,"&gt;ra"))</f>
        <v/>
      </c>
      <c r="N213" s="79" t="s">
        <v>13</v>
      </c>
      <c r="O213" s="7" t="str">
        <f>IF(BudgetsTable[[#This Row],[pi_last_name]]=" ","",HYPERLINK("mailto:"&amp;BudgetsTable[[#This Row],[pi_email]]&amp;"&amp;subject=Your NSF Proposal:  "&amp;BudgetsTable[[#This Row],[prop_id]],BudgetsTable[[#This Row],[pi_email]]))</f>
        <v/>
      </c>
      <c r="P213" s="79" t="s">
        <v>13</v>
      </c>
      <c r="Q213" s="79">
        <v>1</v>
      </c>
      <c r="R213" s="79">
        <v>1</v>
      </c>
      <c r="S213" s="80">
        <v>0</v>
      </c>
      <c r="T213" s="80">
        <v>5000</v>
      </c>
      <c r="U213" s="80">
        <v>0</v>
      </c>
      <c r="V213" s="81">
        <v>141010</v>
      </c>
      <c r="W213" s="79">
        <v>0</v>
      </c>
      <c r="X213" s="79">
        <v>5</v>
      </c>
      <c r="Y213" s="11" t="str">
        <f ca="1">IF(ISBLANK(BudgetsTable[[#This Row],[budg_seq_yr]]),"FY"&amp;fiscalyear,"FY"&amp;fiscalyear-1+BudgetsTable[[#This Row],[budg_seq_yr]])</f>
        <v>FY22</v>
      </c>
      <c r="Z213" s="80">
        <v>141010</v>
      </c>
      <c r="AA213" s="79" t="s">
        <v>477</v>
      </c>
      <c r="AB213" s="79" t="s">
        <v>582</v>
      </c>
      <c r="AC213" s="77" t="s">
        <v>94</v>
      </c>
      <c r="AD213" s="79" t="s">
        <v>1432</v>
      </c>
    </row>
    <row r="214" spans="1:30" x14ac:dyDescent="0.4">
      <c r="A214" s="10" t="s">
        <v>1030</v>
      </c>
      <c r="B214" s="77" t="s">
        <v>95</v>
      </c>
      <c r="C214" s="77">
        <f>C213+(BudgetsTable[[#This Row],[lead]]&lt;&gt;K213)</f>
        <v>46</v>
      </c>
      <c r="D214" s="77">
        <f>D213*(BudgetsTable[[#This Row],[lead]]=K213)+(BudgetsTable[[#This Row],[prop_id]]&lt;&gt;A213)</f>
        <v>1</v>
      </c>
      <c r="E214" s="78">
        <v>42935.68472222222</v>
      </c>
      <c r="F214" s="79" t="s">
        <v>1430</v>
      </c>
      <c r="G214" s="79" t="s">
        <v>477</v>
      </c>
      <c r="H214" s="79" t="s">
        <v>582</v>
      </c>
      <c r="I214" s="77" t="s">
        <v>611</v>
      </c>
      <c r="J214" s="77" t="s">
        <v>1288</v>
      </c>
      <c r="K214" s="79" t="s">
        <v>1030</v>
      </c>
      <c r="L214" s="7" t="str">
        <f>IF(BudgetsTable[[#This Row],[pi_last_name]]=" ","",HYPERLINK("https://www.ejacket.nsf.gov/ej/showProposal.do?Continue=Y&amp;ID="&amp;BudgetsTable[[#This Row],[prop_id]],BudgetsTable[[#This Row],[prop_id]]))</f>
        <v>1751076</v>
      </c>
      <c r="M214" s="15" t="e">
        <f>IF(BudgetsTable[[#This Row],[pi_last_name]]=" ","",HYPERLINK("https://www.ejacket.nsf.gov/ej/processReviewAnalysis.do?dispatch=add&amp;uniqId="&amp;BudgetsTable[[#This Row],[prop_id]]&amp;PO_id,"&gt;ra"))</f>
        <v>#REF!</v>
      </c>
      <c r="N214" s="79" t="s">
        <v>1031</v>
      </c>
      <c r="O214" s="7" t="str">
        <f>IF(BudgetsTable[[#This Row],[pi_last_name]]=" ","",HYPERLINK("mailto:"&amp;BudgetsTable[[#This Row],[pi_email]]&amp;"&amp;subject=Your NSF Proposal:  "&amp;BudgetsTable[[#This Row],[prop_id]],BudgetsTable[[#This Row],[pi_email]]))</f>
        <v>gkatz@drexel.edu</v>
      </c>
      <c r="P214" s="79" t="s">
        <v>1594</v>
      </c>
      <c r="Q214" s="79"/>
      <c r="R214" s="79"/>
      <c r="S214" s="80"/>
      <c r="T214" s="80"/>
      <c r="U214" s="80"/>
      <c r="V214" s="81"/>
      <c r="W214" s="79">
        <v>0</v>
      </c>
      <c r="X214" s="79"/>
      <c r="Y214" s="11" t="str">
        <f ca="1">IF(ISBLANK(BudgetsTable[[#This Row],[budg_seq_yr]]),"FY"&amp;fiscalyear,"FY"&amp;fiscalyear-1+BudgetsTable[[#This Row],[budg_seq_yr]])</f>
        <v>FY18</v>
      </c>
      <c r="Z214" s="80">
        <v>559983</v>
      </c>
      <c r="AA214" s="79" t="s">
        <v>477</v>
      </c>
      <c r="AB214" s="79" t="s">
        <v>582</v>
      </c>
      <c r="AC214" s="77" t="s">
        <v>94</v>
      </c>
      <c r="AD214" s="79" t="s">
        <v>1539</v>
      </c>
    </row>
    <row r="215" spans="1:30" x14ac:dyDescent="0.4">
      <c r="A215" s="10" t="s">
        <v>1030</v>
      </c>
      <c r="B215" s="77" t="s">
        <v>95</v>
      </c>
      <c r="C215" s="77">
        <f>C214+(BudgetsTable[[#This Row],[lead]]&lt;&gt;K214)</f>
        <v>46</v>
      </c>
      <c r="D215" s="77">
        <f>D214*(BudgetsTable[[#This Row],[lead]]=K214)+(BudgetsTable[[#This Row],[prop_id]]&lt;&gt;A214)</f>
        <v>1</v>
      </c>
      <c r="E215" s="78">
        <v>42935.68472222222</v>
      </c>
      <c r="F215" s="79" t="s">
        <v>1430</v>
      </c>
      <c r="G215" s="79" t="s">
        <v>477</v>
      </c>
      <c r="H215" s="79" t="s">
        <v>582</v>
      </c>
      <c r="I215" s="77" t="s">
        <v>611</v>
      </c>
      <c r="J215" s="77" t="s">
        <v>13</v>
      </c>
      <c r="K215" s="79" t="s">
        <v>1030</v>
      </c>
      <c r="L215" s="7" t="str">
        <f>IF(BudgetsTable[[#This Row],[pi_last_name]]=" ","",HYPERLINK("https://www.ejacket.nsf.gov/ej/showProposal.do?Continue=Y&amp;ID="&amp;BudgetsTable[[#This Row],[prop_id]],BudgetsTable[[#This Row],[prop_id]]))</f>
        <v/>
      </c>
      <c r="M215" s="15" t="str">
        <f>IF(BudgetsTable[[#This Row],[pi_last_name]]=" ","",HYPERLINK("https://www.ejacket.nsf.gov/ej/processReviewAnalysis.do?dispatch=add&amp;uniqId="&amp;BudgetsTable[[#This Row],[prop_id]]&amp;PO_id,"&gt;ra"))</f>
        <v/>
      </c>
      <c r="N215" s="79" t="s">
        <v>13</v>
      </c>
      <c r="O215" s="7" t="str">
        <f>IF(BudgetsTable[[#This Row],[pi_last_name]]=" ","",HYPERLINK("mailto:"&amp;BudgetsTable[[#This Row],[pi_email]]&amp;"&amp;subject=Your NSF Proposal:  "&amp;BudgetsTable[[#This Row],[prop_id]],BudgetsTable[[#This Row],[pi_email]]))</f>
        <v/>
      </c>
      <c r="P215" s="79" t="s">
        <v>13</v>
      </c>
      <c r="Q215" s="79">
        <v>1</v>
      </c>
      <c r="R215" s="79">
        <v>1</v>
      </c>
      <c r="S215" s="80">
        <v>0</v>
      </c>
      <c r="T215" s="80">
        <v>2000</v>
      </c>
      <c r="U215" s="80">
        <v>0</v>
      </c>
      <c r="V215" s="81">
        <v>112409</v>
      </c>
      <c r="W215" s="79">
        <v>0</v>
      </c>
      <c r="X215" s="79">
        <v>1</v>
      </c>
      <c r="Y215" s="11" t="str">
        <f ca="1">IF(ISBLANK(BudgetsTable[[#This Row],[budg_seq_yr]]),"FY"&amp;fiscalyear,"FY"&amp;fiscalyear-1+BudgetsTable[[#This Row],[budg_seq_yr]])</f>
        <v>FY18</v>
      </c>
      <c r="Z215" s="80">
        <v>112409</v>
      </c>
      <c r="AA215" s="79" t="s">
        <v>477</v>
      </c>
      <c r="AB215" s="79" t="s">
        <v>582</v>
      </c>
      <c r="AC215" s="77" t="s">
        <v>94</v>
      </c>
      <c r="AD215" s="79" t="s">
        <v>1539</v>
      </c>
    </row>
    <row r="216" spans="1:30" x14ac:dyDescent="0.4">
      <c r="A216" s="10" t="s">
        <v>1030</v>
      </c>
      <c r="B216" s="77" t="s">
        <v>95</v>
      </c>
      <c r="C216" s="77">
        <f>C215+(BudgetsTable[[#This Row],[lead]]&lt;&gt;K215)</f>
        <v>46</v>
      </c>
      <c r="D216" s="77">
        <f>D215*(BudgetsTable[[#This Row],[lead]]=K215)+(BudgetsTable[[#This Row],[prop_id]]&lt;&gt;A215)</f>
        <v>1</v>
      </c>
      <c r="E216" s="78">
        <v>42935.68472222222</v>
      </c>
      <c r="F216" s="79" t="s">
        <v>1430</v>
      </c>
      <c r="G216" s="79" t="s">
        <v>477</v>
      </c>
      <c r="H216" s="79" t="s">
        <v>582</v>
      </c>
      <c r="I216" s="77" t="s">
        <v>611</v>
      </c>
      <c r="J216" s="77" t="s">
        <v>13</v>
      </c>
      <c r="K216" s="79" t="s">
        <v>1030</v>
      </c>
      <c r="L216" s="7" t="str">
        <f>IF(BudgetsTable[[#This Row],[pi_last_name]]=" ","",HYPERLINK("https://www.ejacket.nsf.gov/ej/showProposal.do?Continue=Y&amp;ID="&amp;BudgetsTable[[#This Row],[prop_id]],BudgetsTable[[#This Row],[prop_id]]))</f>
        <v/>
      </c>
      <c r="M216" s="15" t="str">
        <f>IF(BudgetsTable[[#This Row],[pi_last_name]]=" ","",HYPERLINK("https://www.ejacket.nsf.gov/ej/processReviewAnalysis.do?dispatch=add&amp;uniqId="&amp;BudgetsTable[[#This Row],[prop_id]]&amp;PO_id,"&gt;ra"))</f>
        <v/>
      </c>
      <c r="N216" s="79" t="s">
        <v>13</v>
      </c>
      <c r="O216" s="7" t="str">
        <f>IF(BudgetsTable[[#This Row],[pi_last_name]]=" ","",HYPERLINK("mailto:"&amp;BudgetsTable[[#This Row],[pi_email]]&amp;"&amp;subject=Your NSF Proposal:  "&amp;BudgetsTable[[#This Row],[prop_id]],BudgetsTable[[#This Row],[pi_email]]))</f>
        <v/>
      </c>
      <c r="P216" s="79" t="s">
        <v>13</v>
      </c>
      <c r="Q216" s="79">
        <v>1</v>
      </c>
      <c r="R216" s="79">
        <v>1</v>
      </c>
      <c r="S216" s="80">
        <v>0</v>
      </c>
      <c r="T216" s="80">
        <v>2000</v>
      </c>
      <c r="U216" s="80">
        <v>0</v>
      </c>
      <c r="V216" s="81">
        <v>107326</v>
      </c>
      <c r="W216" s="79">
        <v>0</v>
      </c>
      <c r="X216" s="79">
        <v>2</v>
      </c>
      <c r="Y216" s="11" t="str">
        <f ca="1">IF(ISBLANK(BudgetsTable[[#This Row],[budg_seq_yr]]),"FY"&amp;fiscalyear,"FY"&amp;fiscalyear-1+BudgetsTable[[#This Row],[budg_seq_yr]])</f>
        <v>FY19</v>
      </c>
      <c r="Z216" s="80">
        <v>107326</v>
      </c>
      <c r="AA216" s="79" t="s">
        <v>477</v>
      </c>
      <c r="AB216" s="79" t="s">
        <v>582</v>
      </c>
      <c r="AC216" s="77" t="s">
        <v>94</v>
      </c>
      <c r="AD216" s="79" t="s">
        <v>1539</v>
      </c>
    </row>
    <row r="217" spans="1:30" x14ac:dyDescent="0.4">
      <c r="A217" s="10" t="s">
        <v>1030</v>
      </c>
      <c r="B217" s="77" t="s">
        <v>95</v>
      </c>
      <c r="C217" s="77">
        <f>C216+(BudgetsTable[[#This Row],[lead]]&lt;&gt;K216)</f>
        <v>46</v>
      </c>
      <c r="D217" s="77">
        <f>D216*(BudgetsTable[[#This Row],[lead]]=K216)+(BudgetsTable[[#This Row],[prop_id]]&lt;&gt;A216)</f>
        <v>1</v>
      </c>
      <c r="E217" s="78">
        <v>42935.68472222222</v>
      </c>
      <c r="F217" s="79" t="s">
        <v>1430</v>
      </c>
      <c r="G217" s="79" t="s">
        <v>477</v>
      </c>
      <c r="H217" s="79" t="s">
        <v>582</v>
      </c>
      <c r="I217" s="77" t="s">
        <v>611</v>
      </c>
      <c r="J217" s="77" t="s">
        <v>13</v>
      </c>
      <c r="K217" s="79" t="s">
        <v>1030</v>
      </c>
      <c r="L217" s="7" t="str">
        <f>IF(BudgetsTable[[#This Row],[pi_last_name]]=" ","",HYPERLINK("https://www.ejacket.nsf.gov/ej/showProposal.do?Continue=Y&amp;ID="&amp;BudgetsTable[[#This Row],[prop_id]],BudgetsTable[[#This Row],[prop_id]]))</f>
        <v/>
      </c>
      <c r="M217" s="15" t="str">
        <f>IF(BudgetsTable[[#This Row],[pi_last_name]]=" ","",HYPERLINK("https://www.ejacket.nsf.gov/ej/processReviewAnalysis.do?dispatch=add&amp;uniqId="&amp;BudgetsTable[[#This Row],[prop_id]]&amp;PO_id,"&gt;ra"))</f>
        <v/>
      </c>
      <c r="N217" s="79" t="s">
        <v>13</v>
      </c>
      <c r="O217" s="7" t="str">
        <f>IF(BudgetsTable[[#This Row],[pi_last_name]]=" ","",HYPERLINK("mailto:"&amp;BudgetsTable[[#This Row],[pi_email]]&amp;"&amp;subject=Your NSF Proposal:  "&amp;BudgetsTable[[#This Row],[prop_id]],BudgetsTable[[#This Row],[pi_email]]))</f>
        <v/>
      </c>
      <c r="P217" s="79" t="s">
        <v>13</v>
      </c>
      <c r="Q217" s="79">
        <v>1</v>
      </c>
      <c r="R217" s="79">
        <v>1</v>
      </c>
      <c r="S217" s="80">
        <v>0</v>
      </c>
      <c r="T217" s="80">
        <v>2000</v>
      </c>
      <c r="U217" s="80">
        <v>0</v>
      </c>
      <c r="V217" s="81">
        <v>110310</v>
      </c>
      <c r="W217" s="79">
        <v>0</v>
      </c>
      <c r="X217" s="79">
        <v>3</v>
      </c>
      <c r="Y217" s="11" t="str">
        <f ca="1">IF(ISBLANK(BudgetsTable[[#This Row],[budg_seq_yr]]),"FY"&amp;fiscalyear,"FY"&amp;fiscalyear-1+BudgetsTable[[#This Row],[budg_seq_yr]])</f>
        <v>FY20</v>
      </c>
      <c r="Z217" s="80">
        <v>110310</v>
      </c>
      <c r="AA217" s="79" t="s">
        <v>477</v>
      </c>
      <c r="AB217" s="79" t="s">
        <v>582</v>
      </c>
      <c r="AC217" s="77" t="s">
        <v>94</v>
      </c>
      <c r="AD217" s="79" t="s">
        <v>1539</v>
      </c>
    </row>
    <row r="218" spans="1:30" x14ac:dyDescent="0.4">
      <c r="A218" s="10" t="s">
        <v>1030</v>
      </c>
      <c r="B218" s="77" t="s">
        <v>95</v>
      </c>
      <c r="C218" s="77">
        <f>C217+(BudgetsTable[[#This Row],[lead]]&lt;&gt;K217)</f>
        <v>46</v>
      </c>
      <c r="D218" s="77">
        <f>D217*(BudgetsTable[[#This Row],[lead]]=K217)+(BudgetsTable[[#This Row],[prop_id]]&lt;&gt;A217)</f>
        <v>1</v>
      </c>
      <c r="E218" s="78">
        <v>42935.68472222222</v>
      </c>
      <c r="F218" s="79" t="s">
        <v>1430</v>
      </c>
      <c r="G218" s="79" t="s">
        <v>477</v>
      </c>
      <c r="H218" s="79" t="s">
        <v>582</v>
      </c>
      <c r="I218" s="77" t="s">
        <v>611</v>
      </c>
      <c r="J218" s="77" t="s">
        <v>13</v>
      </c>
      <c r="K218" s="79" t="s">
        <v>1030</v>
      </c>
      <c r="L218" s="7" t="str">
        <f>IF(BudgetsTable[[#This Row],[pi_last_name]]=" ","",HYPERLINK("https://www.ejacket.nsf.gov/ej/showProposal.do?Continue=Y&amp;ID="&amp;BudgetsTable[[#This Row],[prop_id]],BudgetsTable[[#This Row],[prop_id]]))</f>
        <v/>
      </c>
      <c r="M218" s="15" t="str">
        <f>IF(BudgetsTable[[#This Row],[pi_last_name]]=" ","",HYPERLINK("https://www.ejacket.nsf.gov/ej/processReviewAnalysis.do?dispatch=add&amp;uniqId="&amp;BudgetsTable[[#This Row],[prop_id]]&amp;PO_id,"&gt;ra"))</f>
        <v/>
      </c>
      <c r="N218" s="79" t="s">
        <v>13</v>
      </c>
      <c r="O218" s="7" t="str">
        <f>IF(BudgetsTable[[#This Row],[pi_last_name]]=" ","",HYPERLINK("mailto:"&amp;BudgetsTable[[#This Row],[pi_email]]&amp;"&amp;subject=Your NSF Proposal:  "&amp;BudgetsTable[[#This Row],[prop_id]],BudgetsTable[[#This Row],[pi_email]]))</f>
        <v/>
      </c>
      <c r="P218" s="79" t="s">
        <v>13</v>
      </c>
      <c r="Q218" s="79">
        <v>1</v>
      </c>
      <c r="R218" s="79">
        <v>1</v>
      </c>
      <c r="S218" s="80">
        <v>0</v>
      </c>
      <c r="T218" s="80">
        <v>2000</v>
      </c>
      <c r="U218" s="80">
        <v>0</v>
      </c>
      <c r="V218" s="81">
        <v>113386</v>
      </c>
      <c r="W218" s="79">
        <v>0</v>
      </c>
      <c r="X218" s="79">
        <v>4</v>
      </c>
      <c r="Y218" s="11" t="str">
        <f ca="1">IF(ISBLANK(BudgetsTable[[#This Row],[budg_seq_yr]]),"FY"&amp;fiscalyear,"FY"&amp;fiscalyear-1+BudgetsTable[[#This Row],[budg_seq_yr]])</f>
        <v>FY21</v>
      </c>
      <c r="Z218" s="80">
        <v>113386</v>
      </c>
      <c r="AA218" s="79" t="s">
        <v>477</v>
      </c>
      <c r="AB218" s="79" t="s">
        <v>582</v>
      </c>
      <c r="AC218" s="77" t="s">
        <v>94</v>
      </c>
      <c r="AD218" s="79" t="s">
        <v>1539</v>
      </c>
    </row>
    <row r="219" spans="1:30" x14ac:dyDescent="0.4">
      <c r="A219" s="10" t="s">
        <v>1030</v>
      </c>
      <c r="B219" s="77" t="s">
        <v>95</v>
      </c>
      <c r="C219" s="77">
        <f>C218+(BudgetsTable[[#This Row],[lead]]&lt;&gt;K218)</f>
        <v>46</v>
      </c>
      <c r="D219" s="77">
        <f>D218*(BudgetsTable[[#This Row],[lead]]=K218)+(BudgetsTable[[#This Row],[prop_id]]&lt;&gt;A218)</f>
        <v>1</v>
      </c>
      <c r="E219" s="78">
        <v>42935.68472222222</v>
      </c>
      <c r="F219" s="79" t="s">
        <v>1430</v>
      </c>
      <c r="G219" s="79" t="s">
        <v>477</v>
      </c>
      <c r="H219" s="79" t="s">
        <v>582</v>
      </c>
      <c r="I219" s="77" t="s">
        <v>611</v>
      </c>
      <c r="J219" s="77" t="s">
        <v>13</v>
      </c>
      <c r="K219" s="79" t="s">
        <v>1030</v>
      </c>
      <c r="L219" s="7" t="str">
        <f>IF(BudgetsTable[[#This Row],[pi_last_name]]=" ","",HYPERLINK("https://www.ejacket.nsf.gov/ej/showProposal.do?Continue=Y&amp;ID="&amp;BudgetsTable[[#This Row],[prop_id]],BudgetsTable[[#This Row],[prop_id]]))</f>
        <v/>
      </c>
      <c r="M219" s="15" t="str">
        <f>IF(BudgetsTable[[#This Row],[pi_last_name]]=" ","",HYPERLINK("https://www.ejacket.nsf.gov/ej/processReviewAnalysis.do?dispatch=add&amp;uniqId="&amp;BudgetsTable[[#This Row],[prop_id]]&amp;PO_id,"&gt;ra"))</f>
        <v/>
      </c>
      <c r="N219" s="79" t="s">
        <v>13</v>
      </c>
      <c r="O219" s="7" t="str">
        <f>IF(BudgetsTable[[#This Row],[pi_last_name]]=" ","",HYPERLINK("mailto:"&amp;BudgetsTable[[#This Row],[pi_email]]&amp;"&amp;subject=Your NSF Proposal:  "&amp;BudgetsTable[[#This Row],[prop_id]],BudgetsTable[[#This Row],[pi_email]]))</f>
        <v/>
      </c>
      <c r="P219" s="79" t="s">
        <v>13</v>
      </c>
      <c r="Q219" s="79">
        <v>1</v>
      </c>
      <c r="R219" s="79">
        <v>1</v>
      </c>
      <c r="S219" s="80">
        <v>0</v>
      </c>
      <c r="T219" s="80">
        <v>2000</v>
      </c>
      <c r="U219" s="80">
        <v>0</v>
      </c>
      <c r="V219" s="81">
        <v>116552</v>
      </c>
      <c r="W219" s="79">
        <v>0</v>
      </c>
      <c r="X219" s="79">
        <v>5</v>
      </c>
      <c r="Y219" s="11" t="str">
        <f ca="1">IF(ISBLANK(BudgetsTable[[#This Row],[budg_seq_yr]]),"FY"&amp;fiscalyear,"FY"&amp;fiscalyear-1+BudgetsTable[[#This Row],[budg_seq_yr]])</f>
        <v>FY22</v>
      </c>
      <c r="Z219" s="80">
        <v>116552</v>
      </c>
      <c r="AA219" s="79" t="s">
        <v>477</v>
      </c>
      <c r="AB219" s="79" t="s">
        <v>582</v>
      </c>
      <c r="AC219" s="77" t="s">
        <v>94</v>
      </c>
      <c r="AD219" s="79" t="s">
        <v>1539</v>
      </c>
    </row>
    <row r="220" spans="1:30" x14ac:dyDescent="0.4">
      <c r="A220" s="10" t="s">
        <v>1039</v>
      </c>
      <c r="B220" s="77" t="s">
        <v>95</v>
      </c>
      <c r="C220" s="77">
        <f>C219+(BudgetsTable[[#This Row],[lead]]&lt;&gt;K219)</f>
        <v>47</v>
      </c>
      <c r="D220" s="77">
        <f>D219*(BudgetsTable[[#This Row],[lead]]=K219)+(BudgetsTable[[#This Row],[prop_id]]&lt;&gt;A219)</f>
        <v>1</v>
      </c>
      <c r="E220" s="78">
        <v>42935.69027777778</v>
      </c>
      <c r="F220" s="79" t="s">
        <v>1430</v>
      </c>
      <c r="G220" s="79" t="s">
        <v>477</v>
      </c>
      <c r="H220" s="79" t="s">
        <v>582</v>
      </c>
      <c r="I220" s="77" t="s">
        <v>604</v>
      </c>
      <c r="J220" s="77" t="s">
        <v>1597</v>
      </c>
      <c r="K220" s="79" t="s">
        <v>1039</v>
      </c>
      <c r="L220" s="7" t="str">
        <f>IF(BudgetsTable[[#This Row],[pi_last_name]]=" ","",HYPERLINK("https://www.ejacket.nsf.gov/ej/showProposal.do?Continue=Y&amp;ID="&amp;BudgetsTable[[#This Row],[prop_id]],BudgetsTable[[#This Row],[prop_id]]))</f>
        <v>1751102</v>
      </c>
      <c r="M220" s="15" t="e">
        <f>IF(BudgetsTable[[#This Row],[pi_last_name]]=" ","",HYPERLINK("https://www.ejacket.nsf.gov/ej/processReviewAnalysis.do?dispatch=add&amp;uniqId="&amp;BudgetsTable[[#This Row],[prop_id]]&amp;PO_id,"&gt;ra"))</f>
        <v>#REF!</v>
      </c>
      <c r="N220" s="79" t="s">
        <v>1040</v>
      </c>
      <c r="O220" s="7" t="str">
        <f>IF(BudgetsTable[[#This Row],[pi_last_name]]=" ","",HYPERLINK("mailto:"&amp;BudgetsTable[[#This Row],[pi_email]]&amp;"&amp;subject=Your NSF Proposal:  "&amp;BudgetsTable[[#This Row],[prop_id]],BudgetsTable[[#This Row],[pi_email]]))</f>
        <v>evouga@cs.utexas.edu</v>
      </c>
      <c r="P220" s="79" t="s">
        <v>550</v>
      </c>
      <c r="Q220" s="79"/>
      <c r="R220" s="79"/>
      <c r="S220" s="80"/>
      <c r="T220" s="80"/>
      <c r="U220" s="80"/>
      <c r="V220" s="81"/>
      <c r="W220" s="79">
        <v>0</v>
      </c>
      <c r="X220" s="79"/>
      <c r="Y220" s="11" t="str">
        <f ca="1">IF(ISBLANK(BudgetsTable[[#This Row],[budg_seq_yr]]),"FY"&amp;fiscalyear,"FY"&amp;fiscalyear-1+BudgetsTable[[#This Row],[budg_seq_yr]])</f>
        <v>FY18</v>
      </c>
      <c r="Z220" s="80">
        <v>523537</v>
      </c>
      <c r="AA220" s="79" t="s">
        <v>477</v>
      </c>
      <c r="AB220" s="79" t="s">
        <v>582</v>
      </c>
      <c r="AC220" s="77" t="s">
        <v>94</v>
      </c>
      <c r="AD220" s="79" t="s">
        <v>1439</v>
      </c>
    </row>
    <row r="221" spans="1:30" x14ac:dyDescent="0.4">
      <c r="A221" s="10" t="s">
        <v>1039</v>
      </c>
      <c r="B221" s="77" t="s">
        <v>95</v>
      </c>
      <c r="C221" s="77">
        <f>C220+(BudgetsTable[[#This Row],[lead]]&lt;&gt;K220)</f>
        <v>47</v>
      </c>
      <c r="D221" s="77">
        <f>D220*(BudgetsTable[[#This Row],[lead]]=K220)+(BudgetsTable[[#This Row],[prop_id]]&lt;&gt;A220)</f>
        <v>1</v>
      </c>
      <c r="E221" s="78">
        <v>42935.69027777778</v>
      </c>
      <c r="F221" s="79" t="s">
        <v>1430</v>
      </c>
      <c r="G221" s="79" t="s">
        <v>477</v>
      </c>
      <c r="H221" s="79" t="s">
        <v>582</v>
      </c>
      <c r="I221" s="77" t="s">
        <v>604</v>
      </c>
      <c r="J221" s="77" t="s">
        <v>13</v>
      </c>
      <c r="K221" s="79" t="s">
        <v>1039</v>
      </c>
      <c r="L221" s="7" t="str">
        <f>IF(BudgetsTable[[#This Row],[pi_last_name]]=" ","",HYPERLINK("https://www.ejacket.nsf.gov/ej/showProposal.do?Continue=Y&amp;ID="&amp;BudgetsTable[[#This Row],[prop_id]],BudgetsTable[[#This Row],[prop_id]]))</f>
        <v/>
      </c>
      <c r="M221" s="15" t="str">
        <f>IF(BudgetsTable[[#This Row],[pi_last_name]]=" ","",HYPERLINK("https://www.ejacket.nsf.gov/ej/processReviewAnalysis.do?dispatch=add&amp;uniqId="&amp;BudgetsTable[[#This Row],[prop_id]]&amp;PO_id,"&gt;ra"))</f>
        <v/>
      </c>
      <c r="N221" s="79" t="s">
        <v>13</v>
      </c>
      <c r="O221" s="7" t="str">
        <f>IF(BudgetsTable[[#This Row],[pi_last_name]]=" ","",HYPERLINK("mailto:"&amp;BudgetsTable[[#This Row],[pi_email]]&amp;"&amp;subject=Your NSF Proposal:  "&amp;BudgetsTable[[#This Row],[prop_id]],BudgetsTable[[#This Row],[pi_email]]))</f>
        <v/>
      </c>
      <c r="P221" s="79" t="s">
        <v>13</v>
      </c>
      <c r="Q221" s="79">
        <v>1</v>
      </c>
      <c r="R221" s="79">
        <v>0.4</v>
      </c>
      <c r="S221" s="80">
        <v>0</v>
      </c>
      <c r="T221" s="80">
        <v>3000</v>
      </c>
      <c r="U221" s="80">
        <v>0</v>
      </c>
      <c r="V221" s="81">
        <v>150440</v>
      </c>
      <c r="W221" s="79">
        <v>0</v>
      </c>
      <c r="X221" s="79">
        <v>1</v>
      </c>
      <c r="Y221" s="11" t="str">
        <f ca="1">IF(ISBLANK(BudgetsTable[[#This Row],[budg_seq_yr]]),"FY"&amp;fiscalyear,"FY"&amp;fiscalyear-1+BudgetsTable[[#This Row],[budg_seq_yr]])</f>
        <v>FY18</v>
      </c>
      <c r="Z221" s="80">
        <v>150440</v>
      </c>
      <c r="AA221" s="79" t="s">
        <v>477</v>
      </c>
      <c r="AB221" s="79" t="s">
        <v>582</v>
      </c>
      <c r="AC221" s="77" t="s">
        <v>94</v>
      </c>
      <c r="AD221" s="79" t="s">
        <v>1439</v>
      </c>
    </row>
    <row r="222" spans="1:30" x14ac:dyDescent="0.4">
      <c r="A222" s="10" t="s">
        <v>1039</v>
      </c>
      <c r="B222" s="77" t="s">
        <v>95</v>
      </c>
      <c r="C222" s="77">
        <f>C221+(BudgetsTable[[#This Row],[lead]]&lt;&gt;K221)</f>
        <v>47</v>
      </c>
      <c r="D222" s="77">
        <f>D221*(BudgetsTable[[#This Row],[lead]]=K221)+(BudgetsTable[[#This Row],[prop_id]]&lt;&gt;A221)</f>
        <v>1</v>
      </c>
      <c r="E222" s="78">
        <v>42935.69027777778</v>
      </c>
      <c r="F222" s="79" t="s">
        <v>1430</v>
      </c>
      <c r="G222" s="79" t="s">
        <v>477</v>
      </c>
      <c r="H222" s="79" t="s">
        <v>582</v>
      </c>
      <c r="I222" s="77" t="s">
        <v>604</v>
      </c>
      <c r="J222" s="77" t="s">
        <v>13</v>
      </c>
      <c r="K222" s="79" t="s">
        <v>1039</v>
      </c>
      <c r="L222" s="7" t="str">
        <f>IF(BudgetsTable[[#This Row],[pi_last_name]]=" ","",HYPERLINK("https://www.ejacket.nsf.gov/ej/showProposal.do?Continue=Y&amp;ID="&amp;BudgetsTable[[#This Row],[prop_id]],BudgetsTable[[#This Row],[prop_id]]))</f>
        <v/>
      </c>
      <c r="M222" s="15" t="str">
        <f>IF(BudgetsTable[[#This Row],[pi_last_name]]=" ","",HYPERLINK("https://www.ejacket.nsf.gov/ej/processReviewAnalysis.do?dispatch=add&amp;uniqId="&amp;BudgetsTable[[#This Row],[prop_id]]&amp;PO_id,"&gt;ra"))</f>
        <v/>
      </c>
      <c r="N222" s="79" t="s">
        <v>13</v>
      </c>
      <c r="O222" s="7" t="str">
        <f>IF(BudgetsTable[[#This Row],[pi_last_name]]=" ","",HYPERLINK("mailto:"&amp;BudgetsTable[[#This Row],[pi_email]]&amp;"&amp;subject=Your NSF Proposal:  "&amp;BudgetsTable[[#This Row],[prop_id]],BudgetsTable[[#This Row],[pi_email]]))</f>
        <v/>
      </c>
      <c r="P222" s="79" t="s">
        <v>13</v>
      </c>
      <c r="Q222" s="79">
        <v>1</v>
      </c>
      <c r="R222" s="79">
        <v>0.4</v>
      </c>
      <c r="S222" s="80">
        <v>0</v>
      </c>
      <c r="T222" s="80">
        <v>3000</v>
      </c>
      <c r="U222" s="80">
        <v>0</v>
      </c>
      <c r="V222" s="81">
        <v>148480</v>
      </c>
      <c r="W222" s="79">
        <v>0</v>
      </c>
      <c r="X222" s="79">
        <v>2</v>
      </c>
      <c r="Y222" s="11" t="str">
        <f ca="1">IF(ISBLANK(BudgetsTable[[#This Row],[budg_seq_yr]]),"FY"&amp;fiscalyear,"FY"&amp;fiscalyear-1+BudgetsTable[[#This Row],[budg_seq_yr]])</f>
        <v>FY19</v>
      </c>
      <c r="Z222" s="80">
        <v>148480</v>
      </c>
      <c r="AA222" s="79" t="s">
        <v>477</v>
      </c>
      <c r="AB222" s="79" t="s">
        <v>582</v>
      </c>
      <c r="AC222" s="77" t="s">
        <v>94</v>
      </c>
      <c r="AD222" s="79" t="s">
        <v>1439</v>
      </c>
    </row>
    <row r="223" spans="1:30" x14ac:dyDescent="0.4">
      <c r="A223" s="10" t="s">
        <v>1039</v>
      </c>
      <c r="B223" s="77" t="s">
        <v>95</v>
      </c>
      <c r="C223" s="77">
        <f>C222+(BudgetsTable[[#This Row],[lead]]&lt;&gt;K222)</f>
        <v>47</v>
      </c>
      <c r="D223" s="77">
        <f>D222*(BudgetsTable[[#This Row],[lead]]=K222)+(BudgetsTable[[#This Row],[prop_id]]&lt;&gt;A222)</f>
        <v>1</v>
      </c>
      <c r="E223" s="78">
        <v>42935.69027777778</v>
      </c>
      <c r="F223" s="79" t="s">
        <v>1430</v>
      </c>
      <c r="G223" s="79" t="s">
        <v>477</v>
      </c>
      <c r="H223" s="79" t="s">
        <v>582</v>
      </c>
      <c r="I223" s="77" t="s">
        <v>604</v>
      </c>
      <c r="J223" s="77" t="s">
        <v>13</v>
      </c>
      <c r="K223" s="79" t="s">
        <v>1039</v>
      </c>
      <c r="L223" s="7" t="str">
        <f>IF(BudgetsTable[[#This Row],[pi_last_name]]=" ","",HYPERLINK("https://www.ejacket.nsf.gov/ej/showProposal.do?Continue=Y&amp;ID="&amp;BudgetsTable[[#This Row],[prop_id]],BudgetsTable[[#This Row],[prop_id]]))</f>
        <v/>
      </c>
      <c r="M223" s="15" t="str">
        <f>IF(BudgetsTable[[#This Row],[pi_last_name]]=" ","",HYPERLINK("https://www.ejacket.nsf.gov/ej/processReviewAnalysis.do?dispatch=add&amp;uniqId="&amp;BudgetsTable[[#This Row],[prop_id]]&amp;PO_id,"&gt;ra"))</f>
        <v/>
      </c>
      <c r="N223" s="79" t="s">
        <v>13</v>
      </c>
      <c r="O223" s="7" t="str">
        <f>IF(BudgetsTable[[#This Row],[pi_last_name]]=" ","",HYPERLINK("mailto:"&amp;BudgetsTable[[#This Row],[pi_email]]&amp;"&amp;subject=Your NSF Proposal:  "&amp;BudgetsTable[[#This Row],[prop_id]],BudgetsTable[[#This Row],[pi_email]]))</f>
        <v/>
      </c>
      <c r="P223" s="79" t="s">
        <v>13</v>
      </c>
      <c r="Q223" s="79">
        <v>1</v>
      </c>
      <c r="R223" s="79">
        <v>0.4</v>
      </c>
      <c r="S223" s="80">
        <v>0</v>
      </c>
      <c r="T223" s="80">
        <v>3000</v>
      </c>
      <c r="U223" s="80">
        <v>0</v>
      </c>
      <c r="V223" s="81">
        <v>74290</v>
      </c>
      <c r="W223" s="79">
        <v>0</v>
      </c>
      <c r="X223" s="79">
        <v>3</v>
      </c>
      <c r="Y223" s="11" t="str">
        <f ca="1">IF(ISBLANK(BudgetsTable[[#This Row],[budg_seq_yr]]),"FY"&amp;fiscalyear,"FY"&amp;fiscalyear-1+BudgetsTable[[#This Row],[budg_seq_yr]])</f>
        <v>FY20</v>
      </c>
      <c r="Z223" s="80">
        <v>74290</v>
      </c>
      <c r="AA223" s="79" t="s">
        <v>477</v>
      </c>
      <c r="AB223" s="79" t="s">
        <v>582</v>
      </c>
      <c r="AC223" s="77" t="s">
        <v>94</v>
      </c>
      <c r="AD223" s="79" t="s">
        <v>1439</v>
      </c>
    </row>
    <row r="224" spans="1:30" x14ac:dyDescent="0.4">
      <c r="A224" s="10" t="s">
        <v>1039</v>
      </c>
      <c r="B224" s="77" t="s">
        <v>95</v>
      </c>
      <c r="C224" s="77">
        <f>C223+(BudgetsTable[[#This Row],[lead]]&lt;&gt;K223)</f>
        <v>47</v>
      </c>
      <c r="D224" s="77">
        <f>D223*(BudgetsTable[[#This Row],[lead]]=K223)+(BudgetsTable[[#This Row],[prop_id]]&lt;&gt;A223)</f>
        <v>1</v>
      </c>
      <c r="E224" s="78">
        <v>42935.69027777778</v>
      </c>
      <c r="F224" s="79" t="s">
        <v>1430</v>
      </c>
      <c r="G224" s="79" t="s">
        <v>477</v>
      </c>
      <c r="H224" s="79" t="s">
        <v>582</v>
      </c>
      <c r="I224" s="77" t="s">
        <v>604</v>
      </c>
      <c r="J224" s="77" t="s">
        <v>13</v>
      </c>
      <c r="K224" s="79" t="s">
        <v>1039</v>
      </c>
      <c r="L224" s="7" t="str">
        <f>IF(BudgetsTable[[#This Row],[pi_last_name]]=" ","",HYPERLINK("https://www.ejacket.nsf.gov/ej/showProposal.do?Continue=Y&amp;ID="&amp;BudgetsTable[[#This Row],[prop_id]],BudgetsTable[[#This Row],[prop_id]]))</f>
        <v/>
      </c>
      <c r="M224" s="15" t="str">
        <f>IF(BudgetsTable[[#This Row],[pi_last_name]]=" ","",HYPERLINK("https://www.ejacket.nsf.gov/ej/processReviewAnalysis.do?dispatch=add&amp;uniqId="&amp;BudgetsTable[[#This Row],[prop_id]]&amp;PO_id,"&gt;ra"))</f>
        <v/>
      </c>
      <c r="N224" s="79" t="s">
        <v>13</v>
      </c>
      <c r="O224" s="7" t="str">
        <f>IF(BudgetsTable[[#This Row],[pi_last_name]]=" ","",HYPERLINK("mailto:"&amp;BudgetsTable[[#This Row],[pi_email]]&amp;"&amp;subject=Your NSF Proposal:  "&amp;BudgetsTable[[#This Row],[prop_id]],BudgetsTable[[#This Row],[pi_email]]))</f>
        <v/>
      </c>
      <c r="P224" s="79" t="s">
        <v>13</v>
      </c>
      <c r="Q224" s="79">
        <v>1</v>
      </c>
      <c r="R224" s="79">
        <v>0.4</v>
      </c>
      <c r="S224" s="80">
        <v>0</v>
      </c>
      <c r="T224" s="80">
        <v>3000</v>
      </c>
      <c r="U224" s="80">
        <v>0</v>
      </c>
      <c r="V224" s="81">
        <v>74335</v>
      </c>
      <c r="W224" s="79">
        <v>0</v>
      </c>
      <c r="X224" s="79">
        <v>4</v>
      </c>
      <c r="Y224" s="11" t="str">
        <f ca="1">IF(ISBLANK(BudgetsTable[[#This Row],[budg_seq_yr]]),"FY"&amp;fiscalyear,"FY"&amp;fiscalyear-1+BudgetsTable[[#This Row],[budg_seq_yr]])</f>
        <v>FY21</v>
      </c>
      <c r="Z224" s="80">
        <v>74335</v>
      </c>
      <c r="AA224" s="79" t="s">
        <v>477</v>
      </c>
      <c r="AB224" s="79" t="s">
        <v>582</v>
      </c>
      <c r="AC224" s="77" t="s">
        <v>94</v>
      </c>
      <c r="AD224" s="79" t="s">
        <v>1439</v>
      </c>
    </row>
    <row r="225" spans="1:30" x14ac:dyDescent="0.4">
      <c r="A225" s="10" t="s">
        <v>1039</v>
      </c>
      <c r="B225" s="77" t="s">
        <v>95</v>
      </c>
      <c r="C225" s="77">
        <f>C224+(BudgetsTable[[#This Row],[lead]]&lt;&gt;K224)</f>
        <v>47</v>
      </c>
      <c r="D225" s="77">
        <f>D224*(BudgetsTable[[#This Row],[lead]]=K224)+(BudgetsTable[[#This Row],[prop_id]]&lt;&gt;A224)</f>
        <v>1</v>
      </c>
      <c r="E225" s="78">
        <v>42935.69027777778</v>
      </c>
      <c r="F225" s="79" t="s">
        <v>1430</v>
      </c>
      <c r="G225" s="79" t="s">
        <v>477</v>
      </c>
      <c r="H225" s="79" t="s">
        <v>582</v>
      </c>
      <c r="I225" s="77" t="s">
        <v>604</v>
      </c>
      <c r="J225" s="77" t="s">
        <v>13</v>
      </c>
      <c r="K225" s="79" t="s">
        <v>1039</v>
      </c>
      <c r="L225" s="7" t="str">
        <f>IF(BudgetsTable[[#This Row],[pi_last_name]]=" ","",HYPERLINK("https://www.ejacket.nsf.gov/ej/showProposal.do?Continue=Y&amp;ID="&amp;BudgetsTable[[#This Row],[prop_id]],BudgetsTable[[#This Row],[prop_id]]))</f>
        <v/>
      </c>
      <c r="M225" s="15" t="str">
        <f>IF(BudgetsTable[[#This Row],[pi_last_name]]=" ","",HYPERLINK("https://www.ejacket.nsf.gov/ej/processReviewAnalysis.do?dispatch=add&amp;uniqId="&amp;BudgetsTable[[#This Row],[prop_id]]&amp;PO_id,"&gt;ra"))</f>
        <v/>
      </c>
      <c r="N225" s="79" t="s">
        <v>13</v>
      </c>
      <c r="O225" s="7" t="str">
        <f>IF(BudgetsTable[[#This Row],[pi_last_name]]=" ","",HYPERLINK("mailto:"&amp;BudgetsTable[[#This Row],[pi_email]]&amp;"&amp;subject=Your NSF Proposal:  "&amp;BudgetsTable[[#This Row],[prop_id]],BudgetsTable[[#This Row],[pi_email]]))</f>
        <v/>
      </c>
      <c r="P225" s="79" t="s">
        <v>13</v>
      </c>
      <c r="Q225" s="79">
        <v>1</v>
      </c>
      <c r="R225" s="79">
        <v>0.4</v>
      </c>
      <c r="S225" s="80">
        <v>0</v>
      </c>
      <c r="T225" s="80">
        <v>3000</v>
      </c>
      <c r="U225" s="80">
        <v>0</v>
      </c>
      <c r="V225" s="81">
        <v>75992</v>
      </c>
      <c r="W225" s="79">
        <v>0</v>
      </c>
      <c r="X225" s="79">
        <v>5</v>
      </c>
      <c r="Y225" s="11" t="str">
        <f ca="1">IF(ISBLANK(BudgetsTable[[#This Row],[budg_seq_yr]]),"FY"&amp;fiscalyear,"FY"&amp;fiscalyear-1+BudgetsTable[[#This Row],[budg_seq_yr]])</f>
        <v>FY22</v>
      </c>
      <c r="Z225" s="80">
        <v>75992</v>
      </c>
      <c r="AA225" s="79" t="s">
        <v>477</v>
      </c>
      <c r="AB225" s="79" t="s">
        <v>582</v>
      </c>
      <c r="AC225" s="77" t="s">
        <v>94</v>
      </c>
      <c r="AD225" s="79" t="s">
        <v>1439</v>
      </c>
    </row>
    <row r="226" spans="1:30" x14ac:dyDescent="0.4">
      <c r="A226" s="10" t="s">
        <v>1048</v>
      </c>
      <c r="B226" s="77" t="s">
        <v>95</v>
      </c>
      <c r="C226" s="77">
        <f>C225+(BudgetsTable[[#This Row],[lead]]&lt;&gt;K225)</f>
        <v>48</v>
      </c>
      <c r="D226" s="77">
        <f>D225*(BudgetsTable[[#This Row],[lead]]=K225)+(BudgetsTable[[#This Row],[prop_id]]&lt;&gt;A225)</f>
        <v>1</v>
      </c>
      <c r="E226" s="78">
        <v>42935.696527777778</v>
      </c>
      <c r="F226" s="79" t="s">
        <v>1430</v>
      </c>
      <c r="G226" s="79" t="s">
        <v>477</v>
      </c>
      <c r="H226" s="79" t="s">
        <v>582</v>
      </c>
      <c r="I226" s="77" t="s">
        <v>604</v>
      </c>
      <c r="J226" s="77" t="s">
        <v>1602</v>
      </c>
      <c r="K226" s="79" t="s">
        <v>1048</v>
      </c>
      <c r="L226" s="7" t="str">
        <f>IF(BudgetsTable[[#This Row],[pi_last_name]]=" ","",HYPERLINK("https://www.ejacket.nsf.gov/ej/showProposal.do?Continue=Y&amp;ID="&amp;BudgetsTable[[#This Row],[prop_id]],BudgetsTable[[#This Row],[prop_id]]))</f>
        <v>1751135</v>
      </c>
      <c r="M226" s="15" t="e">
        <f>IF(BudgetsTable[[#This Row],[pi_last_name]]=" ","",HYPERLINK("https://www.ejacket.nsf.gov/ej/processReviewAnalysis.do?dispatch=add&amp;uniqId="&amp;BudgetsTable[[#This Row],[prop_id]]&amp;PO_id,"&gt;ra"))</f>
        <v>#REF!</v>
      </c>
      <c r="N226" s="79" t="s">
        <v>1049</v>
      </c>
      <c r="O226" s="7" t="str">
        <f>IF(BudgetsTable[[#This Row],[pi_last_name]]=" ","",HYPERLINK("mailto:"&amp;BudgetsTable[[#This Row],[pi_email]]&amp;"&amp;subject=Your NSF Proposal:  "&amp;BudgetsTable[[#This Row],[prop_id]],BudgetsTable[[#This Row],[pi_email]]))</f>
        <v>nayyeria@eecs.oregonstate.edu</v>
      </c>
      <c r="P226" s="79" t="s">
        <v>1600</v>
      </c>
      <c r="Q226" s="79"/>
      <c r="R226" s="79"/>
      <c r="S226" s="80"/>
      <c r="T226" s="80"/>
      <c r="U226" s="80"/>
      <c r="V226" s="81"/>
      <c r="W226" s="79">
        <v>0</v>
      </c>
      <c r="X226" s="79"/>
      <c r="Y226" s="11" t="str">
        <f ca="1">IF(ISBLANK(BudgetsTable[[#This Row],[budg_seq_yr]]),"FY"&amp;fiscalyear,"FY"&amp;fiscalyear-1+BudgetsTable[[#This Row],[budg_seq_yr]])</f>
        <v>FY18</v>
      </c>
      <c r="Z226" s="80">
        <v>607459</v>
      </c>
      <c r="AA226" s="79" t="s">
        <v>477</v>
      </c>
      <c r="AB226" s="79" t="s">
        <v>582</v>
      </c>
      <c r="AC226" s="77" t="s">
        <v>94</v>
      </c>
      <c r="AD226" s="79" t="s">
        <v>1439</v>
      </c>
    </row>
    <row r="227" spans="1:30" x14ac:dyDescent="0.4">
      <c r="A227" s="10" t="s">
        <v>1048</v>
      </c>
      <c r="B227" s="77" t="s">
        <v>95</v>
      </c>
      <c r="C227" s="77">
        <f>C226+(BudgetsTable[[#This Row],[lead]]&lt;&gt;K226)</f>
        <v>48</v>
      </c>
      <c r="D227" s="77">
        <f>D226*(BudgetsTable[[#This Row],[lead]]=K226)+(BudgetsTable[[#This Row],[prop_id]]&lt;&gt;A226)</f>
        <v>1</v>
      </c>
      <c r="E227" s="78">
        <v>42935.696527777778</v>
      </c>
      <c r="F227" s="79" t="s">
        <v>1430</v>
      </c>
      <c r="G227" s="79" t="s">
        <v>477</v>
      </c>
      <c r="H227" s="79" t="s">
        <v>582</v>
      </c>
      <c r="I227" s="77" t="s">
        <v>604</v>
      </c>
      <c r="J227" s="77" t="s">
        <v>13</v>
      </c>
      <c r="K227" s="79" t="s">
        <v>1048</v>
      </c>
      <c r="L227" s="7" t="str">
        <f>IF(BudgetsTable[[#This Row],[pi_last_name]]=" ","",HYPERLINK("https://www.ejacket.nsf.gov/ej/showProposal.do?Continue=Y&amp;ID="&amp;BudgetsTable[[#This Row],[prop_id]],BudgetsTable[[#This Row],[prop_id]]))</f>
        <v/>
      </c>
      <c r="M227" s="15" t="str">
        <f>IF(BudgetsTable[[#This Row],[pi_last_name]]=" ","",HYPERLINK("https://www.ejacket.nsf.gov/ej/processReviewAnalysis.do?dispatch=add&amp;uniqId="&amp;BudgetsTable[[#This Row],[prop_id]]&amp;PO_id,"&gt;ra"))</f>
        <v/>
      </c>
      <c r="N227" s="79" t="s">
        <v>13</v>
      </c>
      <c r="O227" s="7" t="str">
        <f>IF(BudgetsTable[[#This Row],[pi_last_name]]=" ","",HYPERLINK("mailto:"&amp;BudgetsTable[[#This Row],[pi_email]]&amp;"&amp;subject=Your NSF Proposal:  "&amp;BudgetsTable[[#This Row],[prop_id]],BudgetsTable[[#This Row],[pi_email]]))</f>
        <v/>
      </c>
      <c r="P227" s="79" t="s">
        <v>13</v>
      </c>
      <c r="Q227" s="79">
        <v>1</v>
      </c>
      <c r="R227" s="79">
        <v>0.5</v>
      </c>
      <c r="S227" s="80">
        <v>0</v>
      </c>
      <c r="T227" s="80">
        <v>0</v>
      </c>
      <c r="U227" s="80">
        <v>1100</v>
      </c>
      <c r="V227" s="81">
        <v>94905</v>
      </c>
      <c r="W227" s="79">
        <v>0</v>
      </c>
      <c r="X227" s="79">
        <v>1</v>
      </c>
      <c r="Y227" s="11" t="str">
        <f ca="1">IF(ISBLANK(BudgetsTable[[#This Row],[budg_seq_yr]]),"FY"&amp;fiscalyear,"FY"&amp;fiscalyear-1+BudgetsTable[[#This Row],[budg_seq_yr]])</f>
        <v>FY18</v>
      </c>
      <c r="Z227" s="80">
        <v>94905</v>
      </c>
      <c r="AA227" s="79" t="s">
        <v>477</v>
      </c>
      <c r="AB227" s="79" t="s">
        <v>582</v>
      </c>
      <c r="AC227" s="77" t="s">
        <v>94</v>
      </c>
      <c r="AD227" s="79" t="s">
        <v>1439</v>
      </c>
    </row>
    <row r="228" spans="1:30" x14ac:dyDescent="0.4">
      <c r="A228" s="10" t="s">
        <v>1048</v>
      </c>
      <c r="B228" s="77" t="s">
        <v>95</v>
      </c>
      <c r="C228" s="77">
        <f>C227+(BudgetsTable[[#This Row],[lead]]&lt;&gt;K227)</f>
        <v>48</v>
      </c>
      <c r="D228" s="77">
        <f>D227*(BudgetsTable[[#This Row],[lead]]=K227)+(BudgetsTable[[#This Row],[prop_id]]&lt;&gt;A227)</f>
        <v>1</v>
      </c>
      <c r="E228" s="78">
        <v>42935.696527777778</v>
      </c>
      <c r="F228" s="79" t="s">
        <v>1430</v>
      </c>
      <c r="G228" s="79" t="s">
        <v>477</v>
      </c>
      <c r="H228" s="79" t="s">
        <v>582</v>
      </c>
      <c r="I228" s="77" t="s">
        <v>604</v>
      </c>
      <c r="J228" s="77" t="s">
        <v>13</v>
      </c>
      <c r="K228" s="79" t="s">
        <v>1048</v>
      </c>
      <c r="L228" s="7" t="str">
        <f>IF(BudgetsTable[[#This Row],[pi_last_name]]=" ","",HYPERLINK("https://www.ejacket.nsf.gov/ej/showProposal.do?Continue=Y&amp;ID="&amp;BudgetsTable[[#This Row],[prop_id]],BudgetsTable[[#This Row],[prop_id]]))</f>
        <v/>
      </c>
      <c r="M228" s="15" t="str">
        <f>IF(BudgetsTable[[#This Row],[pi_last_name]]=" ","",HYPERLINK("https://www.ejacket.nsf.gov/ej/processReviewAnalysis.do?dispatch=add&amp;uniqId="&amp;BudgetsTable[[#This Row],[prop_id]]&amp;PO_id,"&gt;ra"))</f>
        <v/>
      </c>
      <c r="N228" s="79" t="s">
        <v>13</v>
      </c>
      <c r="O228" s="7" t="str">
        <f>IF(BudgetsTable[[#This Row],[pi_last_name]]=" ","",HYPERLINK("mailto:"&amp;BudgetsTable[[#This Row],[pi_email]]&amp;"&amp;subject=Your NSF Proposal:  "&amp;BudgetsTable[[#This Row],[prop_id]],BudgetsTable[[#This Row],[pi_email]]))</f>
        <v/>
      </c>
      <c r="P228" s="79" t="s">
        <v>13</v>
      </c>
      <c r="Q228" s="79">
        <v>1</v>
      </c>
      <c r="R228" s="79">
        <v>1</v>
      </c>
      <c r="S228" s="80">
        <v>0</v>
      </c>
      <c r="T228" s="80">
        <v>7485</v>
      </c>
      <c r="U228" s="80">
        <v>1100</v>
      </c>
      <c r="V228" s="81">
        <v>121969</v>
      </c>
      <c r="W228" s="79">
        <v>0</v>
      </c>
      <c r="X228" s="79">
        <v>2</v>
      </c>
      <c r="Y228" s="11" t="str">
        <f ca="1">IF(ISBLANK(BudgetsTable[[#This Row],[budg_seq_yr]]),"FY"&amp;fiscalyear,"FY"&amp;fiscalyear-1+BudgetsTable[[#This Row],[budg_seq_yr]])</f>
        <v>FY19</v>
      </c>
      <c r="Z228" s="80">
        <v>121969</v>
      </c>
      <c r="AA228" s="79" t="s">
        <v>477</v>
      </c>
      <c r="AB228" s="79" t="s">
        <v>582</v>
      </c>
      <c r="AC228" s="77" t="s">
        <v>94</v>
      </c>
      <c r="AD228" s="79" t="s">
        <v>1439</v>
      </c>
    </row>
    <row r="229" spans="1:30" x14ac:dyDescent="0.4">
      <c r="A229" s="10" t="s">
        <v>1048</v>
      </c>
      <c r="B229" s="77" t="s">
        <v>95</v>
      </c>
      <c r="C229" s="77">
        <f>C228+(BudgetsTable[[#This Row],[lead]]&lt;&gt;K228)</f>
        <v>48</v>
      </c>
      <c r="D229" s="77">
        <f>D228*(BudgetsTable[[#This Row],[lead]]=K228)+(BudgetsTable[[#This Row],[prop_id]]&lt;&gt;A228)</f>
        <v>1</v>
      </c>
      <c r="E229" s="78">
        <v>42935.696527777778</v>
      </c>
      <c r="F229" s="79" t="s">
        <v>1430</v>
      </c>
      <c r="G229" s="79" t="s">
        <v>477</v>
      </c>
      <c r="H229" s="79" t="s">
        <v>582</v>
      </c>
      <c r="I229" s="77" t="s">
        <v>604</v>
      </c>
      <c r="J229" s="77" t="s">
        <v>13</v>
      </c>
      <c r="K229" s="79" t="s">
        <v>1048</v>
      </c>
      <c r="L229" s="7" t="str">
        <f>IF(BudgetsTable[[#This Row],[pi_last_name]]=" ","",HYPERLINK("https://www.ejacket.nsf.gov/ej/showProposal.do?Continue=Y&amp;ID="&amp;BudgetsTable[[#This Row],[prop_id]],BudgetsTable[[#This Row],[prop_id]]))</f>
        <v/>
      </c>
      <c r="M229" s="15" t="str">
        <f>IF(BudgetsTable[[#This Row],[pi_last_name]]=" ","",HYPERLINK("https://www.ejacket.nsf.gov/ej/processReviewAnalysis.do?dispatch=add&amp;uniqId="&amp;BudgetsTable[[#This Row],[prop_id]]&amp;PO_id,"&gt;ra"))</f>
        <v/>
      </c>
      <c r="N229" s="79" t="s">
        <v>13</v>
      </c>
      <c r="O229" s="7" t="str">
        <f>IF(BudgetsTable[[#This Row],[pi_last_name]]=" ","",HYPERLINK("mailto:"&amp;BudgetsTable[[#This Row],[pi_email]]&amp;"&amp;subject=Your NSF Proposal:  "&amp;BudgetsTable[[#This Row],[prop_id]],BudgetsTable[[#This Row],[pi_email]]))</f>
        <v/>
      </c>
      <c r="P229" s="79" t="s">
        <v>13</v>
      </c>
      <c r="Q229" s="79">
        <v>1</v>
      </c>
      <c r="R229" s="79">
        <v>1</v>
      </c>
      <c r="S229" s="80">
        <v>0</v>
      </c>
      <c r="T229" s="80">
        <v>7709</v>
      </c>
      <c r="U229" s="80">
        <v>1100</v>
      </c>
      <c r="V229" s="81">
        <v>128760</v>
      </c>
      <c r="W229" s="79">
        <v>0</v>
      </c>
      <c r="X229" s="79">
        <v>3</v>
      </c>
      <c r="Y229" s="11" t="str">
        <f ca="1">IF(ISBLANK(BudgetsTable[[#This Row],[budg_seq_yr]]),"FY"&amp;fiscalyear,"FY"&amp;fiscalyear-1+BudgetsTable[[#This Row],[budg_seq_yr]])</f>
        <v>FY20</v>
      </c>
      <c r="Z229" s="80">
        <v>128760</v>
      </c>
      <c r="AA229" s="79" t="s">
        <v>477</v>
      </c>
      <c r="AB229" s="79" t="s">
        <v>582</v>
      </c>
      <c r="AC229" s="77" t="s">
        <v>94</v>
      </c>
      <c r="AD229" s="79" t="s">
        <v>1439</v>
      </c>
    </row>
    <row r="230" spans="1:30" x14ac:dyDescent="0.4">
      <c r="A230" s="10" t="s">
        <v>1048</v>
      </c>
      <c r="B230" s="77" t="s">
        <v>95</v>
      </c>
      <c r="C230" s="77">
        <f>C229+(BudgetsTable[[#This Row],[lead]]&lt;&gt;K229)</f>
        <v>48</v>
      </c>
      <c r="D230" s="77">
        <f>D229*(BudgetsTable[[#This Row],[lead]]=K229)+(BudgetsTable[[#This Row],[prop_id]]&lt;&gt;A229)</f>
        <v>1</v>
      </c>
      <c r="E230" s="78">
        <v>42935.696527777778</v>
      </c>
      <c r="F230" s="79" t="s">
        <v>1430</v>
      </c>
      <c r="G230" s="79" t="s">
        <v>477</v>
      </c>
      <c r="H230" s="79" t="s">
        <v>582</v>
      </c>
      <c r="I230" s="77" t="s">
        <v>604</v>
      </c>
      <c r="J230" s="77" t="s">
        <v>13</v>
      </c>
      <c r="K230" s="79" t="s">
        <v>1048</v>
      </c>
      <c r="L230" s="7" t="str">
        <f>IF(BudgetsTable[[#This Row],[pi_last_name]]=" ","",HYPERLINK("https://www.ejacket.nsf.gov/ej/showProposal.do?Continue=Y&amp;ID="&amp;BudgetsTable[[#This Row],[prop_id]],BudgetsTable[[#This Row],[prop_id]]))</f>
        <v/>
      </c>
      <c r="M230" s="15" t="str">
        <f>IF(BudgetsTable[[#This Row],[pi_last_name]]=" ","",HYPERLINK("https://www.ejacket.nsf.gov/ej/processReviewAnalysis.do?dispatch=add&amp;uniqId="&amp;BudgetsTable[[#This Row],[prop_id]]&amp;PO_id,"&gt;ra"))</f>
        <v/>
      </c>
      <c r="N230" s="79" t="s">
        <v>13</v>
      </c>
      <c r="O230" s="7" t="str">
        <f>IF(BudgetsTable[[#This Row],[pi_last_name]]=" ","",HYPERLINK("mailto:"&amp;BudgetsTable[[#This Row],[pi_email]]&amp;"&amp;subject=Your NSF Proposal:  "&amp;BudgetsTable[[#This Row],[prop_id]],BudgetsTable[[#This Row],[pi_email]]))</f>
        <v/>
      </c>
      <c r="P230" s="79" t="s">
        <v>13</v>
      </c>
      <c r="Q230" s="79">
        <v>1</v>
      </c>
      <c r="R230" s="79">
        <v>1</v>
      </c>
      <c r="S230" s="80">
        <v>0</v>
      </c>
      <c r="T230" s="80">
        <v>7939</v>
      </c>
      <c r="U230" s="80">
        <v>1100</v>
      </c>
      <c r="V230" s="81">
        <v>134130</v>
      </c>
      <c r="W230" s="79">
        <v>0</v>
      </c>
      <c r="X230" s="79">
        <v>4</v>
      </c>
      <c r="Y230" s="11" t="str">
        <f ca="1">IF(ISBLANK(BudgetsTable[[#This Row],[budg_seq_yr]]),"FY"&amp;fiscalyear,"FY"&amp;fiscalyear-1+BudgetsTable[[#This Row],[budg_seq_yr]])</f>
        <v>FY21</v>
      </c>
      <c r="Z230" s="80">
        <v>134130</v>
      </c>
      <c r="AA230" s="79" t="s">
        <v>477</v>
      </c>
      <c r="AB230" s="79" t="s">
        <v>582</v>
      </c>
      <c r="AC230" s="77" t="s">
        <v>94</v>
      </c>
      <c r="AD230" s="79" t="s">
        <v>1439</v>
      </c>
    </row>
    <row r="231" spans="1:30" x14ac:dyDescent="0.4">
      <c r="A231" s="10" t="s">
        <v>1048</v>
      </c>
      <c r="B231" s="77" t="s">
        <v>95</v>
      </c>
      <c r="C231" s="77">
        <f>C230+(BudgetsTable[[#This Row],[lead]]&lt;&gt;K230)</f>
        <v>48</v>
      </c>
      <c r="D231" s="77">
        <f>D230*(BudgetsTable[[#This Row],[lead]]=K230)+(BudgetsTable[[#This Row],[prop_id]]&lt;&gt;A230)</f>
        <v>1</v>
      </c>
      <c r="E231" s="78">
        <v>42935.696527777778</v>
      </c>
      <c r="F231" s="79" t="s">
        <v>1430</v>
      </c>
      <c r="G231" s="79" t="s">
        <v>477</v>
      </c>
      <c r="H231" s="79" t="s">
        <v>582</v>
      </c>
      <c r="I231" s="77" t="s">
        <v>604</v>
      </c>
      <c r="J231" s="77" t="s">
        <v>13</v>
      </c>
      <c r="K231" s="79" t="s">
        <v>1048</v>
      </c>
      <c r="L231" s="7" t="str">
        <f>IF(BudgetsTable[[#This Row],[pi_last_name]]=" ","",HYPERLINK("https://www.ejacket.nsf.gov/ej/showProposal.do?Continue=Y&amp;ID="&amp;BudgetsTable[[#This Row],[prop_id]],BudgetsTable[[#This Row],[prop_id]]))</f>
        <v/>
      </c>
      <c r="M231" s="15" t="str">
        <f>IF(BudgetsTable[[#This Row],[pi_last_name]]=" ","",HYPERLINK("https://www.ejacket.nsf.gov/ej/processReviewAnalysis.do?dispatch=add&amp;uniqId="&amp;BudgetsTable[[#This Row],[prop_id]]&amp;PO_id,"&gt;ra"))</f>
        <v/>
      </c>
      <c r="N231" s="79" t="s">
        <v>13</v>
      </c>
      <c r="O231" s="7" t="str">
        <f>IF(BudgetsTable[[#This Row],[pi_last_name]]=" ","",HYPERLINK("mailto:"&amp;BudgetsTable[[#This Row],[pi_email]]&amp;"&amp;subject=Your NSF Proposal:  "&amp;BudgetsTable[[#This Row],[prop_id]],BudgetsTable[[#This Row],[pi_email]]))</f>
        <v/>
      </c>
      <c r="P231" s="79" t="s">
        <v>13</v>
      </c>
      <c r="Q231" s="79">
        <v>1</v>
      </c>
      <c r="R231" s="79">
        <v>1</v>
      </c>
      <c r="S231" s="80">
        <v>0</v>
      </c>
      <c r="T231" s="80">
        <v>0</v>
      </c>
      <c r="U231" s="80">
        <v>1100</v>
      </c>
      <c r="V231" s="81">
        <v>127695</v>
      </c>
      <c r="W231" s="79">
        <v>0</v>
      </c>
      <c r="X231" s="79">
        <v>5</v>
      </c>
      <c r="Y231" s="11" t="str">
        <f ca="1">IF(ISBLANK(BudgetsTable[[#This Row],[budg_seq_yr]]),"FY"&amp;fiscalyear,"FY"&amp;fiscalyear-1+BudgetsTable[[#This Row],[budg_seq_yr]])</f>
        <v>FY22</v>
      </c>
      <c r="Z231" s="80">
        <v>127695</v>
      </c>
      <c r="AA231" s="79" t="s">
        <v>477</v>
      </c>
      <c r="AB231" s="79" t="s">
        <v>582</v>
      </c>
      <c r="AC231" s="77" t="s">
        <v>94</v>
      </c>
      <c r="AD231" s="79" t="s">
        <v>1439</v>
      </c>
    </row>
    <row r="232" spans="1:30" x14ac:dyDescent="0.4">
      <c r="A232" s="10" t="s">
        <v>1056</v>
      </c>
      <c r="B232" s="77" t="s">
        <v>95</v>
      </c>
      <c r="C232" s="77">
        <f>C231+(BudgetsTable[[#This Row],[lead]]&lt;&gt;K231)</f>
        <v>49</v>
      </c>
      <c r="D232" s="77">
        <f>D231*(BudgetsTable[[#This Row],[lead]]=K231)+(BudgetsTable[[#This Row],[prop_id]]&lt;&gt;A231)</f>
        <v>1</v>
      </c>
      <c r="E232" s="78">
        <v>42935.70416666667</v>
      </c>
      <c r="F232" s="79" t="s">
        <v>1430</v>
      </c>
      <c r="G232" s="79" t="s">
        <v>477</v>
      </c>
      <c r="H232" s="79" t="s">
        <v>582</v>
      </c>
      <c r="I232" s="77" t="s">
        <v>654</v>
      </c>
      <c r="J232" s="77" t="s">
        <v>1608</v>
      </c>
      <c r="K232" s="79" t="s">
        <v>1056</v>
      </c>
      <c r="L232" s="7" t="str">
        <f>IF(BudgetsTable[[#This Row],[pi_last_name]]=" ","",HYPERLINK("https://www.ejacket.nsf.gov/ej/showProposal.do?Continue=Y&amp;ID="&amp;BudgetsTable[[#This Row],[prop_id]],BudgetsTable[[#This Row],[prop_id]]))</f>
        <v>1751181</v>
      </c>
      <c r="M232" s="15" t="e">
        <f>IF(BudgetsTable[[#This Row],[pi_last_name]]=" ","",HYPERLINK("https://www.ejacket.nsf.gov/ej/processReviewAnalysis.do?dispatch=add&amp;uniqId="&amp;BudgetsTable[[#This Row],[prop_id]]&amp;PO_id,"&gt;ra"))</f>
        <v>#REF!</v>
      </c>
      <c r="N232" s="79" t="s">
        <v>1057</v>
      </c>
      <c r="O232" s="7" t="str">
        <f>IF(BudgetsTable[[#This Row],[pi_last_name]]=" ","",HYPERLINK("mailto:"&amp;BudgetsTable[[#This Row],[pi_email]]&amp;"&amp;subject=Your NSF Proposal:  "&amp;BudgetsTable[[#This Row],[prop_id]],BudgetsTable[[#This Row],[pi_email]]))</f>
        <v>maxwelly@outlook.com</v>
      </c>
      <c r="P232" s="79" t="s">
        <v>1605</v>
      </c>
      <c r="Q232" s="79"/>
      <c r="R232" s="79"/>
      <c r="S232" s="80"/>
      <c r="T232" s="80"/>
      <c r="U232" s="80"/>
      <c r="V232" s="81"/>
      <c r="W232" s="79">
        <v>0</v>
      </c>
      <c r="X232" s="79"/>
      <c r="Y232" s="11" t="str">
        <f ca="1">IF(ISBLANK(BudgetsTable[[#This Row],[budg_seq_yr]]),"FY"&amp;fiscalyear,"FY"&amp;fiscalyear-1+BudgetsTable[[#This Row],[budg_seq_yr]])</f>
        <v>FY18</v>
      </c>
      <c r="Z232" s="80">
        <v>400000</v>
      </c>
      <c r="AA232" s="79" t="s">
        <v>477</v>
      </c>
      <c r="AB232" s="79" t="s">
        <v>582</v>
      </c>
      <c r="AC232" s="77" t="s">
        <v>94</v>
      </c>
      <c r="AD232" s="79" t="s">
        <v>1603</v>
      </c>
    </row>
    <row r="233" spans="1:30" x14ac:dyDescent="0.4">
      <c r="A233" s="10" t="s">
        <v>1056</v>
      </c>
      <c r="B233" s="77" t="s">
        <v>95</v>
      </c>
      <c r="C233" s="77">
        <f>C232+(BudgetsTable[[#This Row],[lead]]&lt;&gt;K232)</f>
        <v>49</v>
      </c>
      <c r="D233" s="77">
        <f>D232*(BudgetsTable[[#This Row],[lead]]=K232)+(BudgetsTable[[#This Row],[prop_id]]&lt;&gt;A232)</f>
        <v>1</v>
      </c>
      <c r="E233" s="78">
        <v>42935.70416666667</v>
      </c>
      <c r="F233" s="79" t="s">
        <v>1430</v>
      </c>
      <c r="G233" s="79" t="s">
        <v>477</v>
      </c>
      <c r="H233" s="79" t="s">
        <v>582</v>
      </c>
      <c r="I233" s="77" t="s">
        <v>654</v>
      </c>
      <c r="J233" s="77" t="s">
        <v>13</v>
      </c>
      <c r="K233" s="79" t="s">
        <v>1056</v>
      </c>
      <c r="L233" s="7" t="str">
        <f>IF(BudgetsTable[[#This Row],[pi_last_name]]=" ","",HYPERLINK("https://www.ejacket.nsf.gov/ej/showProposal.do?Continue=Y&amp;ID="&amp;BudgetsTable[[#This Row],[prop_id]],BudgetsTable[[#This Row],[prop_id]]))</f>
        <v/>
      </c>
      <c r="M233" s="15" t="str">
        <f>IF(BudgetsTable[[#This Row],[pi_last_name]]=" ","",HYPERLINK("https://www.ejacket.nsf.gov/ej/processReviewAnalysis.do?dispatch=add&amp;uniqId="&amp;BudgetsTable[[#This Row],[prop_id]]&amp;PO_id,"&gt;ra"))</f>
        <v/>
      </c>
      <c r="N233" s="79" t="s">
        <v>13</v>
      </c>
      <c r="O233" s="7" t="str">
        <f>IF(BudgetsTable[[#This Row],[pi_last_name]]=" ","",HYPERLINK("mailto:"&amp;BudgetsTable[[#This Row],[pi_email]]&amp;"&amp;subject=Your NSF Proposal:  "&amp;BudgetsTable[[#This Row],[prop_id]],BudgetsTable[[#This Row],[pi_email]]))</f>
        <v/>
      </c>
      <c r="P233" s="79" t="s">
        <v>13</v>
      </c>
      <c r="Q233" s="79">
        <v>1</v>
      </c>
      <c r="R233" s="79">
        <v>0.5</v>
      </c>
      <c r="S233" s="80">
        <v>0</v>
      </c>
      <c r="T233" s="80">
        <v>3000</v>
      </c>
      <c r="U233" s="80">
        <v>0</v>
      </c>
      <c r="V233" s="81">
        <v>79592</v>
      </c>
      <c r="W233" s="79">
        <v>0</v>
      </c>
      <c r="X233" s="79">
        <v>1</v>
      </c>
      <c r="Y233" s="11" t="str">
        <f ca="1">IF(ISBLANK(BudgetsTable[[#This Row],[budg_seq_yr]]),"FY"&amp;fiscalyear,"FY"&amp;fiscalyear-1+BudgetsTable[[#This Row],[budg_seq_yr]])</f>
        <v>FY18</v>
      </c>
      <c r="Z233" s="80">
        <v>79592</v>
      </c>
      <c r="AA233" s="79" t="s">
        <v>477</v>
      </c>
      <c r="AB233" s="79" t="s">
        <v>582</v>
      </c>
      <c r="AC233" s="77" t="s">
        <v>94</v>
      </c>
      <c r="AD233" s="79" t="s">
        <v>1603</v>
      </c>
    </row>
    <row r="234" spans="1:30" x14ac:dyDescent="0.4">
      <c r="A234" s="10" t="s">
        <v>1056</v>
      </c>
      <c r="B234" s="77" t="s">
        <v>95</v>
      </c>
      <c r="C234" s="77">
        <f>C233+(BudgetsTable[[#This Row],[lead]]&lt;&gt;K233)</f>
        <v>49</v>
      </c>
      <c r="D234" s="77">
        <f>D233*(BudgetsTable[[#This Row],[lead]]=K233)+(BudgetsTable[[#This Row],[prop_id]]&lt;&gt;A233)</f>
        <v>1</v>
      </c>
      <c r="E234" s="78">
        <v>42935.70416666667</v>
      </c>
      <c r="F234" s="79" t="s">
        <v>1430</v>
      </c>
      <c r="G234" s="79" t="s">
        <v>477</v>
      </c>
      <c r="H234" s="79" t="s">
        <v>582</v>
      </c>
      <c r="I234" s="77" t="s">
        <v>654</v>
      </c>
      <c r="J234" s="77" t="s">
        <v>13</v>
      </c>
      <c r="K234" s="79" t="s">
        <v>1056</v>
      </c>
      <c r="L234" s="7" t="str">
        <f>IF(BudgetsTable[[#This Row],[pi_last_name]]=" ","",HYPERLINK("https://www.ejacket.nsf.gov/ej/showProposal.do?Continue=Y&amp;ID="&amp;BudgetsTable[[#This Row],[prop_id]],BudgetsTable[[#This Row],[prop_id]]))</f>
        <v/>
      </c>
      <c r="M234" s="15" t="str">
        <f>IF(BudgetsTable[[#This Row],[pi_last_name]]=" ","",HYPERLINK("https://www.ejacket.nsf.gov/ej/processReviewAnalysis.do?dispatch=add&amp;uniqId="&amp;BudgetsTable[[#This Row],[prop_id]]&amp;PO_id,"&gt;ra"))</f>
        <v/>
      </c>
      <c r="N234" s="79" t="s">
        <v>13</v>
      </c>
      <c r="O234" s="7" t="str">
        <f>IF(BudgetsTable[[#This Row],[pi_last_name]]=" ","",HYPERLINK("mailto:"&amp;BudgetsTable[[#This Row],[pi_email]]&amp;"&amp;subject=Your NSF Proposal:  "&amp;BudgetsTable[[#This Row],[prop_id]],BudgetsTable[[#This Row],[pi_email]]))</f>
        <v/>
      </c>
      <c r="P234" s="79" t="s">
        <v>13</v>
      </c>
      <c r="Q234" s="79">
        <v>1</v>
      </c>
      <c r="R234" s="79">
        <v>0.5</v>
      </c>
      <c r="S234" s="80">
        <v>0</v>
      </c>
      <c r="T234" s="80">
        <v>3000</v>
      </c>
      <c r="U234" s="80">
        <v>0</v>
      </c>
      <c r="V234" s="81">
        <v>80758</v>
      </c>
      <c r="W234" s="79">
        <v>0</v>
      </c>
      <c r="X234" s="79">
        <v>2</v>
      </c>
      <c r="Y234" s="11" t="str">
        <f ca="1">IF(ISBLANK(BudgetsTable[[#This Row],[budg_seq_yr]]),"FY"&amp;fiscalyear,"FY"&amp;fiscalyear-1+BudgetsTable[[#This Row],[budg_seq_yr]])</f>
        <v>FY19</v>
      </c>
      <c r="Z234" s="80">
        <v>80758</v>
      </c>
      <c r="AA234" s="79" t="s">
        <v>477</v>
      </c>
      <c r="AB234" s="79" t="s">
        <v>582</v>
      </c>
      <c r="AC234" s="77" t="s">
        <v>94</v>
      </c>
      <c r="AD234" s="79" t="s">
        <v>1603</v>
      </c>
    </row>
    <row r="235" spans="1:30" x14ac:dyDescent="0.4">
      <c r="A235" s="10" t="s">
        <v>1056</v>
      </c>
      <c r="B235" s="77" t="s">
        <v>95</v>
      </c>
      <c r="C235" s="77">
        <f>C234+(BudgetsTable[[#This Row],[lead]]&lt;&gt;K234)</f>
        <v>49</v>
      </c>
      <c r="D235" s="77">
        <f>D234*(BudgetsTable[[#This Row],[lead]]=K234)+(BudgetsTable[[#This Row],[prop_id]]&lt;&gt;A234)</f>
        <v>1</v>
      </c>
      <c r="E235" s="78">
        <v>42935.70416666667</v>
      </c>
      <c r="F235" s="79" t="s">
        <v>1430</v>
      </c>
      <c r="G235" s="79" t="s">
        <v>477</v>
      </c>
      <c r="H235" s="79" t="s">
        <v>582</v>
      </c>
      <c r="I235" s="77" t="s">
        <v>654</v>
      </c>
      <c r="J235" s="77" t="s">
        <v>13</v>
      </c>
      <c r="K235" s="79" t="s">
        <v>1056</v>
      </c>
      <c r="L235" s="7" t="str">
        <f>IF(BudgetsTable[[#This Row],[pi_last_name]]=" ","",HYPERLINK("https://www.ejacket.nsf.gov/ej/showProposal.do?Continue=Y&amp;ID="&amp;BudgetsTable[[#This Row],[prop_id]],BudgetsTable[[#This Row],[prop_id]]))</f>
        <v/>
      </c>
      <c r="M235" s="15" t="str">
        <f>IF(BudgetsTable[[#This Row],[pi_last_name]]=" ","",HYPERLINK("https://www.ejacket.nsf.gov/ej/processReviewAnalysis.do?dispatch=add&amp;uniqId="&amp;BudgetsTable[[#This Row],[prop_id]]&amp;PO_id,"&gt;ra"))</f>
        <v/>
      </c>
      <c r="N235" s="79" t="s">
        <v>13</v>
      </c>
      <c r="O235" s="7" t="str">
        <f>IF(BudgetsTable[[#This Row],[pi_last_name]]=" ","",HYPERLINK("mailto:"&amp;BudgetsTable[[#This Row],[pi_email]]&amp;"&amp;subject=Your NSF Proposal:  "&amp;BudgetsTable[[#This Row],[prop_id]],BudgetsTable[[#This Row],[pi_email]]))</f>
        <v/>
      </c>
      <c r="P235" s="79" t="s">
        <v>13</v>
      </c>
      <c r="Q235" s="79">
        <v>1</v>
      </c>
      <c r="R235" s="79">
        <v>0.5</v>
      </c>
      <c r="S235" s="80">
        <v>0</v>
      </c>
      <c r="T235" s="80">
        <v>3000</v>
      </c>
      <c r="U235" s="80">
        <v>0</v>
      </c>
      <c r="V235" s="81">
        <v>78586</v>
      </c>
      <c r="W235" s="79">
        <v>0</v>
      </c>
      <c r="X235" s="79">
        <v>3</v>
      </c>
      <c r="Y235" s="11" t="str">
        <f ca="1">IF(ISBLANK(BudgetsTable[[#This Row],[budg_seq_yr]]),"FY"&amp;fiscalyear,"FY"&amp;fiscalyear-1+BudgetsTable[[#This Row],[budg_seq_yr]])</f>
        <v>FY20</v>
      </c>
      <c r="Z235" s="80">
        <v>78586</v>
      </c>
      <c r="AA235" s="79" t="s">
        <v>477</v>
      </c>
      <c r="AB235" s="79" t="s">
        <v>582</v>
      </c>
      <c r="AC235" s="77" t="s">
        <v>94</v>
      </c>
      <c r="AD235" s="79" t="s">
        <v>1603</v>
      </c>
    </row>
    <row r="236" spans="1:30" x14ac:dyDescent="0.4">
      <c r="A236" s="10" t="s">
        <v>1056</v>
      </c>
      <c r="B236" s="77" t="s">
        <v>95</v>
      </c>
      <c r="C236" s="77">
        <f>C235+(BudgetsTable[[#This Row],[lead]]&lt;&gt;K235)</f>
        <v>49</v>
      </c>
      <c r="D236" s="77">
        <f>D235*(BudgetsTable[[#This Row],[lead]]=K235)+(BudgetsTable[[#This Row],[prop_id]]&lt;&gt;A235)</f>
        <v>1</v>
      </c>
      <c r="E236" s="78">
        <v>42935.70416666667</v>
      </c>
      <c r="F236" s="79" t="s">
        <v>1430</v>
      </c>
      <c r="G236" s="79" t="s">
        <v>477</v>
      </c>
      <c r="H236" s="79" t="s">
        <v>582</v>
      </c>
      <c r="I236" s="77" t="s">
        <v>654</v>
      </c>
      <c r="J236" s="77" t="s">
        <v>13</v>
      </c>
      <c r="K236" s="79" t="s">
        <v>1056</v>
      </c>
      <c r="L236" s="7" t="str">
        <f>IF(BudgetsTable[[#This Row],[pi_last_name]]=" ","",HYPERLINK("https://www.ejacket.nsf.gov/ej/showProposal.do?Continue=Y&amp;ID="&amp;BudgetsTable[[#This Row],[prop_id]],BudgetsTable[[#This Row],[prop_id]]))</f>
        <v/>
      </c>
      <c r="M236" s="15" t="str">
        <f>IF(BudgetsTable[[#This Row],[pi_last_name]]=" ","",HYPERLINK("https://www.ejacket.nsf.gov/ej/processReviewAnalysis.do?dispatch=add&amp;uniqId="&amp;BudgetsTable[[#This Row],[prop_id]]&amp;PO_id,"&gt;ra"))</f>
        <v/>
      </c>
      <c r="N236" s="79" t="s">
        <v>13</v>
      </c>
      <c r="O236" s="7" t="str">
        <f>IF(BudgetsTable[[#This Row],[pi_last_name]]=" ","",HYPERLINK("mailto:"&amp;BudgetsTable[[#This Row],[pi_email]]&amp;"&amp;subject=Your NSF Proposal:  "&amp;BudgetsTable[[#This Row],[prop_id]],BudgetsTable[[#This Row],[pi_email]]))</f>
        <v/>
      </c>
      <c r="P236" s="79" t="s">
        <v>13</v>
      </c>
      <c r="Q236" s="79">
        <v>1</v>
      </c>
      <c r="R236" s="79">
        <v>0.5</v>
      </c>
      <c r="S236" s="80">
        <v>0</v>
      </c>
      <c r="T236" s="80">
        <v>3000</v>
      </c>
      <c r="U236" s="80">
        <v>0</v>
      </c>
      <c r="V236" s="81">
        <v>79863</v>
      </c>
      <c r="W236" s="79">
        <v>0</v>
      </c>
      <c r="X236" s="79">
        <v>4</v>
      </c>
      <c r="Y236" s="11" t="str">
        <f ca="1">IF(ISBLANK(BudgetsTable[[#This Row],[budg_seq_yr]]),"FY"&amp;fiscalyear,"FY"&amp;fiscalyear-1+BudgetsTable[[#This Row],[budg_seq_yr]])</f>
        <v>FY21</v>
      </c>
      <c r="Z236" s="80">
        <v>79863</v>
      </c>
      <c r="AA236" s="79" t="s">
        <v>477</v>
      </c>
      <c r="AB236" s="79" t="s">
        <v>582</v>
      </c>
      <c r="AC236" s="77" t="s">
        <v>94</v>
      </c>
      <c r="AD236" s="79" t="s">
        <v>1603</v>
      </c>
    </row>
    <row r="237" spans="1:30" x14ac:dyDescent="0.4">
      <c r="A237" s="10" t="s">
        <v>1056</v>
      </c>
      <c r="B237" s="77" t="s">
        <v>95</v>
      </c>
      <c r="C237" s="77">
        <f>C236+(BudgetsTable[[#This Row],[lead]]&lt;&gt;K236)</f>
        <v>49</v>
      </c>
      <c r="D237" s="77">
        <f>D236*(BudgetsTable[[#This Row],[lead]]=K236)+(BudgetsTable[[#This Row],[prop_id]]&lt;&gt;A236)</f>
        <v>1</v>
      </c>
      <c r="E237" s="78">
        <v>42935.70416666667</v>
      </c>
      <c r="F237" s="79" t="s">
        <v>1430</v>
      </c>
      <c r="G237" s="79" t="s">
        <v>477</v>
      </c>
      <c r="H237" s="79" t="s">
        <v>582</v>
      </c>
      <c r="I237" s="77" t="s">
        <v>654</v>
      </c>
      <c r="J237" s="77" t="s">
        <v>13</v>
      </c>
      <c r="K237" s="79" t="s">
        <v>1056</v>
      </c>
      <c r="L237" s="7" t="str">
        <f>IF(BudgetsTable[[#This Row],[pi_last_name]]=" ","",HYPERLINK("https://www.ejacket.nsf.gov/ej/showProposal.do?Continue=Y&amp;ID="&amp;BudgetsTable[[#This Row],[prop_id]],BudgetsTable[[#This Row],[prop_id]]))</f>
        <v/>
      </c>
      <c r="M237" s="15" t="str">
        <f>IF(BudgetsTable[[#This Row],[pi_last_name]]=" ","",HYPERLINK("https://www.ejacket.nsf.gov/ej/processReviewAnalysis.do?dispatch=add&amp;uniqId="&amp;BudgetsTable[[#This Row],[prop_id]]&amp;PO_id,"&gt;ra"))</f>
        <v/>
      </c>
      <c r="N237" s="79" t="s">
        <v>13</v>
      </c>
      <c r="O237" s="7" t="str">
        <f>IF(BudgetsTable[[#This Row],[pi_last_name]]=" ","",HYPERLINK("mailto:"&amp;BudgetsTable[[#This Row],[pi_email]]&amp;"&amp;subject=Your NSF Proposal:  "&amp;BudgetsTable[[#This Row],[prop_id]],BudgetsTable[[#This Row],[pi_email]]))</f>
        <v/>
      </c>
      <c r="P237" s="79" t="s">
        <v>13</v>
      </c>
      <c r="Q237" s="79">
        <v>1</v>
      </c>
      <c r="R237" s="79">
        <v>0.5</v>
      </c>
      <c r="S237" s="80">
        <v>0</v>
      </c>
      <c r="T237" s="80">
        <v>3000</v>
      </c>
      <c r="U237" s="80">
        <v>0</v>
      </c>
      <c r="V237" s="81">
        <v>81201</v>
      </c>
      <c r="W237" s="79">
        <v>0</v>
      </c>
      <c r="X237" s="79">
        <v>5</v>
      </c>
      <c r="Y237" s="11" t="str">
        <f ca="1">IF(ISBLANK(BudgetsTable[[#This Row],[budg_seq_yr]]),"FY"&amp;fiscalyear,"FY"&amp;fiscalyear-1+BudgetsTable[[#This Row],[budg_seq_yr]])</f>
        <v>FY22</v>
      </c>
      <c r="Z237" s="80">
        <v>81201</v>
      </c>
      <c r="AA237" s="79" t="s">
        <v>477</v>
      </c>
      <c r="AB237" s="79" t="s">
        <v>582</v>
      </c>
      <c r="AC237" s="77" t="s">
        <v>94</v>
      </c>
      <c r="AD237" s="79" t="s">
        <v>1603</v>
      </c>
    </row>
    <row r="238" spans="1:30" x14ac:dyDescent="0.4">
      <c r="A238" s="10" t="s">
        <v>1064</v>
      </c>
      <c r="B238" s="77" t="s">
        <v>95</v>
      </c>
      <c r="C238" s="77">
        <f>C237+(BudgetsTable[[#This Row],[lead]]&lt;&gt;K237)</f>
        <v>50</v>
      </c>
      <c r="D238" s="77">
        <f>D237*(BudgetsTable[[#This Row],[lead]]=K237)+(BudgetsTable[[#This Row],[prop_id]]&lt;&gt;A237)</f>
        <v>1</v>
      </c>
      <c r="E238" s="78">
        <v>42935.717361111114</v>
      </c>
      <c r="F238" s="79" t="s">
        <v>1430</v>
      </c>
      <c r="G238" s="79" t="s">
        <v>477</v>
      </c>
      <c r="H238" s="79" t="s">
        <v>582</v>
      </c>
      <c r="I238" s="77" t="s">
        <v>611</v>
      </c>
      <c r="J238" s="77" t="s">
        <v>1611</v>
      </c>
      <c r="K238" s="79" t="s">
        <v>1064</v>
      </c>
      <c r="L238" s="7" t="str">
        <f>IF(BudgetsTable[[#This Row],[pi_last_name]]=" ","",HYPERLINK("https://www.ejacket.nsf.gov/ej/showProposal.do?Continue=Y&amp;ID="&amp;BudgetsTable[[#This Row],[prop_id]],BudgetsTable[[#This Row],[prop_id]]))</f>
        <v>1751234</v>
      </c>
      <c r="M238" s="15" t="e">
        <f>IF(BudgetsTable[[#This Row],[pi_last_name]]=" ","",HYPERLINK("https://www.ejacket.nsf.gov/ej/processReviewAnalysis.do?dispatch=add&amp;uniqId="&amp;BudgetsTable[[#This Row],[prop_id]]&amp;PO_id,"&gt;ra"))</f>
        <v>#REF!</v>
      </c>
      <c r="N238" s="79" t="s">
        <v>1065</v>
      </c>
      <c r="O238" s="7" t="str">
        <f>IF(BudgetsTable[[#This Row],[pi_last_name]]=" ","",HYPERLINK("mailto:"&amp;BudgetsTable[[#This Row],[pi_email]]&amp;"&amp;subject=Your NSF Proposal:  "&amp;BudgetsTable[[#This Row],[prop_id]],BudgetsTable[[#This Row],[pi_email]]))</f>
        <v>bhaskara@cs.utah.edu</v>
      </c>
      <c r="P238" s="79" t="s">
        <v>556</v>
      </c>
      <c r="Q238" s="79"/>
      <c r="R238" s="79"/>
      <c r="S238" s="80"/>
      <c r="T238" s="80"/>
      <c r="U238" s="80"/>
      <c r="V238" s="81"/>
      <c r="W238" s="79">
        <v>0</v>
      </c>
      <c r="X238" s="79"/>
      <c r="Y238" s="11" t="str">
        <f ca="1">IF(ISBLANK(BudgetsTable[[#This Row],[budg_seq_yr]]),"FY"&amp;fiscalyear,"FY"&amp;fiscalyear-1+BudgetsTable[[#This Row],[budg_seq_yr]])</f>
        <v>FY18</v>
      </c>
      <c r="Z238" s="80">
        <v>536841</v>
      </c>
      <c r="AA238" s="79" t="s">
        <v>477</v>
      </c>
      <c r="AB238" s="79" t="s">
        <v>582</v>
      </c>
      <c r="AC238" s="77" t="s">
        <v>94</v>
      </c>
      <c r="AD238" s="79" t="s">
        <v>1469</v>
      </c>
    </row>
    <row r="239" spans="1:30" x14ac:dyDescent="0.4">
      <c r="A239" s="10" t="s">
        <v>1064</v>
      </c>
      <c r="B239" s="77" t="s">
        <v>95</v>
      </c>
      <c r="C239" s="77">
        <f>C238+(BudgetsTable[[#This Row],[lead]]&lt;&gt;K238)</f>
        <v>50</v>
      </c>
      <c r="D239" s="77">
        <f>D238*(BudgetsTable[[#This Row],[lead]]=K238)+(BudgetsTable[[#This Row],[prop_id]]&lt;&gt;A238)</f>
        <v>1</v>
      </c>
      <c r="E239" s="78">
        <v>42935.717361111114</v>
      </c>
      <c r="F239" s="79" t="s">
        <v>1430</v>
      </c>
      <c r="G239" s="79" t="s">
        <v>477</v>
      </c>
      <c r="H239" s="79" t="s">
        <v>582</v>
      </c>
      <c r="I239" s="77" t="s">
        <v>611</v>
      </c>
      <c r="J239" s="77" t="s">
        <v>13</v>
      </c>
      <c r="K239" s="79" t="s">
        <v>1064</v>
      </c>
      <c r="L239" s="7" t="str">
        <f>IF(BudgetsTable[[#This Row],[pi_last_name]]=" ","",HYPERLINK("https://www.ejacket.nsf.gov/ej/showProposal.do?Continue=Y&amp;ID="&amp;BudgetsTable[[#This Row],[prop_id]],BudgetsTable[[#This Row],[prop_id]]))</f>
        <v/>
      </c>
      <c r="M239" s="15" t="str">
        <f>IF(BudgetsTable[[#This Row],[pi_last_name]]=" ","",HYPERLINK("https://www.ejacket.nsf.gov/ej/processReviewAnalysis.do?dispatch=add&amp;uniqId="&amp;BudgetsTable[[#This Row],[prop_id]]&amp;PO_id,"&gt;ra"))</f>
        <v/>
      </c>
      <c r="N239" s="79" t="s">
        <v>13</v>
      </c>
      <c r="O239" s="7" t="str">
        <f>IF(BudgetsTable[[#This Row],[pi_last_name]]=" ","",HYPERLINK("mailto:"&amp;BudgetsTable[[#This Row],[pi_email]]&amp;"&amp;subject=Your NSF Proposal:  "&amp;BudgetsTable[[#This Row],[prop_id]],BudgetsTable[[#This Row],[pi_email]]))</f>
        <v/>
      </c>
      <c r="P239" s="79" t="s">
        <v>13</v>
      </c>
      <c r="Q239" s="79">
        <v>1</v>
      </c>
      <c r="R239" s="79">
        <v>1</v>
      </c>
      <c r="S239" s="80">
        <v>0</v>
      </c>
      <c r="T239" s="80">
        <v>5500</v>
      </c>
      <c r="U239" s="80">
        <v>4000</v>
      </c>
      <c r="V239" s="81">
        <v>105452</v>
      </c>
      <c r="W239" s="79">
        <v>0</v>
      </c>
      <c r="X239" s="79">
        <v>1</v>
      </c>
      <c r="Y239" s="11" t="str">
        <f ca="1">IF(ISBLANK(BudgetsTable[[#This Row],[budg_seq_yr]]),"FY"&amp;fiscalyear,"FY"&amp;fiscalyear-1+BudgetsTable[[#This Row],[budg_seq_yr]])</f>
        <v>FY18</v>
      </c>
      <c r="Z239" s="80">
        <v>105452</v>
      </c>
      <c r="AA239" s="79" t="s">
        <v>477</v>
      </c>
      <c r="AB239" s="79" t="s">
        <v>582</v>
      </c>
      <c r="AC239" s="77" t="s">
        <v>94</v>
      </c>
      <c r="AD239" s="79" t="s">
        <v>1469</v>
      </c>
    </row>
    <row r="240" spans="1:30" x14ac:dyDescent="0.4">
      <c r="A240" s="10" t="s">
        <v>1064</v>
      </c>
      <c r="B240" s="77" t="s">
        <v>95</v>
      </c>
      <c r="C240" s="77">
        <f>C239+(BudgetsTable[[#This Row],[lead]]&lt;&gt;K239)</f>
        <v>50</v>
      </c>
      <c r="D240" s="77">
        <f>D239*(BudgetsTable[[#This Row],[lead]]=K239)+(BudgetsTable[[#This Row],[prop_id]]&lt;&gt;A239)</f>
        <v>1</v>
      </c>
      <c r="E240" s="78">
        <v>42935.717361111114</v>
      </c>
      <c r="F240" s="79" t="s">
        <v>1430</v>
      </c>
      <c r="G240" s="79" t="s">
        <v>477</v>
      </c>
      <c r="H240" s="79" t="s">
        <v>582</v>
      </c>
      <c r="I240" s="77" t="s">
        <v>611</v>
      </c>
      <c r="J240" s="77" t="s">
        <v>13</v>
      </c>
      <c r="K240" s="79" t="s">
        <v>1064</v>
      </c>
      <c r="L240" s="7" t="str">
        <f>IF(BudgetsTable[[#This Row],[pi_last_name]]=" ","",HYPERLINK("https://www.ejacket.nsf.gov/ej/showProposal.do?Continue=Y&amp;ID="&amp;BudgetsTable[[#This Row],[prop_id]],BudgetsTable[[#This Row],[prop_id]]))</f>
        <v/>
      </c>
      <c r="M240" s="15" t="str">
        <f>IF(BudgetsTable[[#This Row],[pi_last_name]]=" ","",HYPERLINK("https://www.ejacket.nsf.gov/ej/processReviewAnalysis.do?dispatch=add&amp;uniqId="&amp;BudgetsTable[[#This Row],[prop_id]]&amp;PO_id,"&gt;ra"))</f>
        <v/>
      </c>
      <c r="N240" s="79" t="s">
        <v>13</v>
      </c>
      <c r="O240" s="7" t="str">
        <f>IF(BudgetsTable[[#This Row],[pi_last_name]]=" ","",HYPERLINK("mailto:"&amp;BudgetsTable[[#This Row],[pi_email]]&amp;"&amp;subject=Your NSF Proposal:  "&amp;BudgetsTable[[#This Row],[prop_id]],BudgetsTable[[#This Row],[pi_email]]))</f>
        <v/>
      </c>
      <c r="P240" s="79" t="s">
        <v>13</v>
      </c>
      <c r="Q240" s="79">
        <v>1</v>
      </c>
      <c r="R240" s="79">
        <v>1</v>
      </c>
      <c r="S240" s="80">
        <v>0</v>
      </c>
      <c r="T240" s="80">
        <v>5500</v>
      </c>
      <c r="U240" s="80">
        <v>4000</v>
      </c>
      <c r="V240" s="81">
        <v>104543</v>
      </c>
      <c r="W240" s="79">
        <v>0</v>
      </c>
      <c r="X240" s="79">
        <v>2</v>
      </c>
      <c r="Y240" s="11" t="str">
        <f ca="1">IF(ISBLANK(BudgetsTable[[#This Row],[budg_seq_yr]]),"FY"&amp;fiscalyear,"FY"&amp;fiscalyear-1+BudgetsTable[[#This Row],[budg_seq_yr]])</f>
        <v>FY19</v>
      </c>
      <c r="Z240" s="80">
        <v>104543</v>
      </c>
      <c r="AA240" s="79" t="s">
        <v>477</v>
      </c>
      <c r="AB240" s="79" t="s">
        <v>582</v>
      </c>
      <c r="AC240" s="77" t="s">
        <v>94</v>
      </c>
      <c r="AD240" s="79" t="s">
        <v>1469</v>
      </c>
    </row>
    <row r="241" spans="1:30" x14ac:dyDescent="0.4">
      <c r="A241" s="10" t="s">
        <v>1064</v>
      </c>
      <c r="B241" s="77" t="s">
        <v>95</v>
      </c>
      <c r="C241" s="77">
        <f>C240+(BudgetsTable[[#This Row],[lead]]&lt;&gt;K240)</f>
        <v>50</v>
      </c>
      <c r="D241" s="77">
        <f>D240*(BudgetsTable[[#This Row],[lead]]=K240)+(BudgetsTable[[#This Row],[prop_id]]&lt;&gt;A240)</f>
        <v>1</v>
      </c>
      <c r="E241" s="78">
        <v>42935.717361111114</v>
      </c>
      <c r="F241" s="79" t="s">
        <v>1430</v>
      </c>
      <c r="G241" s="79" t="s">
        <v>477</v>
      </c>
      <c r="H241" s="79" t="s">
        <v>582</v>
      </c>
      <c r="I241" s="77" t="s">
        <v>611</v>
      </c>
      <c r="J241" s="77" t="s">
        <v>13</v>
      </c>
      <c r="K241" s="79" t="s">
        <v>1064</v>
      </c>
      <c r="L241" s="7" t="str">
        <f>IF(BudgetsTable[[#This Row],[pi_last_name]]=" ","",HYPERLINK("https://www.ejacket.nsf.gov/ej/showProposal.do?Continue=Y&amp;ID="&amp;BudgetsTable[[#This Row],[prop_id]],BudgetsTable[[#This Row],[prop_id]]))</f>
        <v/>
      </c>
      <c r="M241" s="15" t="str">
        <f>IF(BudgetsTable[[#This Row],[pi_last_name]]=" ","",HYPERLINK("https://www.ejacket.nsf.gov/ej/processReviewAnalysis.do?dispatch=add&amp;uniqId="&amp;BudgetsTable[[#This Row],[prop_id]]&amp;PO_id,"&gt;ra"))</f>
        <v/>
      </c>
      <c r="N241" s="79" t="s">
        <v>13</v>
      </c>
      <c r="O241" s="7" t="str">
        <f>IF(BudgetsTable[[#This Row],[pi_last_name]]=" ","",HYPERLINK("mailto:"&amp;BudgetsTable[[#This Row],[pi_email]]&amp;"&amp;subject=Your NSF Proposal:  "&amp;BudgetsTable[[#This Row],[prop_id]],BudgetsTable[[#This Row],[pi_email]]))</f>
        <v/>
      </c>
      <c r="P241" s="79" t="s">
        <v>13</v>
      </c>
      <c r="Q241" s="79">
        <v>1</v>
      </c>
      <c r="R241" s="79">
        <v>1</v>
      </c>
      <c r="S241" s="80">
        <v>0</v>
      </c>
      <c r="T241" s="80">
        <v>5500</v>
      </c>
      <c r="U241" s="80">
        <v>4000</v>
      </c>
      <c r="V241" s="81">
        <v>106721</v>
      </c>
      <c r="W241" s="79">
        <v>0</v>
      </c>
      <c r="X241" s="79">
        <v>3</v>
      </c>
      <c r="Y241" s="11" t="str">
        <f ca="1">IF(ISBLANK(BudgetsTable[[#This Row],[budg_seq_yr]]),"FY"&amp;fiscalyear,"FY"&amp;fiscalyear-1+BudgetsTable[[#This Row],[budg_seq_yr]])</f>
        <v>FY20</v>
      </c>
      <c r="Z241" s="80">
        <v>106721</v>
      </c>
      <c r="AA241" s="79" t="s">
        <v>477</v>
      </c>
      <c r="AB241" s="79" t="s">
        <v>582</v>
      </c>
      <c r="AC241" s="77" t="s">
        <v>94</v>
      </c>
      <c r="AD241" s="79" t="s">
        <v>1469</v>
      </c>
    </row>
    <row r="242" spans="1:30" x14ac:dyDescent="0.4">
      <c r="A242" s="10" t="s">
        <v>1064</v>
      </c>
      <c r="B242" s="77" t="s">
        <v>95</v>
      </c>
      <c r="C242" s="77">
        <f>C241+(BudgetsTable[[#This Row],[lead]]&lt;&gt;K241)</f>
        <v>50</v>
      </c>
      <c r="D242" s="77">
        <f>D241*(BudgetsTable[[#This Row],[lead]]=K241)+(BudgetsTable[[#This Row],[prop_id]]&lt;&gt;A241)</f>
        <v>1</v>
      </c>
      <c r="E242" s="78">
        <v>42935.717361111114</v>
      </c>
      <c r="F242" s="79" t="s">
        <v>1430</v>
      </c>
      <c r="G242" s="79" t="s">
        <v>477</v>
      </c>
      <c r="H242" s="79" t="s">
        <v>582</v>
      </c>
      <c r="I242" s="77" t="s">
        <v>611</v>
      </c>
      <c r="J242" s="77" t="s">
        <v>13</v>
      </c>
      <c r="K242" s="79" t="s">
        <v>1064</v>
      </c>
      <c r="L242" s="7" t="str">
        <f>IF(BudgetsTable[[#This Row],[pi_last_name]]=" ","",HYPERLINK("https://www.ejacket.nsf.gov/ej/showProposal.do?Continue=Y&amp;ID="&amp;BudgetsTable[[#This Row],[prop_id]],BudgetsTable[[#This Row],[prop_id]]))</f>
        <v/>
      </c>
      <c r="M242" s="15" t="str">
        <f>IF(BudgetsTable[[#This Row],[pi_last_name]]=" ","",HYPERLINK("https://www.ejacket.nsf.gov/ej/processReviewAnalysis.do?dispatch=add&amp;uniqId="&amp;BudgetsTable[[#This Row],[prop_id]]&amp;PO_id,"&gt;ra"))</f>
        <v/>
      </c>
      <c r="N242" s="79" t="s">
        <v>13</v>
      </c>
      <c r="O242" s="7" t="str">
        <f>IF(BudgetsTable[[#This Row],[pi_last_name]]=" ","",HYPERLINK("mailto:"&amp;BudgetsTable[[#This Row],[pi_email]]&amp;"&amp;subject=Your NSF Proposal:  "&amp;BudgetsTable[[#This Row],[prop_id]],BudgetsTable[[#This Row],[pi_email]]))</f>
        <v/>
      </c>
      <c r="P242" s="79" t="s">
        <v>13</v>
      </c>
      <c r="Q242" s="79">
        <v>1</v>
      </c>
      <c r="R242" s="79">
        <v>1</v>
      </c>
      <c r="S242" s="80">
        <v>0</v>
      </c>
      <c r="T242" s="80">
        <v>5500</v>
      </c>
      <c r="U242" s="80">
        <v>4000</v>
      </c>
      <c r="V242" s="81">
        <v>108936</v>
      </c>
      <c r="W242" s="79">
        <v>0</v>
      </c>
      <c r="X242" s="79">
        <v>4</v>
      </c>
      <c r="Y242" s="11" t="str">
        <f ca="1">IF(ISBLANK(BudgetsTable[[#This Row],[budg_seq_yr]]),"FY"&amp;fiscalyear,"FY"&amp;fiscalyear-1+BudgetsTable[[#This Row],[budg_seq_yr]])</f>
        <v>FY21</v>
      </c>
      <c r="Z242" s="80">
        <v>108936</v>
      </c>
      <c r="AA242" s="79" t="s">
        <v>477</v>
      </c>
      <c r="AB242" s="79" t="s">
        <v>582</v>
      </c>
      <c r="AC242" s="77" t="s">
        <v>94</v>
      </c>
      <c r="AD242" s="79" t="s">
        <v>1469</v>
      </c>
    </row>
    <row r="243" spans="1:30" x14ac:dyDescent="0.4">
      <c r="A243" s="10" t="s">
        <v>1064</v>
      </c>
      <c r="B243" s="77" t="s">
        <v>95</v>
      </c>
      <c r="C243" s="77">
        <f>C242+(BudgetsTable[[#This Row],[lead]]&lt;&gt;K242)</f>
        <v>50</v>
      </c>
      <c r="D243" s="77">
        <f>D242*(BudgetsTable[[#This Row],[lead]]=K242)+(BudgetsTable[[#This Row],[prop_id]]&lt;&gt;A242)</f>
        <v>1</v>
      </c>
      <c r="E243" s="78">
        <v>42935.717361111114</v>
      </c>
      <c r="F243" s="79" t="s">
        <v>1430</v>
      </c>
      <c r="G243" s="79" t="s">
        <v>477</v>
      </c>
      <c r="H243" s="79" t="s">
        <v>582</v>
      </c>
      <c r="I243" s="77" t="s">
        <v>611</v>
      </c>
      <c r="J243" s="77" t="s">
        <v>13</v>
      </c>
      <c r="K243" s="79" t="s">
        <v>1064</v>
      </c>
      <c r="L243" s="7" t="str">
        <f>IF(BudgetsTable[[#This Row],[pi_last_name]]=" ","",HYPERLINK("https://www.ejacket.nsf.gov/ej/showProposal.do?Continue=Y&amp;ID="&amp;BudgetsTable[[#This Row],[prop_id]],BudgetsTable[[#This Row],[prop_id]]))</f>
        <v/>
      </c>
      <c r="M243" s="15" t="str">
        <f>IF(BudgetsTable[[#This Row],[pi_last_name]]=" ","",HYPERLINK("https://www.ejacket.nsf.gov/ej/processReviewAnalysis.do?dispatch=add&amp;uniqId="&amp;BudgetsTable[[#This Row],[prop_id]]&amp;PO_id,"&gt;ra"))</f>
        <v/>
      </c>
      <c r="N243" s="79" t="s">
        <v>13</v>
      </c>
      <c r="O243" s="7" t="str">
        <f>IF(BudgetsTable[[#This Row],[pi_last_name]]=" ","",HYPERLINK("mailto:"&amp;BudgetsTable[[#This Row],[pi_email]]&amp;"&amp;subject=Your NSF Proposal:  "&amp;BudgetsTable[[#This Row],[prop_id]],BudgetsTable[[#This Row],[pi_email]]))</f>
        <v/>
      </c>
      <c r="P243" s="79" t="s">
        <v>13</v>
      </c>
      <c r="Q243" s="79">
        <v>1</v>
      </c>
      <c r="R243" s="79">
        <v>1</v>
      </c>
      <c r="S243" s="80">
        <v>0</v>
      </c>
      <c r="T243" s="80">
        <v>5500</v>
      </c>
      <c r="U243" s="80">
        <v>4000</v>
      </c>
      <c r="V243" s="81">
        <v>111189</v>
      </c>
      <c r="W243" s="79">
        <v>0</v>
      </c>
      <c r="X243" s="79">
        <v>5</v>
      </c>
      <c r="Y243" s="11" t="str">
        <f ca="1">IF(ISBLANK(BudgetsTable[[#This Row],[budg_seq_yr]]),"FY"&amp;fiscalyear,"FY"&amp;fiscalyear-1+BudgetsTable[[#This Row],[budg_seq_yr]])</f>
        <v>FY22</v>
      </c>
      <c r="Z243" s="80">
        <v>111189</v>
      </c>
      <c r="AA243" s="79" t="s">
        <v>477</v>
      </c>
      <c r="AB243" s="79" t="s">
        <v>582</v>
      </c>
      <c r="AC243" s="77" t="s">
        <v>94</v>
      </c>
      <c r="AD243" s="79" t="s">
        <v>1469</v>
      </c>
    </row>
    <row r="244" spans="1:30" x14ac:dyDescent="0.4">
      <c r="A244" s="10" t="s">
        <v>1073</v>
      </c>
      <c r="B244" s="77" t="s">
        <v>95</v>
      </c>
      <c r="C244" s="77">
        <f>C243+(BudgetsTable[[#This Row],[lead]]&lt;&gt;K243)</f>
        <v>51</v>
      </c>
      <c r="D244" s="77">
        <f>D243*(BudgetsTable[[#This Row],[lead]]=K243)+(BudgetsTable[[#This Row],[prop_id]]&lt;&gt;A243)</f>
        <v>1</v>
      </c>
      <c r="E244" s="78">
        <v>42935.723611111112</v>
      </c>
      <c r="F244" s="79" t="s">
        <v>1430</v>
      </c>
      <c r="G244" s="79" t="s">
        <v>477</v>
      </c>
      <c r="H244" s="79" t="s">
        <v>582</v>
      </c>
      <c r="I244" s="77" t="s">
        <v>611</v>
      </c>
      <c r="J244" s="77" t="s">
        <v>1616</v>
      </c>
      <c r="K244" s="79" t="s">
        <v>1073</v>
      </c>
      <c r="L244" s="7" t="str">
        <f>IF(BudgetsTable[[#This Row],[pi_last_name]]=" ","",HYPERLINK("https://www.ejacket.nsf.gov/ej/showProposal.do?Continue=Y&amp;ID="&amp;BudgetsTable[[#This Row],[prop_id]],BudgetsTable[[#This Row],[prop_id]]))</f>
        <v>1751254</v>
      </c>
      <c r="M244" s="15" t="e">
        <f>IF(BudgetsTable[[#This Row],[pi_last_name]]=" ","",HYPERLINK("https://www.ejacket.nsf.gov/ej/processReviewAnalysis.do?dispatch=add&amp;uniqId="&amp;BudgetsTable[[#This Row],[prop_id]]&amp;PO_id,"&gt;ra"))</f>
        <v>#REF!</v>
      </c>
      <c r="N244" s="79" t="s">
        <v>1074</v>
      </c>
      <c r="O244" s="7" t="str">
        <f>IF(BudgetsTable[[#This Row],[pi_last_name]]=" ","",HYPERLINK("mailto:"&amp;BudgetsTable[[#This Row],[pi_email]]&amp;"&amp;subject=Your NSF Proposal:  "&amp;BudgetsTable[[#This Row],[prop_id]],BudgetsTable[[#This Row],[pi_email]]))</f>
        <v>brittany@cs.montana.edu</v>
      </c>
      <c r="P244" s="79" t="s">
        <v>1614</v>
      </c>
      <c r="Q244" s="79"/>
      <c r="R244" s="79"/>
      <c r="S244" s="80"/>
      <c r="T244" s="80"/>
      <c r="U244" s="80"/>
      <c r="V244" s="81"/>
      <c r="W244" s="79">
        <v>0</v>
      </c>
      <c r="X244" s="79"/>
      <c r="Y244" s="11" t="str">
        <f ca="1">IF(ISBLANK(BudgetsTable[[#This Row],[budg_seq_yr]]),"FY"&amp;fiscalyear,"FY"&amp;fiscalyear-1+BudgetsTable[[#This Row],[budg_seq_yr]])</f>
        <v>FY18</v>
      </c>
      <c r="Z244" s="80">
        <v>552355</v>
      </c>
      <c r="AA244" s="79" t="s">
        <v>477</v>
      </c>
      <c r="AB244" s="79" t="s">
        <v>582</v>
      </c>
      <c r="AC244" s="77" t="s">
        <v>94</v>
      </c>
      <c r="AD244" s="79" t="s">
        <v>1612</v>
      </c>
    </row>
    <row r="245" spans="1:30" x14ac:dyDescent="0.4">
      <c r="A245" s="10" t="s">
        <v>1073</v>
      </c>
      <c r="B245" s="77" t="s">
        <v>95</v>
      </c>
      <c r="C245" s="77">
        <f>C244+(BudgetsTable[[#This Row],[lead]]&lt;&gt;K244)</f>
        <v>51</v>
      </c>
      <c r="D245" s="77">
        <f>D244*(BudgetsTable[[#This Row],[lead]]=K244)+(BudgetsTable[[#This Row],[prop_id]]&lt;&gt;A244)</f>
        <v>1</v>
      </c>
      <c r="E245" s="78">
        <v>42935.723611111112</v>
      </c>
      <c r="F245" s="79" t="s">
        <v>1430</v>
      </c>
      <c r="G245" s="79" t="s">
        <v>477</v>
      </c>
      <c r="H245" s="79" t="s">
        <v>582</v>
      </c>
      <c r="I245" s="77" t="s">
        <v>611</v>
      </c>
      <c r="J245" s="77" t="s">
        <v>13</v>
      </c>
      <c r="K245" s="79" t="s">
        <v>1073</v>
      </c>
      <c r="L245" s="7" t="str">
        <f>IF(BudgetsTable[[#This Row],[pi_last_name]]=" ","",HYPERLINK("https://www.ejacket.nsf.gov/ej/showProposal.do?Continue=Y&amp;ID="&amp;BudgetsTable[[#This Row],[prop_id]],BudgetsTable[[#This Row],[prop_id]]))</f>
        <v/>
      </c>
      <c r="M245" s="15" t="str">
        <f>IF(BudgetsTable[[#This Row],[pi_last_name]]=" ","",HYPERLINK("https://www.ejacket.nsf.gov/ej/processReviewAnalysis.do?dispatch=add&amp;uniqId="&amp;BudgetsTable[[#This Row],[prop_id]]&amp;PO_id,"&gt;ra"))</f>
        <v/>
      </c>
      <c r="N245" s="79" t="s">
        <v>13</v>
      </c>
      <c r="O245" s="7" t="str">
        <f>IF(BudgetsTable[[#This Row],[pi_last_name]]=" ","",HYPERLINK("mailto:"&amp;BudgetsTable[[#This Row],[pi_email]]&amp;"&amp;subject=Your NSF Proposal:  "&amp;BudgetsTable[[#This Row],[prop_id]],BudgetsTable[[#This Row],[pi_email]]))</f>
        <v/>
      </c>
      <c r="P245" s="79" t="s">
        <v>13</v>
      </c>
      <c r="Q245" s="79">
        <v>1</v>
      </c>
      <c r="R245" s="79">
        <v>1</v>
      </c>
      <c r="S245" s="80">
        <v>0</v>
      </c>
      <c r="T245" s="80">
        <v>2600</v>
      </c>
      <c r="U245" s="80">
        <v>0</v>
      </c>
      <c r="V245" s="81">
        <v>91913</v>
      </c>
      <c r="W245" s="79">
        <v>0</v>
      </c>
      <c r="X245" s="79">
        <v>1</v>
      </c>
      <c r="Y245" s="11" t="str">
        <f ca="1">IF(ISBLANK(BudgetsTable[[#This Row],[budg_seq_yr]]),"FY"&amp;fiscalyear,"FY"&amp;fiscalyear-1+BudgetsTable[[#This Row],[budg_seq_yr]])</f>
        <v>FY18</v>
      </c>
      <c r="Z245" s="80">
        <v>91913</v>
      </c>
      <c r="AA245" s="79" t="s">
        <v>477</v>
      </c>
      <c r="AB245" s="79" t="s">
        <v>582</v>
      </c>
      <c r="AC245" s="77" t="s">
        <v>94</v>
      </c>
      <c r="AD245" s="79" t="s">
        <v>1612</v>
      </c>
    </row>
    <row r="246" spans="1:30" x14ac:dyDescent="0.4">
      <c r="A246" s="10" t="s">
        <v>1073</v>
      </c>
      <c r="B246" s="77" t="s">
        <v>95</v>
      </c>
      <c r="C246" s="77">
        <f>C245+(BudgetsTable[[#This Row],[lead]]&lt;&gt;K245)</f>
        <v>51</v>
      </c>
      <c r="D246" s="77">
        <f>D245*(BudgetsTable[[#This Row],[lead]]=K245)+(BudgetsTable[[#This Row],[prop_id]]&lt;&gt;A245)</f>
        <v>1</v>
      </c>
      <c r="E246" s="78">
        <v>42935.723611111112</v>
      </c>
      <c r="F246" s="79" t="s">
        <v>1430</v>
      </c>
      <c r="G246" s="79" t="s">
        <v>477</v>
      </c>
      <c r="H246" s="79" t="s">
        <v>582</v>
      </c>
      <c r="I246" s="77" t="s">
        <v>611</v>
      </c>
      <c r="J246" s="77" t="s">
        <v>13</v>
      </c>
      <c r="K246" s="79" t="s">
        <v>1073</v>
      </c>
      <c r="L246" s="7" t="str">
        <f>IF(BudgetsTable[[#This Row],[pi_last_name]]=" ","",HYPERLINK("https://www.ejacket.nsf.gov/ej/showProposal.do?Continue=Y&amp;ID="&amp;BudgetsTable[[#This Row],[prop_id]],BudgetsTable[[#This Row],[prop_id]]))</f>
        <v/>
      </c>
      <c r="M246" s="15" t="str">
        <f>IF(BudgetsTable[[#This Row],[pi_last_name]]=" ","",HYPERLINK("https://www.ejacket.nsf.gov/ej/processReviewAnalysis.do?dispatch=add&amp;uniqId="&amp;BudgetsTable[[#This Row],[prop_id]]&amp;PO_id,"&gt;ra"))</f>
        <v/>
      </c>
      <c r="N246" s="79" t="s">
        <v>13</v>
      </c>
      <c r="O246" s="7" t="str">
        <f>IF(BudgetsTable[[#This Row],[pi_last_name]]=" ","",HYPERLINK("mailto:"&amp;BudgetsTable[[#This Row],[pi_email]]&amp;"&amp;subject=Your NSF Proposal:  "&amp;BudgetsTable[[#This Row],[prop_id]],BudgetsTable[[#This Row],[pi_email]]))</f>
        <v/>
      </c>
      <c r="P246" s="79" t="s">
        <v>13</v>
      </c>
      <c r="Q246" s="79">
        <v>1</v>
      </c>
      <c r="R246" s="79">
        <v>1</v>
      </c>
      <c r="S246" s="80">
        <v>0</v>
      </c>
      <c r="T246" s="80">
        <v>2600</v>
      </c>
      <c r="U246" s="80">
        <v>0</v>
      </c>
      <c r="V246" s="81">
        <v>94307</v>
      </c>
      <c r="W246" s="79">
        <v>0</v>
      </c>
      <c r="X246" s="79">
        <v>2</v>
      </c>
      <c r="Y246" s="11" t="str">
        <f ca="1">IF(ISBLANK(BudgetsTable[[#This Row],[budg_seq_yr]]),"FY"&amp;fiscalyear,"FY"&amp;fiscalyear-1+BudgetsTable[[#This Row],[budg_seq_yr]])</f>
        <v>FY19</v>
      </c>
      <c r="Z246" s="80">
        <v>94307</v>
      </c>
      <c r="AA246" s="79" t="s">
        <v>477</v>
      </c>
      <c r="AB246" s="79" t="s">
        <v>582</v>
      </c>
      <c r="AC246" s="77" t="s">
        <v>94</v>
      </c>
      <c r="AD246" s="79" t="s">
        <v>1612</v>
      </c>
    </row>
    <row r="247" spans="1:30" x14ac:dyDescent="0.4">
      <c r="A247" s="10" t="s">
        <v>1073</v>
      </c>
      <c r="B247" s="77" t="s">
        <v>95</v>
      </c>
      <c r="C247" s="77">
        <f>C246+(BudgetsTable[[#This Row],[lead]]&lt;&gt;K246)</f>
        <v>51</v>
      </c>
      <c r="D247" s="77">
        <f>D246*(BudgetsTable[[#This Row],[lead]]=K246)+(BudgetsTable[[#This Row],[prop_id]]&lt;&gt;A246)</f>
        <v>1</v>
      </c>
      <c r="E247" s="78">
        <v>42935.723611111112</v>
      </c>
      <c r="F247" s="79" t="s">
        <v>1430</v>
      </c>
      <c r="G247" s="79" t="s">
        <v>477</v>
      </c>
      <c r="H247" s="79" t="s">
        <v>582</v>
      </c>
      <c r="I247" s="77" t="s">
        <v>611</v>
      </c>
      <c r="J247" s="77" t="s">
        <v>13</v>
      </c>
      <c r="K247" s="79" t="s">
        <v>1073</v>
      </c>
      <c r="L247" s="7" t="str">
        <f>IF(BudgetsTable[[#This Row],[pi_last_name]]=" ","",HYPERLINK("https://www.ejacket.nsf.gov/ej/showProposal.do?Continue=Y&amp;ID="&amp;BudgetsTable[[#This Row],[prop_id]],BudgetsTable[[#This Row],[prop_id]]))</f>
        <v/>
      </c>
      <c r="M247" s="15" t="str">
        <f>IF(BudgetsTable[[#This Row],[pi_last_name]]=" ","",HYPERLINK("https://www.ejacket.nsf.gov/ej/processReviewAnalysis.do?dispatch=add&amp;uniqId="&amp;BudgetsTable[[#This Row],[prop_id]]&amp;PO_id,"&gt;ra"))</f>
        <v/>
      </c>
      <c r="N247" s="79" t="s">
        <v>13</v>
      </c>
      <c r="O247" s="7" t="str">
        <f>IF(BudgetsTable[[#This Row],[pi_last_name]]=" ","",HYPERLINK("mailto:"&amp;BudgetsTable[[#This Row],[pi_email]]&amp;"&amp;subject=Your NSF Proposal:  "&amp;BudgetsTable[[#This Row],[prop_id]],BudgetsTable[[#This Row],[pi_email]]))</f>
        <v/>
      </c>
      <c r="P247" s="79" t="s">
        <v>13</v>
      </c>
      <c r="Q247" s="79">
        <v>1</v>
      </c>
      <c r="R247" s="79">
        <v>1</v>
      </c>
      <c r="S247" s="80">
        <v>0</v>
      </c>
      <c r="T247" s="80">
        <v>2600</v>
      </c>
      <c r="U247" s="80">
        <v>0</v>
      </c>
      <c r="V247" s="81">
        <v>137366</v>
      </c>
      <c r="W247" s="79">
        <v>0</v>
      </c>
      <c r="X247" s="79">
        <v>3</v>
      </c>
      <c r="Y247" s="11" t="str">
        <f ca="1">IF(ISBLANK(BudgetsTable[[#This Row],[budg_seq_yr]]),"FY"&amp;fiscalyear,"FY"&amp;fiscalyear-1+BudgetsTable[[#This Row],[budg_seq_yr]])</f>
        <v>FY20</v>
      </c>
      <c r="Z247" s="80">
        <v>137366</v>
      </c>
      <c r="AA247" s="79" t="s">
        <v>477</v>
      </c>
      <c r="AB247" s="79" t="s">
        <v>582</v>
      </c>
      <c r="AC247" s="77" t="s">
        <v>94</v>
      </c>
      <c r="AD247" s="79" t="s">
        <v>1612</v>
      </c>
    </row>
    <row r="248" spans="1:30" x14ac:dyDescent="0.4">
      <c r="A248" s="10" t="s">
        <v>1073</v>
      </c>
      <c r="B248" s="77" t="s">
        <v>95</v>
      </c>
      <c r="C248" s="77">
        <f>C247+(BudgetsTable[[#This Row],[lead]]&lt;&gt;K247)</f>
        <v>51</v>
      </c>
      <c r="D248" s="77">
        <f>D247*(BudgetsTable[[#This Row],[lead]]=K247)+(BudgetsTable[[#This Row],[prop_id]]&lt;&gt;A247)</f>
        <v>1</v>
      </c>
      <c r="E248" s="78">
        <v>42935.723611111112</v>
      </c>
      <c r="F248" s="79" t="s">
        <v>1430</v>
      </c>
      <c r="G248" s="79" t="s">
        <v>477</v>
      </c>
      <c r="H248" s="79" t="s">
        <v>582</v>
      </c>
      <c r="I248" s="77" t="s">
        <v>611</v>
      </c>
      <c r="J248" s="77" t="s">
        <v>13</v>
      </c>
      <c r="K248" s="79" t="s">
        <v>1073</v>
      </c>
      <c r="L248" s="7" t="str">
        <f>IF(BudgetsTable[[#This Row],[pi_last_name]]=" ","",HYPERLINK("https://www.ejacket.nsf.gov/ej/showProposal.do?Continue=Y&amp;ID="&amp;BudgetsTable[[#This Row],[prop_id]],BudgetsTable[[#This Row],[prop_id]]))</f>
        <v/>
      </c>
      <c r="M248" s="15" t="str">
        <f>IF(BudgetsTable[[#This Row],[pi_last_name]]=" ","",HYPERLINK("https://www.ejacket.nsf.gov/ej/processReviewAnalysis.do?dispatch=add&amp;uniqId="&amp;BudgetsTable[[#This Row],[prop_id]]&amp;PO_id,"&gt;ra"))</f>
        <v/>
      </c>
      <c r="N248" s="79" t="s">
        <v>13</v>
      </c>
      <c r="O248" s="7" t="str">
        <f>IF(BudgetsTable[[#This Row],[pi_last_name]]=" ","",HYPERLINK("mailto:"&amp;BudgetsTable[[#This Row],[pi_email]]&amp;"&amp;subject=Your NSF Proposal:  "&amp;BudgetsTable[[#This Row],[prop_id]],BudgetsTable[[#This Row],[pi_email]]))</f>
        <v/>
      </c>
      <c r="P248" s="79" t="s">
        <v>13</v>
      </c>
      <c r="Q248" s="79">
        <v>1</v>
      </c>
      <c r="R248" s="79">
        <v>1</v>
      </c>
      <c r="S248" s="80">
        <v>0</v>
      </c>
      <c r="T248" s="80">
        <v>2600</v>
      </c>
      <c r="U248" s="80">
        <v>0</v>
      </c>
      <c r="V248" s="81">
        <v>100963</v>
      </c>
      <c r="W248" s="79">
        <v>0</v>
      </c>
      <c r="X248" s="79">
        <v>4</v>
      </c>
      <c r="Y248" s="11" t="str">
        <f ca="1">IF(ISBLANK(BudgetsTable[[#This Row],[budg_seq_yr]]),"FY"&amp;fiscalyear,"FY"&amp;fiscalyear-1+BudgetsTable[[#This Row],[budg_seq_yr]])</f>
        <v>FY21</v>
      </c>
      <c r="Z248" s="80">
        <v>100963</v>
      </c>
      <c r="AA248" s="79" t="s">
        <v>477</v>
      </c>
      <c r="AB248" s="79" t="s">
        <v>582</v>
      </c>
      <c r="AC248" s="77" t="s">
        <v>94</v>
      </c>
      <c r="AD248" s="79" t="s">
        <v>1612</v>
      </c>
    </row>
    <row r="249" spans="1:30" x14ac:dyDescent="0.4">
      <c r="A249" s="10" t="s">
        <v>1073</v>
      </c>
      <c r="B249" s="77" t="s">
        <v>95</v>
      </c>
      <c r="C249" s="77">
        <f>C248+(BudgetsTable[[#This Row],[lead]]&lt;&gt;K248)</f>
        <v>51</v>
      </c>
      <c r="D249" s="77">
        <f>D248*(BudgetsTable[[#This Row],[lead]]=K248)+(BudgetsTable[[#This Row],[prop_id]]&lt;&gt;A248)</f>
        <v>1</v>
      </c>
      <c r="E249" s="78">
        <v>42935.723611111112</v>
      </c>
      <c r="F249" s="79" t="s">
        <v>1430</v>
      </c>
      <c r="G249" s="79" t="s">
        <v>477</v>
      </c>
      <c r="H249" s="79" t="s">
        <v>582</v>
      </c>
      <c r="I249" s="77" t="s">
        <v>611</v>
      </c>
      <c r="J249" s="77" t="s">
        <v>13</v>
      </c>
      <c r="K249" s="79" t="s">
        <v>1073</v>
      </c>
      <c r="L249" s="7" t="str">
        <f>IF(BudgetsTable[[#This Row],[pi_last_name]]=" ","",HYPERLINK("https://www.ejacket.nsf.gov/ej/showProposal.do?Continue=Y&amp;ID="&amp;BudgetsTable[[#This Row],[prop_id]],BudgetsTable[[#This Row],[prop_id]]))</f>
        <v/>
      </c>
      <c r="M249" s="15" t="str">
        <f>IF(BudgetsTable[[#This Row],[pi_last_name]]=" ","",HYPERLINK("https://www.ejacket.nsf.gov/ej/processReviewAnalysis.do?dispatch=add&amp;uniqId="&amp;BudgetsTable[[#This Row],[prop_id]]&amp;PO_id,"&gt;ra"))</f>
        <v/>
      </c>
      <c r="N249" s="79" t="s">
        <v>13</v>
      </c>
      <c r="O249" s="7" t="str">
        <f>IF(BudgetsTable[[#This Row],[pi_last_name]]=" ","",HYPERLINK("mailto:"&amp;BudgetsTable[[#This Row],[pi_email]]&amp;"&amp;subject=Your NSF Proposal:  "&amp;BudgetsTable[[#This Row],[prop_id]],BudgetsTable[[#This Row],[pi_email]]))</f>
        <v/>
      </c>
      <c r="P249" s="79" t="s">
        <v>13</v>
      </c>
      <c r="Q249" s="79">
        <v>1</v>
      </c>
      <c r="R249" s="79">
        <v>1</v>
      </c>
      <c r="S249" s="80">
        <v>0</v>
      </c>
      <c r="T249" s="80">
        <v>2600</v>
      </c>
      <c r="U249" s="80">
        <v>0</v>
      </c>
      <c r="V249" s="81">
        <v>127806</v>
      </c>
      <c r="W249" s="79">
        <v>0</v>
      </c>
      <c r="X249" s="79">
        <v>5</v>
      </c>
      <c r="Y249" s="11" t="str">
        <f ca="1">IF(ISBLANK(BudgetsTable[[#This Row],[budg_seq_yr]]),"FY"&amp;fiscalyear,"FY"&amp;fiscalyear-1+BudgetsTable[[#This Row],[budg_seq_yr]])</f>
        <v>FY22</v>
      </c>
      <c r="Z249" s="80">
        <v>127806</v>
      </c>
      <c r="AA249" s="79" t="s">
        <v>477</v>
      </c>
      <c r="AB249" s="79" t="s">
        <v>582</v>
      </c>
      <c r="AC249" s="77" t="s">
        <v>94</v>
      </c>
      <c r="AD249" s="79" t="s">
        <v>1612</v>
      </c>
    </row>
    <row r="250" spans="1:30" x14ac:dyDescent="0.4">
      <c r="A250" s="10" t="s">
        <v>1082</v>
      </c>
      <c r="B250" s="77" t="s">
        <v>95</v>
      </c>
      <c r="C250" s="77">
        <f>C249+(BudgetsTable[[#This Row],[lead]]&lt;&gt;K249)</f>
        <v>52</v>
      </c>
      <c r="D250" s="77">
        <f>D249*(BudgetsTable[[#This Row],[lead]]=K249)+(BudgetsTable[[#This Row],[prop_id]]&lt;&gt;A249)</f>
        <v>1</v>
      </c>
      <c r="E250" s="78">
        <v>42935.851388888892</v>
      </c>
      <c r="F250" s="79" t="s">
        <v>1430</v>
      </c>
      <c r="G250" s="79" t="s">
        <v>477</v>
      </c>
      <c r="H250" s="79" t="s">
        <v>582</v>
      </c>
      <c r="I250" s="77" t="s">
        <v>654</v>
      </c>
      <c r="J250" s="77" t="s">
        <v>1620</v>
      </c>
      <c r="K250" s="79" t="s">
        <v>1082</v>
      </c>
      <c r="L250" s="7" t="str">
        <f>IF(BudgetsTable[[#This Row],[pi_last_name]]=" ","",HYPERLINK("https://www.ejacket.nsf.gov/ej/showProposal.do?Continue=Y&amp;ID="&amp;BudgetsTable[[#This Row],[prop_id]],BudgetsTable[[#This Row],[prop_id]]))</f>
        <v>1751416</v>
      </c>
      <c r="M250" s="15" t="e">
        <f>IF(BudgetsTable[[#This Row],[pi_last_name]]=" ","",HYPERLINK("https://www.ejacket.nsf.gov/ej/processReviewAnalysis.do?dispatch=add&amp;uniqId="&amp;BudgetsTable[[#This Row],[prop_id]]&amp;PO_id,"&gt;ra"))</f>
        <v>#REF!</v>
      </c>
      <c r="N250" s="79" t="s">
        <v>1083</v>
      </c>
      <c r="O250" s="7" t="str">
        <f>IF(BudgetsTable[[#This Row],[pi_last_name]]=" ","",HYPERLINK("mailto:"&amp;BudgetsTable[[#This Row],[pi_email]]&amp;"&amp;subject=Your NSF Proposal:  "&amp;BudgetsTable[[#This Row],[prop_id]],BudgetsTable[[#This Row],[pi_email]]))</f>
        <v>nodari@hawaii.edu</v>
      </c>
      <c r="P250" s="79" t="s">
        <v>1618</v>
      </c>
      <c r="Q250" s="79"/>
      <c r="R250" s="79"/>
      <c r="S250" s="80"/>
      <c r="T250" s="80"/>
      <c r="U250" s="80"/>
      <c r="V250" s="81"/>
      <c r="W250" s="79">
        <v>0</v>
      </c>
      <c r="X250" s="79"/>
      <c r="Y250" s="11" t="str">
        <f ca="1">IF(ISBLANK(BudgetsTable[[#This Row],[budg_seq_yr]]),"FY"&amp;fiscalyear,"FY"&amp;fiscalyear-1+BudgetsTable[[#This Row],[budg_seq_yr]])</f>
        <v>FY18</v>
      </c>
      <c r="Z250" s="80">
        <v>549999</v>
      </c>
      <c r="AA250" s="79" t="s">
        <v>477</v>
      </c>
      <c r="AB250" s="79" t="s">
        <v>582</v>
      </c>
      <c r="AC250" s="77" t="s">
        <v>94</v>
      </c>
      <c r="AD250" s="79" t="s">
        <v>1603</v>
      </c>
    </row>
    <row r="251" spans="1:30" x14ac:dyDescent="0.4">
      <c r="A251" s="10" t="s">
        <v>1082</v>
      </c>
      <c r="B251" s="77" t="s">
        <v>95</v>
      </c>
      <c r="C251" s="77">
        <f>C250+(BudgetsTable[[#This Row],[lead]]&lt;&gt;K250)</f>
        <v>52</v>
      </c>
      <c r="D251" s="77">
        <f>D250*(BudgetsTable[[#This Row],[lead]]=K250)+(BudgetsTable[[#This Row],[prop_id]]&lt;&gt;A250)</f>
        <v>1</v>
      </c>
      <c r="E251" s="78">
        <v>42935.851388888892</v>
      </c>
      <c r="F251" s="79" t="s">
        <v>1430</v>
      </c>
      <c r="G251" s="79" t="s">
        <v>477</v>
      </c>
      <c r="H251" s="79" t="s">
        <v>582</v>
      </c>
      <c r="I251" s="77" t="s">
        <v>654</v>
      </c>
      <c r="J251" s="77" t="s">
        <v>13</v>
      </c>
      <c r="K251" s="79" t="s">
        <v>1082</v>
      </c>
      <c r="L251" s="7" t="str">
        <f>IF(BudgetsTable[[#This Row],[pi_last_name]]=" ","",HYPERLINK("https://www.ejacket.nsf.gov/ej/showProposal.do?Continue=Y&amp;ID="&amp;BudgetsTable[[#This Row],[prop_id]],BudgetsTable[[#This Row],[prop_id]]))</f>
        <v/>
      </c>
      <c r="M251" s="15" t="str">
        <f>IF(BudgetsTable[[#This Row],[pi_last_name]]=" ","",HYPERLINK("https://www.ejacket.nsf.gov/ej/processReviewAnalysis.do?dispatch=add&amp;uniqId="&amp;BudgetsTable[[#This Row],[prop_id]]&amp;PO_id,"&gt;ra"))</f>
        <v/>
      </c>
      <c r="N251" s="79" t="s">
        <v>13</v>
      </c>
      <c r="O251" s="7" t="str">
        <f>IF(BudgetsTable[[#This Row],[pi_last_name]]=" ","",HYPERLINK("mailto:"&amp;BudgetsTable[[#This Row],[pi_email]]&amp;"&amp;subject=Your NSF Proposal:  "&amp;BudgetsTable[[#This Row],[prop_id]],BudgetsTable[[#This Row],[pi_email]]))</f>
        <v/>
      </c>
      <c r="P251" s="79" t="s">
        <v>13</v>
      </c>
      <c r="Q251" s="79">
        <v>1</v>
      </c>
      <c r="R251" s="79">
        <v>1</v>
      </c>
      <c r="S251" s="80">
        <v>0</v>
      </c>
      <c r="T251" s="80">
        <v>4000</v>
      </c>
      <c r="U251" s="80">
        <v>0</v>
      </c>
      <c r="V251" s="81">
        <v>107503</v>
      </c>
      <c r="W251" s="79">
        <v>0</v>
      </c>
      <c r="X251" s="79">
        <v>1</v>
      </c>
      <c r="Y251" s="11" t="str">
        <f ca="1">IF(ISBLANK(BudgetsTable[[#This Row],[budg_seq_yr]]),"FY"&amp;fiscalyear,"FY"&amp;fiscalyear-1+BudgetsTable[[#This Row],[budg_seq_yr]])</f>
        <v>FY18</v>
      </c>
      <c r="Z251" s="80">
        <v>107503</v>
      </c>
      <c r="AA251" s="79" t="s">
        <v>477</v>
      </c>
      <c r="AB251" s="79" t="s">
        <v>582</v>
      </c>
      <c r="AC251" s="77" t="s">
        <v>94</v>
      </c>
      <c r="AD251" s="79" t="s">
        <v>1603</v>
      </c>
    </row>
    <row r="252" spans="1:30" x14ac:dyDescent="0.4">
      <c r="A252" s="10" t="s">
        <v>1082</v>
      </c>
      <c r="B252" s="77" t="s">
        <v>95</v>
      </c>
      <c r="C252" s="77">
        <f>C251+(BudgetsTable[[#This Row],[lead]]&lt;&gt;K251)</f>
        <v>52</v>
      </c>
      <c r="D252" s="77">
        <f>D251*(BudgetsTable[[#This Row],[lead]]=K251)+(BudgetsTable[[#This Row],[prop_id]]&lt;&gt;A251)</f>
        <v>1</v>
      </c>
      <c r="E252" s="78">
        <v>42935.851388888892</v>
      </c>
      <c r="F252" s="79" t="s">
        <v>1430</v>
      </c>
      <c r="G252" s="79" t="s">
        <v>477</v>
      </c>
      <c r="H252" s="79" t="s">
        <v>582</v>
      </c>
      <c r="I252" s="77" t="s">
        <v>654</v>
      </c>
      <c r="J252" s="77" t="s">
        <v>13</v>
      </c>
      <c r="K252" s="79" t="s">
        <v>1082</v>
      </c>
      <c r="L252" s="7" t="str">
        <f>IF(BudgetsTable[[#This Row],[pi_last_name]]=" ","",HYPERLINK("https://www.ejacket.nsf.gov/ej/showProposal.do?Continue=Y&amp;ID="&amp;BudgetsTable[[#This Row],[prop_id]],BudgetsTable[[#This Row],[prop_id]]))</f>
        <v/>
      </c>
      <c r="M252" s="15" t="str">
        <f>IF(BudgetsTable[[#This Row],[pi_last_name]]=" ","",HYPERLINK("https://www.ejacket.nsf.gov/ej/processReviewAnalysis.do?dispatch=add&amp;uniqId="&amp;BudgetsTable[[#This Row],[prop_id]]&amp;PO_id,"&gt;ra"))</f>
        <v/>
      </c>
      <c r="N252" s="79" t="s">
        <v>13</v>
      </c>
      <c r="O252" s="7" t="str">
        <f>IF(BudgetsTable[[#This Row],[pi_last_name]]=" ","",HYPERLINK("mailto:"&amp;BudgetsTable[[#This Row],[pi_email]]&amp;"&amp;subject=Your NSF Proposal:  "&amp;BudgetsTable[[#This Row],[prop_id]],BudgetsTable[[#This Row],[pi_email]]))</f>
        <v/>
      </c>
      <c r="P252" s="79" t="s">
        <v>13</v>
      </c>
      <c r="Q252" s="79">
        <v>1</v>
      </c>
      <c r="R252" s="79">
        <v>1</v>
      </c>
      <c r="S252" s="80">
        <v>0</v>
      </c>
      <c r="T252" s="80">
        <v>4000</v>
      </c>
      <c r="U252" s="80">
        <v>0</v>
      </c>
      <c r="V252" s="81">
        <v>106381</v>
      </c>
      <c r="W252" s="79">
        <v>0</v>
      </c>
      <c r="X252" s="79">
        <v>2</v>
      </c>
      <c r="Y252" s="11" t="str">
        <f ca="1">IF(ISBLANK(BudgetsTable[[#This Row],[budg_seq_yr]]),"FY"&amp;fiscalyear,"FY"&amp;fiscalyear-1+BudgetsTable[[#This Row],[budg_seq_yr]])</f>
        <v>FY19</v>
      </c>
      <c r="Z252" s="80">
        <v>106381</v>
      </c>
      <c r="AA252" s="79" t="s">
        <v>477</v>
      </c>
      <c r="AB252" s="79" t="s">
        <v>582</v>
      </c>
      <c r="AC252" s="77" t="s">
        <v>94</v>
      </c>
      <c r="AD252" s="79" t="s">
        <v>1603</v>
      </c>
    </row>
    <row r="253" spans="1:30" x14ac:dyDescent="0.4">
      <c r="A253" s="10" t="s">
        <v>1082</v>
      </c>
      <c r="B253" s="77" t="s">
        <v>95</v>
      </c>
      <c r="C253" s="77">
        <f>C252+(BudgetsTable[[#This Row],[lead]]&lt;&gt;K252)</f>
        <v>52</v>
      </c>
      <c r="D253" s="77">
        <f>D252*(BudgetsTable[[#This Row],[lead]]=K252)+(BudgetsTable[[#This Row],[prop_id]]&lt;&gt;A252)</f>
        <v>1</v>
      </c>
      <c r="E253" s="78">
        <v>42935.851388888892</v>
      </c>
      <c r="F253" s="79" t="s">
        <v>1430</v>
      </c>
      <c r="G253" s="79" t="s">
        <v>477</v>
      </c>
      <c r="H253" s="79" t="s">
        <v>582</v>
      </c>
      <c r="I253" s="77" t="s">
        <v>654</v>
      </c>
      <c r="J253" s="77" t="s">
        <v>13</v>
      </c>
      <c r="K253" s="79" t="s">
        <v>1082</v>
      </c>
      <c r="L253" s="7" t="str">
        <f>IF(BudgetsTable[[#This Row],[pi_last_name]]=" ","",HYPERLINK("https://www.ejacket.nsf.gov/ej/showProposal.do?Continue=Y&amp;ID="&amp;BudgetsTable[[#This Row],[prop_id]],BudgetsTable[[#This Row],[prop_id]]))</f>
        <v/>
      </c>
      <c r="M253" s="15" t="str">
        <f>IF(BudgetsTable[[#This Row],[pi_last_name]]=" ","",HYPERLINK("https://www.ejacket.nsf.gov/ej/processReviewAnalysis.do?dispatch=add&amp;uniqId="&amp;BudgetsTable[[#This Row],[prop_id]]&amp;PO_id,"&gt;ra"))</f>
        <v/>
      </c>
      <c r="N253" s="79" t="s">
        <v>13</v>
      </c>
      <c r="O253" s="7" t="str">
        <f>IF(BudgetsTable[[#This Row],[pi_last_name]]=" ","",HYPERLINK("mailto:"&amp;BudgetsTable[[#This Row],[pi_email]]&amp;"&amp;subject=Your NSF Proposal:  "&amp;BudgetsTable[[#This Row],[prop_id]],BudgetsTable[[#This Row],[pi_email]]))</f>
        <v/>
      </c>
      <c r="P253" s="79" t="s">
        <v>13</v>
      </c>
      <c r="Q253" s="79">
        <v>1</v>
      </c>
      <c r="R253" s="79">
        <v>1</v>
      </c>
      <c r="S253" s="80">
        <v>0</v>
      </c>
      <c r="T253" s="80">
        <v>4000</v>
      </c>
      <c r="U253" s="80">
        <v>0</v>
      </c>
      <c r="V253" s="81">
        <v>109149</v>
      </c>
      <c r="W253" s="79">
        <v>0</v>
      </c>
      <c r="X253" s="79">
        <v>3</v>
      </c>
      <c r="Y253" s="11" t="str">
        <f ca="1">IF(ISBLANK(BudgetsTable[[#This Row],[budg_seq_yr]]),"FY"&amp;fiscalyear,"FY"&amp;fiscalyear-1+BudgetsTable[[#This Row],[budg_seq_yr]])</f>
        <v>FY20</v>
      </c>
      <c r="Z253" s="80">
        <v>109149</v>
      </c>
      <c r="AA253" s="79" t="s">
        <v>477</v>
      </c>
      <c r="AB253" s="79" t="s">
        <v>582</v>
      </c>
      <c r="AC253" s="77" t="s">
        <v>94</v>
      </c>
      <c r="AD253" s="79" t="s">
        <v>1603</v>
      </c>
    </row>
    <row r="254" spans="1:30" x14ac:dyDescent="0.4">
      <c r="A254" s="10" t="s">
        <v>1082</v>
      </c>
      <c r="B254" s="77" t="s">
        <v>95</v>
      </c>
      <c r="C254" s="77">
        <f>C253+(BudgetsTable[[#This Row],[lead]]&lt;&gt;K253)</f>
        <v>52</v>
      </c>
      <c r="D254" s="77">
        <f>D253*(BudgetsTable[[#This Row],[lead]]=K253)+(BudgetsTable[[#This Row],[prop_id]]&lt;&gt;A253)</f>
        <v>1</v>
      </c>
      <c r="E254" s="78">
        <v>42935.851388888892</v>
      </c>
      <c r="F254" s="79" t="s">
        <v>1430</v>
      </c>
      <c r="G254" s="79" t="s">
        <v>477</v>
      </c>
      <c r="H254" s="79" t="s">
        <v>582</v>
      </c>
      <c r="I254" s="77" t="s">
        <v>654</v>
      </c>
      <c r="J254" s="77" t="s">
        <v>13</v>
      </c>
      <c r="K254" s="79" t="s">
        <v>1082</v>
      </c>
      <c r="L254" s="7" t="str">
        <f>IF(BudgetsTable[[#This Row],[pi_last_name]]=" ","",HYPERLINK("https://www.ejacket.nsf.gov/ej/showProposal.do?Continue=Y&amp;ID="&amp;BudgetsTable[[#This Row],[prop_id]],BudgetsTable[[#This Row],[prop_id]]))</f>
        <v/>
      </c>
      <c r="M254" s="15" t="str">
        <f>IF(BudgetsTable[[#This Row],[pi_last_name]]=" ","",HYPERLINK("https://www.ejacket.nsf.gov/ej/processReviewAnalysis.do?dispatch=add&amp;uniqId="&amp;BudgetsTable[[#This Row],[prop_id]]&amp;PO_id,"&gt;ra"))</f>
        <v/>
      </c>
      <c r="N254" s="79" t="s">
        <v>13</v>
      </c>
      <c r="O254" s="7" t="str">
        <f>IF(BudgetsTable[[#This Row],[pi_last_name]]=" ","",HYPERLINK("mailto:"&amp;BudgetsTable[[#This Row],[pi_email]]&amp;"&amp;subject=Your NSF Proposal:  "&amp;BudgetsTable[[#This Row],[prop_id]],BudgetsTable[[#This Row],[pi_email]]))</f>
        <v/>
      </c>
      <c r="P254" s="79" t="s">
        <v>13</v>
      </c>
      <c r="Q254" s="79">
        <v>1</v>
      </c>
      <c r="R254" s="79">
        <v>1</v>
      </c>
      <c r="S254" s="80">
        <v>0</v>
      </c>
      <c r="T254" s="80">
        <v>4000</v>
      </c>
      <c r="U254" s="80">
        <v>0</v>
      </c>
      <c r="V254" s="81">
        <v>112009</v>
      </c>
      <c r="W254" s="79">
        <v>0</v>
      </c>
      <c r="X254" s="79">
        <v>4</v>
      </c>
      <c r="Y254" s="11" t="str">
        <f ca="1">IF(ISBLANK(BudgetsTable[[#This Row],[budg_seq_yr]]),"FY"&amp;fiscalyear,"FY"&amp;fiscalyear-1+BudgetsTable[[#This Row],[budg_seq_yr]])</f>
        <v>FY21</v>
      </c>
      <c r="Z254" s="80">
        <v>112009</v>
      </c>
      <c r="AA254" s="79" t="s">
        <v>477</v>
      </c>
      <c r="AB254" s="79" t="s">
        <v>582</v>
      </c>
      <c r="AC254" s="77" t="s">
        <v>94</v>
      </c>
      <c r="AD254" s="79" t="s">
        <v>1603</v>
      </c>
    </row>
    <row r="255" spans="1:30" x14ac:dyDescent="0.4">
      <c r="A255" s="10" t="s">
        <v>1082</v>
      </c>
      <c r="B255" s="77" t="s">
        <v>95</v>
      </c>
      <c r="C255" s="77">
        <f>C254+(BudgetsTable[[#This Row],[lead]]&lt;&gt;K254)</f>
        <v>52</v>
      </c>
      <c r="D255" s="77">
        <f>D254*(BudgetsTable[[#This Row],[lead]]=K254)+(BudgetsTable[[#This Row],[prop_id]]&lt;&gt;A254)</f>
        <v>1</v>
      </c>
      <c r="E255" s="78">
        <v>42935.851388888892</v>
      </c>
      <c r="F255" s="79" t="s">
        <v>1430</v>
      </c>
      <c r="G255" s="79" t="s">
        <v>477</v>
      </c>
      <c r="H255" s="79" t="s">
        <v>582</v>
      </c>
      <c r="I255" s="77" t="s">
        <v>654</v>
      </c>
      <c r="J255" s="77" t="s">
        <v>13</v>
      </c>
      <c r="K255" s="79" t="s">
        <v>1082</v>
      </c>
      <c r="L255" s="7" t="str">
        <f>IF(BudgetsTable[[#This Row],[pi_last_name]]=" ","",HYPERLINK("https://www.ejacket.nsf.gov/ej/showProposal.do?Continue=Y&amp;ID="&amp;BudgetsTable[[#This Row],[prop_id]],BudgetsTable[[#This Row],[prop_id]]))</f>
        <v/>
      </c>
      <c r="M255" s="15" t="str">
        <f>IF(BudgetsTable[[#This Row],[pi_last_name]]=" ","",HYPERLINK("https://www.ejacket.nsf.gov/ej/processReviewAnalysis.do?dispatch=add&amp;uniqId="&amp;BudgetsTable[[#This Row],[prop_id]]&amp;PO_id,"&gt;ra"))</f>
        <v/>
      </c>
      <c r="N255" s="79" t="s">
        <v>13</v>
      </c>
      <c r="O255" s="7" t="str">
        <f>IF(BudgetsTable[[#This Row],[pi_last_name]]=" ","",HYPERLINK("mailto:"&amp;BudgetsTable[[#This Row],[pi_email]]&amp;"&amp;subject=Your NSF Proposal:  "&amp;BudgetsTable[[#This Row],[prop_id]],BudgetsTable[[#This Row],[pi_email]]))</f>
        <v/>
      </c>
      <c r="P255" s="79" t="s">
        <v>13</v>
      </c>
      <c r="Q255" s="79">
        <v>1</v>
      </c>
      <c r="R255" s="79">
        <v>1</v>
      </c>
      <c r="S255" s="80">
        <v>0</v>
      </c>
      <c r="T255" s="80">
        <v>4000</v>
      </c>
      <c r="U255" s="80">
        <v>0</v>
      </c>
      <c r="V255" s="81">
        <v>114957</v>
      </c>
      <c r="W255" s="79">
        <v>0</v>
      </c>
      <c r="X255" s="79">
        <v>5</v>
      </c>
      <c r="Y255" s="11" t="str">
        <f ca="1">IF(ISBLANK(BudgetsTable[[#This Row],[budg_seq_yr]]),"FY"&amp;fiscalyear,"FY"&amp;fiscalyear-1+BudgetsTable[[#This Row],[budg_seq_yr]])</f>
        <v>FY22</v>
      </c>
      <c r="Z255" s="80">
        <v>114957</v>
      </c>
      <c r="AA255" s="79" t="s">
        <v>477</v>
      </c>
      <c r="AB255" s="79" t="s">
        <v>582</v>
      </c>
      <c r="AC255" s="77" t="s">
        <v>94</v>
      </c>
      <c r="AD255" s="79" t="s">
        <v>1603</v>
      </c>
    </row>
    <row r="256" spans="1:30" x14ac:dyDescent="0.4">
      <c r="A256" s="10" t="s">
        <v>1091</v>
      </c>
      <c r="B256" s="77" t="s">
        <v>95</v>
      </c>
      <c r="C256" s="77">
        <f>C255+(BudgetsTable[[#This Row],[lead]]&lt;&gt;K255)</f>
        <v>53</v>
      </c>
      <c r="D256" s="77">
        <f>D255*(BudgetsTable[[#This Row],[lead]]=K255)+(BudgetsTable[[#This Row],[prop_id]]&lt;&gt;A255)</f>
        <v>1</v>
      </c>
      <c r="E256" s="78">
        <v>42950.663888888892</v>
      </c>
      <c r="F256" s="79" t="s">
        <v>1621</v>
      </c>
      <c r="G256" s="79" t="s">
        <v>1622</v>
      </c>
      <c r="H256" s="79" t="s">
        <v>580</v>
      </c>
      <c r="I256" s="77" t="s">
        <v>1093</v>
      </c>
      <c r="J256" s="77" t="s">
        <v>1629</v>
      </c>
      <c r="K256" s="79" t="s">
        <v>1091</v>
      </c>
      <c r="L256" s="7" t="str">
        <f>IF(BudgetsTable[[#This Row],[pi_last_name]]=" ","",HYPERLINK("https://www.ejacket.nsf.gov/ej/showProposal.do?Continue=Y&amp;ID="&amp;BudgetsTable[[#This Row],[prop_id]],BudgetsTable[[#This Row],[prop_id]]))</f>
        <v>1755038</v>
      </c>
      <c r="M256" s="15" t="e">
        <f>IF(BudgetsTable[[#This Row],[pi_last_name]]=" ","",HYPERLINK("https://www.ejacket.nsf.gov/ej/processReviewAnalysis.do?dispatch=add&amp;uniqId="&amp;BudgetsTable[[#This Row],[prop_id]]&amp;PO_id,"&gt;ra"))</f>
        <v>#REF!</v>
      </c>
      <c r="N256" s="79" t="s">
        <v>1092</v>
      </c>
      <c r="O256" s="7" t="str">
        <f>IF(BudgetsTable[[#This Row],[pi_last_name]]=" ","",HYPERLINK("mailto:"&amp;BudgetsTable[[#This Row],[pi_email]]&amp;"&amp;subject=Your NSF Proposal:  "&amp;BudgetsTable[[#This Row],[prop_id]],BudgetsTable[[#This Row],[pi_email]]))</f>
        <v>ani.majumdar@princeton.edu</v>
      </c>
      <c r="P256" s="79" t="s">
        <v>552</v>
      </c>
      <c r="Q256" s="79"/>
      <c r="R256" s="79"/>
      <c r="S256" s="80"/>
      <c r="T256" s="80"/>
      <c r="U256" s="80"/>
      <c r="V256" s="81"/>
      <c r="W256" s="79">
        <v>0</v>
      </c>
      <c r="X256" s="79"/>
      <c r="Y256" s="11" t="str">
        <f ca="1">IF(ISBLANK(BudgetsTable[[#This Row],[budg_seq_yr]]),"FY"&amp;fiscalyear,"FY"&amp;fiscalyear-1+BudgetsTable[[#This Row],[budg_seq_yr]])</f>
        <v>FY18</v>
      </c>
      <c r="Z256" s="80">
        <v>175000</v>
      </c>
      <c r="AA256" s="79" t="s">
        <v>1622</v>
      </c>
      <c r="AB256" s="79" t="s">
        <v>580</v>
      </c>
      <c r="AC256" s="77" t="s">
        <v>94</v>
      </c>
      <c r="AD256" s="79" t="s">
        <v>1624</v>
      </c>
    </row>
    <row r="257" spans="1:30" x14ac:dyDescent="0.4">
      <c r="A257" s="10" t="s">
        <v>1091</v>
      </c>
      <c r="B257" s="77" t="s">
        <v>95</v>
      </c>
      <c r="C257" s="77">
        <f>C256+(BudgetsTable[[#This Row],[lead]]&lt;&gt;K256)</f>
        <v>53</v>
      </c>
      <c r="D257" s="77">
        <f>D256*(BudgetsTable[[#This Row],[lead]]=K256)+(BudgetsTable[[#This Row],[prop_id]]&lt;&gt;A256)</f>
        <v>1</v>
      </c>
      <c r="E257" s="78">
        <v>42950.663888888892</v>
      </c>
      <c r="F257" s="79" t="s">
        <v>1621</v>
      </c>
      <c r="G257" s="79" t="s">
        <v>1622</v>
      </c>
      <c r="H257" s="79" t="s">
        <v>580</v>
      </c>
      <c r="I257" s="77" t="s">
        <v>1093</v>
      </c>
      <c r="J257" s="77" t="s">
        <v>13</v>
      </c>
      <c r="K257" s="79" t="s">
        <v>1091</v>
      </c>
      <c r="L257" s="7" t="str">
        <f>IF(BudgetsTable[[#This Row],[pi_last_name]]=" ","",HYPERLINK("https://www.ejacket.nsf.gov/ej/showProposal.do?Continue=Y&amp;ID="&amp;BudgetsTable[[#This Row],[prop_id]],BudgetsTable[[#This Row],[prop_id]]))</f>
        <v/>
      </c>
      <c r="M257" s="15" t="str">
        <f>IF(BudgetsTable[[#This Row],[pi_last_name]]=" ","",HYPERLINK("https://www.ejacket.nsf.gov/ej/processReviewAnalysis.do?dispatch=add&amp;uniqId="&amp;BudgetsTable[[#This Row],[prop_id]]&amp;PO_id,"&gt;ra"))</f>
        <v/>
      </c>
      <c r="N257" s="79" t="s">
        <v>13</v>
      </c>
      <c r="O257" s="7" t="str">
        <f>IF(BudgetsTable[[#This Row],[pi_last_name]]=" ","",HYPERLINK("mailto:"&amp;BudgetsTable[[#This Row],[pi_email]]&amp;"&amp;subject=Your NSF Proposal:  "&amp;BudgetsTable[[#This Row],[prop_id]],BudgetsTable[[#This Row],[pi_email]]))</f>
        <v/>
      </c>
      <c r="P257" s="79" t="s">
        <v>13</v>
      </c>
      <c r="Q257" s="79">
        <v>0</v>
      </c>
      <c r="R257" s="79">
        <v>0</v>
      </c>
      <c r="S257" s="80">
        <v>0</v>
      </c>
      <c r="T257" s="80">
        <v>0</v>
      </c>
      <c r="U257" s="80">
        <v>0</v>
      </c>
      <c r="V257" s="81">
        <v>86326</v>
      </c>
      <c r="W257" s="79">
        <v>0</v>
      </c>
      <c r="X257" s="79">
        <v>1</v>
      </c>
      <c r="Y257" s="11" t="str">
        <f ca="1">IF(ISBLANK(BudgetsTable[[#This Row],[budg_seq_yr]]),"FY"&amp;fiscalyear,"FY"&amp;fiscalyear-1+BudgetsTable[[#This Row],[budg_seq_yr]])</f>
        <v>FY18</v>
      </c>
      <c r="Z257" s="80">
        <v>86326</v>
      </c>
      <c r="AA257" s="79" t="s">
        <v>1622</v>
      </c>
      <c r="AB257" s="79" t="s">
        <v>580</v>
      </c>
      <c r="AC257" s="77" t="s">
        <v>94</v>
      </c>
      <c r="AD257" s="79" t="s">
        <v>1624</v>
      </c>
    </row>
    <row r="258" spans="1:30" x14ac:dyDescent="0.4">
      <c r="A258" s="10" t="s">
        <v>1091</v>
      </c>
      <c r="B258" s="77" t="s">
        <v>95</v>
      </c>
      <c r="C258" s="77">
        <f>C257+(BudgetsTable[[#This Row],[lead]]&lt;&gt;K257)</f>
        <v>53</v>
      </c>
      <c r="D258" s="77">
        <f>D257*(BudgetsTable[[#This Row],[lead]]=K257)+(BudgetsTable[[#This Row],[prop_id]]&lt;&gt;A257)</f>
        <v>1</v>
      </c>
      <c r="E258" s="78">
        <v>42950.663888888892</v>
      </c>
      <c r="F258" s="79" t="s">
        <v>1621</v>
      </c>
      <c r="G258" s="79" t="s">
        <v>1622</v>
      </c>
      <c r="H258" s="79" t="s">
        <v>580</v>
      </c>
      <c r="I258" s="77" t="s">
        <v>1093</v>
      </c>
      <c r="J258" s="77" t="s">
        <v>13</v>
      </c>
      <c r="K258" s="79" t="s">
        <v>1091</v>
      </c>
      <c r="L258" s="7" t="str">
        <f>IF(BudgetsTable[[#This Row],[pi_last_name]]=" ","",HYPERLINK("https://www.ejacket.nsf.gov/ej/showProposal.do?Continue=Y&amp;ID="&amp;BudgetsTable[[#This Row],[prop_id]],BudgetsTable[[#This Row],[prop_id]]))</f>
        <v/>
      </c>
      <c r="M258" s="15" t="str">
        <f>IF(BudgetsTable[[#This Row],[pi_last_name]]=" ","",HYPERLINK("https://www.ejacket.nsf.gov/ej/processReviewAnalysis.do?dispatch=add&amp;uniqId="&amp;BudgetsTable[[#This Row],[prop_id]]&amp;PO_id,"&gt;ra"))</f>
        <v/>
      </c>
      <c r="N258" s="79" t="s">
        <v>13</v>
      </c>
      <c r="O258" s="7" t="str">
        <f>IF(BudgetsTable[[#This Row],[pi_last_name]]=" ","",HYPERLINK("mailto:"&amp;BudgetsTable[[#This Row],[pi_email]]&amp;"&amp;subject=Your NSF Proposal:  "&amp;BudgetsTable[[#This Row],[prop_id]],BudgetsTable[[#This Row],[pi_email]]))</f>
        <v/>
      </c>
      <c r="P258" s="79" t="s">
        <v>13</v>
      </c>
      <c r="Q258" s="79">
        <v>0</v>
      </c>
      <c r="R258" s="79">
        <v>0</v>
      </c>
      <c r="S258" s="80">
        <v>0</v>
      </c>
      <c r="T258" s="80">
        <v>0</v>
      </c>
      <c r="U258" s="80">
        <v>0</v>
      </c>
      <c r="V258" s="81">
        <v>88674</v>
      </c>
      <c r="W258" s="79">
        <v>0</v>
      </c>
      <c r="X258" s="79">
        <v>2</v>
      </c>
      <c r="Y258" s="11" t="str">
        <f ca="1">IF(ISBLANK(BudgetsTable[[#This Row],[budg_seq_yr]]),"FY"&amp;fiscalyear,"FY"&amp;fiscalyear-1+BudgetsTable[[#This Row],[budg_seq_yr]])</f>
        <v>FY19</v>
      </c>
      <c r="Z258" s="80">
        <v>88674</v>
      </c>
      <c r="AA258" s="79" t="s">
        <v>1622</v>
      </c>
      <c r="AB258" s="79" t="s">
        <v>580</v>
      </c>
      <c r="AC258" s="77" t="s">
        <v>94</v>
      </c>
      <c r="AD258" s="79" t="s">
        <v>1624</v>
      </c>
    </row>
    <row r="259" spans="1:30" x14ac:dyDescent="0.4">
      <c r="A259" s="10" t="s">
        <v>1118</v>
      </c>
      <c r="B259" s="77" t="s">
        <v>95</v>
      </c>
      <c r="C259" s="77">
        <f>C258+(BudgetsTable[[#This Row],[lead]]&lt;&gt;K258)</f>
        <v>54</v>
      </c>
      <c r="D259" s="77">
        <f>D258*(BudgetsTable[[#This Row],[lead]]=K258)+(BudgetsTable[[#This Row],[prop_id]]&lt;&gt;A258)</f>
        <v>1</v>
      </c>
      <c r="E259" s="78">
        <v>42954.456944444442</v>
      </c>
      <c r="F259" s="79" t="s">
        <v>1621</v>
      </c>
      <c r="G259" s="79" t="s">
        <v>477</v>
      </c>
      <c r="H259" s="79" t="s">
        <v>578</v>
      </c>
      <c r="I259" s="77" t="s">
        <v>611</v>
      </c>
      <c r="J259" s="77" t="s">
        <v>1637</v>
      </c>
      <c r="K259" s="79" t="s">
        <v>1118</v>
      </c>
      <c r="L259" s="7" t="str">
        <f>IF(BudgetsTable[[#This Row],[pi_last_name]]=" ","",HYPERLINK("https://www.ejacket.nsf.gov/ej/showProposal.do?Continue=Y&amp;ID="&amp;BudgetsTable[[#This Row],[prop_id]],BudgetsTable[[#This Row],[prop_id]]))</f>
        <v>1755471</v>
      </c>
      <c r="M259" s="15" t="e">
        <f>IF(BudgetsTable[[#This Row],[pi_last_name]]=" ","",HYPERLINK("https://www.ejacket.nsf.gov/ej/processReviewAnalysis.do?dispatch=add&amp;uniqId="&amp;BudgetsTable[[#This Row],[prop_id]]&amp;PO_id,"&gt;ra"))</f>
        <v>#REF!</v>
      </c>
      <c r="N259" s="79" t="s">
        <v>1119</v>
      </c>
      <c r="O259" s="7" t="str">
        <f>IF(BudgetsTable[[#This Row],[pi_last_name]]=" ","",HYPERLINK("mailto:"&amp;BudgetsTable[[#This Row],[pi_email]]&amp;"&amp;subject=Your NSF Proposal:  "&amp;BudgetsTable[[#This Row],[prop_id]],BudgetsTable[[#This Row],[pi_email]]))</f>
        <v>wtong@georgiasouthern.edu</v>
      </c>
      <c r="P259" s="79" t="s">
        <v>1634</v>
      </c>
      <c r="Q259" s="79"/>
      <c r="R259" s="79"/>
      <c r="S259" s="80"/>
      <c r="T259" s="80"/>
      <c r="U259" s="80"/>
      <c r="V259" s="81"/>
      <c r="W259" s="79">
        <v>0</v>
      </c>
      <c r="X259" s="79"/>
      <c r="Y259" s="11" t="str">
        <f ca="1">IF(ISBLANK(BudgetsTable[[#This Row],[budg_seq_yr]]),"FY"&amp;fiscalyear,"FY"&amp;fiscalyear-1+BudgetsTable[[#This Row],[budg_seq_yr]])</f>
        <v>FY18</v>
      </c>
      <c r="Z259" s="80">
        <v>162689</v>
      </c>
      <c r="AA259" s="79" t="s">
        <v>477</v>
      </c>
      <c r="AB259" s="79" t="s">
        <v>578</v>
      </c>
      <c r="AC259" s="77" t="s">
        <v>94</v>
      </c>
      <c r="AD259" s="79" t="s">
        <v>1631</v>
      </c>
    </row>
    <row r="260" spans="1:30" x14ac:dyDescent="0.4">
      <c r="A260" s="10" t="s">
        <v>1118</v>
      </c>
      <c r="B260" s="77" t="s">
        <v>95</v>
      </c>
      <c r="C260" s="77">
        <f>C259+(BudgetsTable[[#This Row],[lead]]&lt;&gt;K259)</f>
        <v>54</v>
      </c>
      <c r="D260" s="77">
        <f>D259*(BudgetsTable[[#This Row],[lead]]=K259)+(BudgetsTable[[#This Row],[prop_id]]&lt;&gt;A259)</f>
        <v>1</v>
      </c>
      <c r="E260" s="78">
        <v>42954.456944444442</v>
      </c>
      <c r="F260" s="79" t="s">
        <v>1621</v>
      </c>
      <c r="G260" s="79" t="s">
        <v>477</v>
      </c>
      <c r="H260" s="79" t="s">
        <v>578</v>
      </c>
      <c r="I260" s="77" t="s">
        <v>611</v>
      </c>
      <c r="J260" s="77" t="s">
        <v>13</v>
      </c>
      <c r="K260" s="79" t="s">
        <v>1118</v>
      </c>
      <c r="L260" s="7" t="str">
        <f>IF(BudgetsTable[[#This Row],[pi_last_name]]=" ","",HYPERLINK("https://www.ejacket.nsf.gov/ej/showProposal.do?Continue=Y&amp;ID="&amp;BudgetsTable[[#This Row],[prop_id]],BudgetsTable[[#This Row],[prop_id]]))</f>
        <v/>
      </c>
      <c r="M260" s="15" t="str">
        <f>IF(BudgetsTable[[#This Row],[pi_last_name]]=" ","",HYPERLINK("https://www.ejacket.nsf.gov/ej/processReviewAnalysis.do?dispatch=add&amp;uniqId="&amp;BudgetsTable[[#This Row],[prop_id]]&amp;PO_id,"&gt;ra"))</f>
        <v/>
      </c>
      <c r="N260" s="79" t="s">
        <v>13</v>
      </c>
      <c r="O260" s="7" t="str">
        <f>IF(BudgetsTable[[#This Row],[pi_last_name]]=" ","",HYPERLINK("mailto:"&amp;BudgetsTable[[#This Row],[pi_email]]&amp;"&amp;subject=Your NSF Proposal:  "&amp;BudgetsTable[[#This Row],[prop_id]],BudgetsTable[[#This Row],[pi_email]]))</f>
        <v/>
      </c>
      <c r="P260" s="79" t="s">
        <v>13</v>
      </c>
      <c r="Q260" s="79">
        <v>0</v>
      </c>
      <c r="R260" s="79">
        <v>0</v>
      </c>
      <c r="S260" s="80">
        <v>0</v>
      </c>
      <c r="T260" s="80">
        <v>4000</v>
      </c>
      <c r="U260" s="80">
        <v>0</v>
      </c>
      <c r="V260" s="81">
        <v>79936</v>
      </c>
      <c r="W260" s="79">
        <v>0</v>
      </c>
      <c r="X260" s="79">
        <v>1</v>
      </c>
      <c r="Y260" s="11" t="str">
        <f ca="1">IF(ISBLANK(BudgetsTable[[#This Row],[budg_seq_yr]]),"FY"&amp;fiscalyear,"FY"&amp;fiscalyear-1+BudgetsTable[[#This Row],[budg_seq_yr]])</f>
        <v>FY18</v>
      </c>
      <c r="Z260" s="80">
        <v>79936</v>
      </c>
      <c r="AA260" s="79" t="s">
        <v>477</v>
      </c>
      <c r="AB260" s="79" t="s">
        <v>578</v>
      </c>
      <c r="AC260" s="77" t="s">
        <v>94</v>
      </c>
      <c r="AD260" s="79" t="s">
        <v>1631</v>
      </c>
    </row>
    <row r="261" spans="1:30" x14ac:dyDescent="0.4">
      <c r="A261" s="10" t="s">
        <v>1118</v>
      </c>
      <c r="B261" s="77" t="s">
        <v>95</v>
      </c>
      <c r="C261" s="77">
        <f>C260+(BudgetsTable[[#This Row],[lead]]&lt;&gt;K260)</f>
        <v>54</v>
      </c>
      <c r="D261" s="77">
        <f>D260*(BudgetsTable[[#This Row],[lead]]=K260)+(BudgetsTable[[#This Row],[prop_id]]&lt;&gt;A260)</f>
        <v>1</v>
      </c>
      <c r="E261" s="78">
        <v>42954.456944444442</v>
      </c>
      <c r="F261" s="79" t="s">
        <v>1621</v>
      </c>
      <c r="G261" s="79" t="s">
        <v>477</v>
      </c>
      <c r="H261" s="79" t="s">
        <v>578</v>
      </c>
      <c r="I261" s="77" t="s">
        <v>611</v>
      </c>
      <c r="J261" s="77" t="s">
        <v>13</v>
      </c>
      <c r="K261" s="79" t="s">
        <v>1118</v>
      </c>
      <c r="L261" s="7" t="str">
        <f>IF(BudgetsTable[[#This Row],[pi_last_name]]=" ","",HYPERLINK("https://www.ejacket.nsf.gov/ej/showProposal.do?Continue=Y&amp;ID="&amp;BudgetsTable[[#This Row],[prop_id]],BudgetsTable[[#This Row],[prop_id]]))</f>
        <v/>
      </c>
      <c r="M261" s="15" t="str">
        <f>IF(BudgetsTable[[#This Row],[pi_last_name]]=" ","",HYPERLINK("https://www.ejacket.nsf.gov/ej/processReviewAnalysis.do?dispatch=add&amp;uniqId="&amp;BudgetsTable[[#This Row],[prop_id]]&amp;PO_id,"&gt;ra"))</f>
        <v/>
      </c>
      <c r="N261" s="79" t="s">
        <v>13</v>
      </c>
      <c r="O261" s="7" t="str">
        <f>IF(BudgetsTable[[#This Row],[pi_last_name]]=" ","",HYPERLINK("mailto:"&amp;BudgetsTable[[#This Row],[pi_email]]&amp;"&amp;subject=Your NSF Proposal:  "&amp;BudgetsTable[[#This Row],[prop_id]],BudgetsTable[[#This Row],[pi_email]]))</f>
        <v/>
      </c>
      <c r="P261" s="79" t="s">
        <v>13</v>
      </c>
      <c r="Q261" s="79">
        <v>0</v>
      </c>
      <c r="R261" s="79">
        <v>0</v>
      </c>
      <c r="S261" s="80">
        <v>0</v>
      </c>
      <c r="T261" s="80">
        <v>4120</v>
      </c>
      <c r="U261" s="80">
        <v>0</v>
      </c>
      <c r="V261" s="81">
        <v>82753</v>
      </c>
      <c r="W261" s="79">
        <v>0</v>
      </c>
      <c r="X261" s="79">
        <v>2</v>
      </c>
      <c r="Y261" s="11" t="str">
        <f ca="1">IF(ISBLANK(BudgetsTable[[#This Row],[budg_seq_yr]]),"FY"&amp;fiscalyear,"FY"&amp;fiscalyear-1+BudgetsTable[[#This Row],[budg_seq_yr]])</f>
        <v>FY19</v>
      </c>
      <c r="Z261" s="80">
        <v>82753</v>
      </c>
      <c r="AA261" s="79" t="s">
        <v>477</v>
      </c>
      <c r="AB261" s="79" t="s">
        <v>578</v>
      </c>
      <c r="AC261" s="77" t="s">
        <v>94</v>
      </c>
      <c r="AD261" s="79" t="s">
        <v>1631</v>
      </c>
    </row>
    <row r="262" spans="1:30" x14ac:dyDescent="0.4">
      <c r="A262" s="10" t="s">
        <v>1126</v>
      </c>
      <c r="B262" s="77" t="s">
        <v>95</v>
      </c>
      <c r="C262" s="77">
        <f>C261+(BudgetsTable[[#This Row],[lead]]&lt;&gt;K261)</f>
        <v>55</v>
      </c>
      <c r="D262" s="77">
        <f>D261*(BudgetsTable[[#This Row],[lead]]=K261)+(BudgetsTable[[#This Row],[prop_id]]&lt;&gt;A261)</f>
        <v>1</v>
      </c>
      <c r="E262" s="78">
        <v>42954.500694444447</v>
      </c>
      <c r="F262" s="79" t="s">
        <v>1621</v>
      </c>
      <c r="G262" s="79" t="s">
        <v>477</v>
      </c>
      <c r="H262" s="79" t="s">
        <v>578</v>
      </c>
      <c r="I262" s="77" t="s">
        <v>654</v>
      </c>
      <c r="J262" s="77" t="s">
        <v>1641</v>
      </c>
      <c r="K262" s="79" t="s">
        <v>1126</v>
      </c>
      <c r="L262" s="7" t="str">
        <f>IF(BudgetsTable[[#This Row],[pi_last_name]]=" ","",HYPERLINK("https://www.ejacket.nsf.gov/ej/showProposal.do?Continue=Y&amp;ID="&amp;BudgetsTable[[#This Row],[prop_id]],BudgetsTable[[#This Row],[prop_id]]))</f>
        <v>1755481</v>
      </c>
      <c r="M262" s="15" t="e">
        <f>IF(BudgetsTable[[#This Row],[pi_last_name]]=" ","",HYPERLINK("https://www.ejacket.nsf.gov/ej/processReviewAnalysis.do?dispatch=add&amp;uniqId="&amp;BudgetsTable[[#This Row],[prop_id]]&amp;PO_id,"&gt;ra"))</f>
        <v>#REF!</v>
      </c>
      <c r="N262" s="79" t="s">
        <v>631</v>
      </c>
      <c r="O262" s="7" t="str">
        <f>IF(BudgetsTable[[#This Row],[pi_last_name]]=" ","",HYPERLINK("mailto:"&amp;BudgetsTable[[#This Row],[pi_email]]&amp;"&amp;subject=Your NSF Proposal:  "&amp;BudgetsTable[[#This Row],[prop_id]],BudgetsTable[[#This Row],[pi_email]]))</f>
        <v>kwang@georgiasouthern.edu</v>
      </c>
      <c r="P262" s="79" t="s">
        <v>1634</v>
      </c>
      <c r="Q262" s="79"/>
      <c r="R262" s="79"/>
      <c r="S262" s="80"/>
      <c r="T262" s="80"/>
      <c r="U262" s="80"/>
      <c r="V262" s="81"/>
      <c r="W262" s="79">
        <v>0</v>
      </c>
      <c r="X262" s="79"/>
      <c r="Y262" s="11" t="str">
        <f ca="1">IF(ISBLANK(BudgetsTable[[#This Row],[budg_seq_yr]]),"FY"&amp;fiscalyear,"FY"&amp;fiscalyear-1+BudgetsTable[[#This Row],[budg_seq_yr]])</f>
        <v>FY18</v>
      </c>
      <c r="Z262" s="80">
        <v>168126</v>
      </c>
      <c r="AA262" s="79" t="s">
        <v>477</v>
      </c>
      <c r="AB262" s="79" t="s">
        <v>578</v>
      </c>
      <c r="AC262" s="77" t="s">
        <v>94</v>
      </c>
      <c r="AD262" s="79" t="s">
        <v>1631</v>
      </c>
    </row>
    <row r="263" spans="1:30" x14ac:dyDescent="0.4">
      <c r="A263" s="10" t="s">
        <v>1126</v>
      </c>
      <c r="B263" s="77" t="s">
        <v>95</v>
      </c>
      <c r="C263" s="77">
        <f>C262+(BudgetsTable[[#This Row],[lead]]&lt;&gt;K262)</f>
        <v>55</v>
      </c>
      <c r="D263" s="77">
        <f>D262*(BudgetsTable[[#This Row],[lead]]=K262)+(BudgetsTable[[#This Row],[prop_id]]&lt;&gt;A262)</f>
        <v>1</v>
      </c>
      <c r="E263" s="78">
        <v>42954.500694444447</v>
      </c>
      <c r="F263" s="79" t="s">
        <v>1621</v>
      </c>
      <c r="G263" s="79" t="s">
        <v>477</v>
      </c>
      <c r="H263" s="79" t="s">
        <v>578</v>
      </c>
      <c r="I263" s="77" t="s">
        <v>654</v>
      </c>
      <c r="J263" s="77" t="s">
        <v>13</v>
      </c>
      <c r="K263" s="79" t="s">
        <v>1126</v>
      </c>
      <c r="L263" s="7" t="str">
        <f>IF(BudgetsTable[[#This Row],[pi_last_name]]=" ","",HYPERLINK("https://www.ejacket.nsf.gov/ej/showProposal.do?Continue=Y&amp;ID="&amp;BudgetsTable[[#This Row],[prop_id]],BudgetsTable[[#This Row],[prop_id]]))</f>
        <v/>
      </c>
      <c r="M263" s="15" t="str">
        <f>IF(BudgetsTable[[#This Row],[pi_last_name]]=" ","",HYPERLINK("https://www.ejacket.nsf.gov/ej/processReviewAnalysis.do?dispatch=add&amp;uniqId="&amp;BudgetsTable[[#This Row],[prop_id]]&amp;PO_id,"&gt;ra"))</f>
        <v/>
      </c>
      <c r="N263" s="79" t="s">
        <v>13</v>
      </c>
      <c r="O263" s="7" t="str">
        <f>IF(BudgetsTable[[#This Row],[pi_last_name]]=" ","",HYPERLINK("mailto:"&amp;BudgetsTable[[#This Row],[pi_email]]&amp;"&amp;subject=Your NSF Proposal:  "&amp;BudgetsTable[[#This Row],[prop_id]],BudgetsTable[[#This Row],[pi_email]]))</f>
        <v/>
      </c>
      <c r="P263" s="79" t="s">
        <v>13</v>
      </c>
      <c r="Q263" s="79">
        <v>0</v>
      </c>
      <c r="R263" s="79">
        <v>0</v>
      </c>
      <c r="S263" s="80">
        <v>0</v>
      </c>
      <c r="T263" s="80">
        <v>0</v>
      </c>
      <c r="U263" s="80">
        <v>0</v>
      </c>
      <c r="V263" s="81">
        <v>90062</v>
      </c>
      <c r="W263" s="79">
        <v>0</v>
      </c>
      <c r="X263" s="79">
        <v>1</v>
      </c>
      <c r="Y263" s="11" t="str">
        <f ca="1">IF(ISBLANK(BudgetsTable[[#This Row],[budg_seq_yr]]),"FY"&amp;fiscalyear,"FY"&amp;fiscalyear-1+BudgetsTable[[#This Row],[budg_seq_yr]])</f>
        <v>FY18</v>
      </c>
      <c r="Z263" s="80">
        <v>90062</v>
      </c>
      <c r="AA263" s="79" t="s">
        <v>477</v>
      </c>
      <c r="AB263" s="79" t="s">
        <v>578</v>
      </c>
      <c r="AC263" s="77" t="s">
        <v>94</v>
      </c>
      <c r="AD263" s="79" t="s">
        <v>1631</v>
      </c>
    </row>
    <row r="264" spans="1:30" x14ac:dyDescent="0.4">
      <c r="A264" s="10" t="s">
        <v>1126</v>
      </c>
      <c r="B264" s="77" t="s">
        <v>95</v>
      </c>
      <c r="C264" s="77">
        <f>C263+(BudgetsTable[[#This Row],[lead]]&lt;&gt;K263)</f>
        <v>55</v>
      </c>
      <c r="D264" s="77">
        <f>D263*(BudgetsTable[[#This Row],[lead]]=K263)+(BudgetsTable[[#This Row],[prop_id]]&lt;&gt;A263)</f>
        <v>1</v>
      </c>
      <c r="E264" s="78">
        <v>42954.500694444447</v>
      </c>
      <c r="F264" s="79" t="s">
        <v>1621</v>
      </c>
      <c r="G264" s="79" t="s">
        <v>477</v>
      </c>
      <c r="H264" s="79" t="s">
        <v>578</v>
      </c>
      <c r="I264" s="77" t="s">
        <v>654</v>
      </c>
      <c r="J264" s="77" t="s">
        <v>13</v>
      </c>
      <c r="K264" s="79" t="s">
        <v>1126</v>
      </c>
      <c r="L264" s="7" t="str">
        <f>IF(BudgetsTable[[#This Row],[pi_last_name]]=" ","",HYPERLINK("https://www.ejacket.nsf.gov/ej/showProposal.do?Continue=Y&amp;ID="&amp;BudgetsTable[[#This Row],[prop_id]],BudgetsTable[[#This Row],[prop_id]]))</f>
        <v/>
      </c>
      <c r="M264" s="15" t="str">
        <f>IF(BudgetsTable[[#This Row],[pi_last_name]]=" ","",HYPERLINK("https://www.ejacket.nsf.gov/ej/processReviewAnalysis.do?dispatch=add&amp;uniqId="&amp;BudgetsTable[[#This Row],[prop_id]]&amp;PO_id,"&gt;ra"))</f>
        <v/>
      </c>
      <c r="N264" s="79" t="s">
        <v>13</v>
      </c>
      <c r="O264" s="7" t="str">
        <f>IF(BudgetsTable[[#This Row],[pi_last_name]]=" ","",HYPERLINK("mailto:"&amp;BudgetsTable[[#This Row],[pi_email]]&amp;"&amp;subject=Your NSF Proposal:  "&amp;BudgetsTable[[#This Row],[prop_id]],BudgetsTable[[#This Row],[pi_email]]))</f>
        <v/>
      </c>
      <c r="P264" s="79" t="s">
        <v>13</v>
      </c>
      <c r="Q264" s="79">
        <v>0</v>
      </c>
      <c r="R264" s="79">
        <v>0</v>
      </c>
      <c r="S264" s="80">
        <v>0</v>
      </c>
      <c r="T264" s="80">
        <v>0</v>
      </c>
      <c r="U264" s="80">
        <v>0</v>
      </c>
      <c r="V264" s="81">
        <v>78064</v>
      </c>
      <c r="W264" s="79">
        <v>0</v>
      </c>
      <c r="X264" s="79">
        <v>2</v>
      </c>
      <c r="Y264" s="11" t="str">
        <f ca="1">IF(ISBLANK(BudgetsTable[[#This Row],[budg_seq_yr]]),"FY"&amp;fiscalyear,"FY"&amp;fiscalyear-1+BudgetsTable[[#This Row],[budg_seq_yr]])</f>
        <v>FY19</v>
      </c>
      <c r="Z264" s="80">
        <v>78064</v>
      </c>
      <c r="AA264" s="79" t="s">
        <v>477</v>
      </c>
      <c r="AB264" s="79" t="s">
        <v>578</v>
      </c>
      <c r="AC264" s="77" t="s">
        <v>94</v>
      </c>
      <c r="AD264" s="79" t="s">
        <v>1631</v>
      </c>
    </row>
    <row r="265" spans="1:30" x14ac:dyDescent="0.4">
      <c r="A265" s="10" t="s">
        <v>1133</v>
      </c>
      <c r="B265" s="77" t="s">
        <v>95</v>
      </c>
      <c r="C265" s="77">
        <f>C264+(BudgetsTable[[#This Row],[lead]]&lt;&gt;K264)</f>
        <v>56</v>
      </c>
      <c r="D265" s="77">
        <f>D264*(BudgetsTable[[#This Row],[lead]]=K264)+(BudgetsTable[[#This Row],[prop_id]]&lt;&gt;A264)</f>
        <v>1</v>
      </c>
      <c r="E265" s="78">
        <v>42955.429861111108</v>
      </c>
      <c r="F265" s="79" t="s">
        <v>1621</v>
      </c>
      <c r="G265" s="79" t="s">
        <v>477</v>
      </c>
      <c r="H265" s="79" t="s">
        <v>578</v>
      </c>
      <c r="I265" s="77" t="s">
        <v>654</v>
      </c>
      <c r="J265" s="77" t="s">
        <v>1645</v>
      </c>
      <c r="K265" s="79" t="s">
        <v>1133</v>
      </c>
      <c r="L265" s="7" t="str">
        <f>IF(BudgetsTable[[#This Row],[pi_last_name]]=" ","",HYPERLINK("https://www.ejacket.nsf.gov/ej/showProposal.do?Continue=Y&amp;ID="&amp;BudgetsTable[[#This Row],[prop_id]],BudgetsTable[[#This Row],[prop_id]]))</f>
        <v>1755548</v>
      </c>
      <c r="M265" s="15" t="e">
        <f>IF(BudgetsTable[[#This Row],[pi_last_name]]=" ","",HYPERLINK("https://www.ejacket.nsf.gov/ej/processReviewAnalysis.do?dispatch=add&amp;uniqId="&amp;BudgetsTable[[#This Row],[prop_id]]&amp;PO_id,"&gt;ra"))</f>
        <v>#REF!</v>
      </c>
      <c r="N265" s="79" t="s">
        <v>1134</v>
      </c>
      <c r="O265" s="7" t="str">
        <f>IF(BudgetsTable[[#This Row],[pi_last_name]]=" ","",HYPERLINK("mailto:"&amp;BudgetsTable[[#This Row],[pi_email]]&amp;"&amp;subject=Your NSF Proposal:  "&amp;BudgetsTable[[#This Row],[prop_id]],BudgetsTable[[#This Row],[pi_email]]))</f>
        <v>yzhoucs@indiana.edu</v>
      </c>
      <c r="P265" s="79" t="s">
        <v>566</v>
      </c>
      <c r="Q265" s="79"/>
      <c r="R265" s="79"/>
      <c r="S265" s="80"/>
      <c r="T265" s="80"/>
      <c r="U265" s="80"/>
      <c r="V265" s="81"/>
      <c r="W265" s="79">
        <v>0</v>
      </c>
      <c r="X265" s="79"/>
      <c r="Y265" s="11" t="str">
        <f ca="1">IF(ISBLANK(BudgetsTable[[#This Row],[budg_seq_yr]]),"FY"&amp;fiscalyear,"FY"&amp;fiscalyear-1+BudgetsTable[[#This Row],[budg_seq_yr]])</f>
        <v>FY18</v>
      </c>
      <c r="Z265" s="80">
        <v>174974</v>
      </c>
      <c r="AA265" s="79" t="s">
        <v>477</v>
      </c>
      <c r="AB265" s="79" t="s">
        <v>578</v>
      </c>
      <c r="AC265" s="77" t="s">
        <v>94</v>
      </c>
      <c r="AD265" s="79" t="s">
        <v>1631</v>
      </c>
    </row>
    <row r="266" spans="1:30" x14ac:dyDescent="0.4">
      <c r="A266" s="10" t="s">
        <v>1133</v>
      </c>
      <c r="B266" s="77" t="s">
        <v>95</v>
      </c>
      <c r="C266" s="77">
        <f>C265+(BudgetsTable[[#This Row],[lead]]&lt;&gt;K265)</f>
        <v>56</v>
      </c>
      <c r="D266" s="77">
        <f>D265*(BudgetsTable[[#This Row],[lead]]=K265)+(BudgetsTable[[#This Row],[prop_id]]&lt;&gt;A265)</f>
        <v>1</v>
      </c>
      <c r="E266" s="78">
        <v>42955.429861111108</v>
      </c>
      <c r="F266" s="79" t="s">
        <v>1621</v>
      </c>
      <c r="G266" s="79" t="s">
        <v>477</v>
      </c>
      <c r="H266" s="79" t="s">
        <v>578</v>
      </c>
      <c r="I266" s="77" t="s">
        <v>654</v>
      </c>
      <c r="J266" s="77" t="s">
        <v>13</v>
      </c>
      <c r="K266" s="79" t="s">
        <v>1133</v>
      </c>
      <c r="L266" s="7" t="str">
        <f>IF(BudgetsTable[[#This Row],[pi_last_name]]=" ","",HYPERLINK("https://www.ejacket.nsf.gov/ej/showProposal.do?Continue=Y&amp;ID="&amp;BudgetsTable[[#This Row],[prop_id]],BudgetsTable[[#This Row],[prop_id]]))</f>
        <v/>
      </c>
      <c r="M266" s="15" t="str">
        <f>IF(BudgetsTable[[#This Row],[pi_last_name]]=" ","",HYPERLINK("https://www.ejacket.nsf.gov/ej/processReviewAnalysis.do?dispatch=add&amp;uniqId="&amp;BudgetsTable[[#This Row],[prop_id]]&amp;PO_id,"&gt;ra"))</f>
        <v/>
      </c>
      <c r="N266" s="79" t="s">
        <v>13</v>
      </c>
      <c r="O266" s="7" t="str">
        <f>IF(BudgetsTable[[#This Row],[pi_last_name]]=" ","",HYPERLINK("mailto:"&amp;BudgetsTable[[#This Row],[pi_email]]&amp;"&amp;subject=Your NSF Proposal:  "&amp;BudgetsTable[[#This Row],[prop_id]],BudgetsTable[[#This Row],[pi_email]]))</f>
        <v/>
      </c>
      <c r="P266" s="79" t="s">
        <v>13</v>
      </c>
      <c r="Q266" s="79">
        <v>0</v>
      </c>
      <c r="R266" s="79">
        <v>0</v>
      </c>
      <c r="S266" s="80">
        <v>0</v>
      </c>
      <c r="T266" s="80">
        <v>4200</v>
      </c>
      <c r="U266" s="80">
        <v>0</v>
      </c>
      <c r="V266" s="81">
        <v>63411</v>
      </c>
      <c r="W266" s="79">
        <v>0</v>
      </c>
      <c r="X266" s="79">
        <v>1</v>
      </c>
      <c r="Y266" s="11" t="str">
        <f ca="1">IF(ISBLANK(BudgetsTable[[#This Row],[budg_seq_yr]]),"FY"&amp;fiscalyear,"FY"&amp;fiscalyear-1+BudgetsTable[[#This Row],[budg_seq_yr]])</f>
        <v>FY18</v>
      </c>
      <c r="Z266" s="80">
        <v>63411</v>
      </c>
      <c r="AA266" s="79" t="s">
        <v>477</v>
      </c>
      <c r="AB266" s="79" t="s">
        <v>578</v>
      </c>
      <c r="AC266" s="77" t="s">
        <v>94</v>
      </c>
      <c r="AD266" s="79" t="s">
        <v>1631</v>
      </c>
    </row>
    <row r="267" spans="1:30" x14ac:dyDescent="0.4">
      <c r="A267" s="10" t="s">
        <v>1133</v>
      </c>
      <c r="B267" s="77" t="s">
        <v>95</v>
      </c>
      <c r="C267" s="77">
        <f>C266+(BudgetsTable[[#This Row],[lead]]&lt;&gt;K266)</f>
        <v>56</v>
      </c>
      <c r="D267" s="77">
        <f>D266*(BudgetsTable[[#This Row],[lead]]=K266)+(BudgetsTable[[#This Row],[prop_id]]&lt;&gt;A266)</f>
        <v>1</v>
      </c>
      <c r="E267" s="78">
        <v>42955.429861111108</v>
      </c>
      <c r="F267" s="79" t="s">
        <v>1621</v>
      </c>
      <c r="G267" s="79" t="s">
        <v>477</v>
      </c>
      <c r="H267" s="79" t="s">
        <v>578</v>
      </c>
      <c r="I267" s="77" t="s">
        <v>654</v>
      </c>
      <c r="J267" s="77" t="s">
        <v>13</v>
      </c>
      <c r="K267" s="79" t="s">
        <v>1133</v>
      </c>
      <c r="L267" s="7" t="str">
        <f>IF(BudgetsTable[[#This Row],[pi_last_name]]=" ","",HYPERLINK("https://www.ejacket.nsf.gov/ej/showProposal.do?Continue=Y&amp;ID="&amp;BudgetsTable[[#This Row],[prop_id]],BudgetsTable[[#This Row],[prop_id]]))</f>
        <v/>
      </c>
      <c r="M267" s="15" t="str">
        <f>IF(BudgetsTable[[#This Row],[pi_last_name]]=" ","",HYPERLINK("https://www.ejacket.nsf.gov/ej/processReviewAnalysis.do?dispatch=add&amp;uniqId="&amp;BudgetsTable[[#This Row],[prop_id]]&amp;PO_id,"&gt;ra"))</f>
        <v/>
      </c>
      <c r="N267" s="79" t="s">
        <v>13</v>
      </c>
      <c r="O267" s="7" t="str">
        <f>IF(BudgetsTable[[#This Row],[pi_last_name]]=" ","",HYPERLINK("mailto:"&amp;BudgetsTable[[#This Row],[pi_email]]&amp;"&amp;subject=Your NSF Proposal:  "&amp;BudgetsTable[[#This Row],[prop_id]],BudgetsTable[[#This Row],[pi_email]]))</f>
        <v/>
      </c>
      <c r="P267" s="79" t="s">
        <v>13</v>
      </c>
      <c r="Q267" s="79">
        <v>0</v>
      </c>
      <c r="R267" s="79">
        <v>0</v>
      </c>
      <c r="S267" s="80">
        <v>0</v>
      </c>
      <c r="T267" s="80">
        <v>4200</v>
      </c>
      <c r="U267" s="80">
        <v>0</v>
      </c>
      <c r="V267" s="81">
        <v>111563</v>
      </c>
      <c r="W267" s="79">
        <v>0</v>
      </c>
      <c r="X267" s="79">
        <v>2</v>
      </c>
      <c r="Y267" s="11" t="str">
        <f ca="1">IF(ISBLANK(BudgetsTable[[#This Row],[budg_seq_yr]]),"FY"&amp;fiscalyear,"FY"&amp;fiscalyear-1+BudgetsTable[[#This Row],[budg_seq_yr]])</f>
        <v>FY19</v>
      </c>
      <c r="Z267" s="80">
        <v>111563</v>
      </c>
      <c r="AA267" s="79" t="s">
        <v>477</v>
      </c>
      <c r="AB267" s="79" t="s">
        <v>578</v>
      </c>
      <c r="AC267" s="77" t="s">
        <v>94</v>
      </c>
      <c r="AD267" s="79" t="s">
        <v>1631</v>
      </c>
    </row>
    <row r="268" spans="1:30" x14ac:dyDescent="0.4">
      <c r="A268" s="10" t="s">
        <v>1141</v>
      </c>
      <c r="B268" s="77" t="s">
        <v>95</v>
      </c>
      <c r="C268" s="77">
        <f>C267+(BudgetsTable[[#This Row],[lead]]&lt;&gt;K267)</f>
        <v>57</v>
      </c>
      <c r="D268" s="77">
        <f>D267*(BudgetsTable[[#This Row],[lead]]=K267)+(BudgetsTable[[#This Row],[prop_id]]&lt;&gt;A267)</f>
        <v>1</v>
      </c>
      <c r="E268" s="78">
        <v>42955.700694444444</v>
      </c>
      <c r="F268" s="79" t="s">
        <v>1621</v>
      </c>
      <c r="G268" s="79" t="s">
        <v>477</v>
      </c>
      <c r="H268" s="79" t="s">
        <v>578</v>
      </c>
      <c r="I268" s="77" t="s">
        <v>611</v>
      </c>
      <c r="J268" s="77" t="s">
        <v>1650</v>
      </c>
      <c r="K268" s="79" t="s">
        <v>1141</v>
      </c>
      <c r="L268" s="7" t="str">
        <f>IF(BudgetsTable[[#This Row],[pi_last_name]]=" ","",HYPERLINK("https://www.ejacket.nsf.gov/ej/showProposal.do?Continue=Y&amp;ID="&amp;BudgetsTable[[#This Row],[prop_id]],BudgetsTable[[#This Row],[prop_id]]))</f>
        <v>1755619</v>
      </c>
      <c r="M268" s="15" t="e">
        <f>IF(BudgetsTable[[#This Row],[pi_last_name]]=" ","",HYPERLINK("https://www.ejacket.nsf.gov/ej/processReviewAnalysis.do?dispatch=add&amp;uniqId="&amp;BudgetsTable[[#This Row],[prop_id]]&amp;PO_id,"&gt;ra"))</f>
        <v>#REF!</v>
      </c>
      <c r="N268" s="79" t="s">
        <v>965</v>
      </c>
      <c r="O268" s="7" t="str">
        <f>IF(BudgetsTable[[#This Row],[pi_last_name]]=" ","",HYPERLINK("mailto:"&amp;BudgetsTable[[#This Row],[pi_email]]&amp;"&amp;subject=Your NSF Proposal:  "&amp;BudgetsTable[[#This Row],[prop_id]],BudgetsTable[[#This Row],[pi_email]]))</f>
        <v>jugal@illinois.edu</v>
      </c>
      <c r="P268" s="79" t="s">
        <v>1477</v>
      </c>
      <c r="Q268" s="79"/>
      <c r="R268" s="79"/>
      <c r="S268" s="80"/>
      <c r="T268" s="80"/>
      <c r="U268" s="80"/>
      <c r="V268" s="81"/>
      <c r="W268" s="79">
        <v>0</v>
      </c>
      <c r="X268" s="79"/>
      <c r="Y268" s="11" t="str">
        <f ca="1">IF(ISBLANK(BudgetsTable[[#This Row],[budg_seq_yr]]),"FY"&amp;fiscalyear,"FY"&amp;fiscalyear-1+BudgetsTable[[#This Row],[budg_seq_yr]])</f>
        <v>FY18</v>
      </c>
      <c r="Z268" s="80">
        <v>175000</v>
      </c>
      <c r="AA268" s="79" t="s">
        <v>477</v>
      </c>
      <c r="AB268" s="79" t="s">
        <v>578</v>
      </c>
      <c r="AC268" s="77" t="s">
        <v>94</v>
      </c>
      <c r="AD268" s="79" t="s">
        <v>1646</v>
      </c>
    </row>
    <row r="269" spans="1:30" x14ac:dyDescent="0.4">
      <c r="A269" s="10" t="s">
        <v>1141</v>
      </c>
      <c r="B269" s="77" t="s">
        <v>95</v>
      </c>
      <c r="C269" s="77">
        <f>C268+(BudgetsTable[[#This Row],[lead]]&lt;&gt;K268)</f>
        <v>57</v>
      </c>
      <c r="D269" s="77">
        <f>D268*(BudgetsTable[[#This Row],[lead]]=K268)+(BudgetsTable[[#This Row],[prop_id]]&lt;&gt;A268)</f>
        <v>1</v>
      </c>
      <c r="E269" s="78">
        <v>42955.700694444444</v>
      </c>
      <c r="F269" s="79" t="s">
        <v>1621</v>
      </c>
      <c r="G269" s="79" t="s">
        <v>477</v>
      </c>
      <c r="H269" s="79" t="s">
        <v>578</v>
      </c>
      <c r="I269" s="77" t="s">
        <v>611</v>
      </c>
      <c r="J269" s="77" t="s">
        <v>13</v>
      </c>
      <c r="K269" s="79" t="s">
        <v>1141</v>
      </c>
      <c r="L269" s="7" t="str">
        <f>IF(BudgetsTable[[#This Row],[pi_last_name]]=" ","",HYPERLINK("https://www.ejacket.nsf.gov/ej/showProposal.do?Continue=Y&amp;ID="&amp;BudgetsTable[[#This Row],[prop_id]],BudgetsTable[[#This Row],[prop_id]]))</f>
        <v/>
      </c>
      <c r="M269" s="15" t="str">
        <f>IF(BudgetsTable[[#This Row],[pi_last_name]]=" ","",HYPERLINK("https://www.ejacket.nsf.gov/ej/processReviewAnalysis.do?dispatch=add&amp;uniqId="&amp;BudgetsTable[[#This Row],[prop_id]]&amp;PO_id,"&gt;ra"))</f>
        <v/>
      </c>
      <c r="N269" s="79" t="s">
        <v>13</v>
      </c>
      <c r="O269" s="7" t="str">
        <f>IF(BudgetsTable[[#This Row],[pi_last_name]]=" ","",HYPERLINK("mailto:"&amp;BudgetsTable[[#This Row],[pi_email]]&amp;"&amp;subject=Your NSF Proposal:  "&amp;BudgetsTable[[#This Row],[prop_id]],BudgetsTable[[#This Row],[pi_email]]))</f>
        <v/>
      </c>
      <c r="P269" s="79" t="s">
        <v>13</v>
      </c>
      <c r="Q269" s="79">
        <v>0</v>
      </c>
      <c r="R269" s="79">
        <v>0</v>
      </c>
      <c r="S269" s="80">
        <v>0</v>
      </c>
      <c r="T269" s="80">
        <v>2000</v>
      </c>
      <c r="U269" s="80">
        <v>0</v>
      </c>
      <c r="V269" s="81">
        <v>86350</v>
      </c>
      <c r="W269" s="79">
        <v>0</v>
      </c>
      <c r="X269" s="79">
        <v>1</v>
      </c>
      <c r="Y269" s="11" t="str">
        <f ca="1">IF(ISBLANK(BudgetsTable[[#This Row],[budg_seq_yr]]),"FY"&amp;fiscalyear,"FY"&amp;fiscalyear-1+BudgetsTable[[#This Row],[budg_seq_yr]])</f>
        <v>FY18</v>
      </c>
      <c r="Z269" s="80">
        <v>86350</v>
      </c>
      <c r="AA269" s="79" t="s">
        <v>477</v>
      </c>
      <c r="AB269" s="79" t="s">
        <v>578</v>
      </c>
      <c r="AC269" s="77" t="s">
        <v>94</v>
      </c>
      <c r="AD269" s="79" t="s">
        <v>1646</v>
      </c>
    </row>
    <row r="270" spans="1:30" x14ac:dyDescent="0.4">
      <c r="A270" s="10" t="s">
        <v>1141</v>
      </c>
      <c r="B270" s="77" t="s">
        <v>95</v>
      </c>
      <c r="C270" s="77">
        <f>C269+(BudgetsTable[[#This Row],[lead]]&lt;&gt;K269)</f>
        <v>57</v>
      </c>
      <c r="D270" s="77">
        <f>D269*(BudgetsTable[[#This Row],[lead]]=K269)+(BudgetsTable[[#This Row],[prop_id]]&lt;&gt;A269)</f>
        <v>1</v>
      </c>
      <c r="E270" s="78">
        <v>42955.700694444444</v>
      </c>
      <c r="F270" s="79" t="s">
        <v>1621</v>
      </c>
      <c r="G270" s="79" t="s">
        <v>477</v>
      </c>
      <c r="H270" s="79" t="s">
        <v>578</v>
      </c>
      <c r="I270" s="77" t="s">
        <v>611</v>
      </c>
      <c r="J270" s="77" t="s">
        <v>13</v>
      </c>
      <c r="K270" s="79" t="s">
        <v>1141</v>
      </c>
      <c r="L270" s="7" t="str">
        <f>IF(BudgetsTable[[#This Row],[pi_last_name]]=" ","",HYPERLINK("https://www.ejacket.nsf.gov/ej/showProposal.do?Continue=Y&amp;ID="&amp;BudgetsTable[[#This Row],[prop_id]],BudgetsTable[[#This Row],[prop_id]]))</f>
        <v/>
      </c>
      <c r="M270" s="15" t="str">
        <f>IF(BudgetsTable[[#This Row],[pi_last_name]]=" ","",HYPERLINK("https://www.ejacket.nsf.gov/ej/processReviewAnalysis.do?dispatch=add&amp;uniqId="&amp;BudgetsTable[[#This Row],[prop_id]]&amp;PO_id,"&gt;ra"))</f>
        <v/>
      </c>
      <c r="N270" s="79" t="s">
        <v>13</v>
      </c>
      <c r="O270" s="7" t="str">
        <f>IF(BudgetsTable[[#This Row],[pi_last_name]]=" ","",HYPERLINK("mailto:"&amp;BudgetsTable[[#This Row],[pi_email]]&amp;"&amp;subject=Your NSF Proposal:  "&amp;BudgetsTable[[#This Row],[prop_id]],BudgetsTable[[#This Row],[pi_email]]))</f>
        <v/>
      </c>
      <c r="P270" s="79" t="s">
        <v>13</v>
      </c>
      <c r="Q270" s="79">
        <v>0</v>
      </c>
      <c r="R270" s="79">
        <v>0</v>
      </c>
      <c r="S270" s="80">
        <v>0</v>
      </c>
      <c r="T270" s="80">
        <v>2000</v>
      </c>
      <c r="U270" s="80">
        <v>0</v>
      </c>
      <c r="V270" s="81">
        <v>88650</v>
      </c>
      <c r="W270" s="79">
        <v>0</v>
      </c>
      <c r="X270" s="79">
        <v>2</v>
      </c>
      <c r="Y270" s="11" t="str">
        <f ca="1">IF(ISBLANK(BudgetsTable[[#This Row],[budg_seq_yr]]),"FY"&amp;fiscalyear,"FY"&amp;fiscalyear-1+BudgetsTable[[#This Row],[budg_seq_yr]])</f>
        <v>FY19</v>
      </c>
      <c r="Z270" s="80">
        <v>88650</v>
      </c>
      <c r="AA270" s="79" t="s">
        <v>477</v>
      </c>
      <c r="AB270" s="79" t="s">
        <v>578</v>
      </c>
      <c r="AC270" s="77" t="s">
        <v>94</v>
      </c>
      <c r="AD270" s="79" t="s">
        <v>1646</v>
      </c>
    </row>
    <row r="271" spans="1:30" x14ac:dyDescent="0.4">
      <c r="A271" s="10" t="s">
        <v>2044</v>
      </c>
      <c r="B271" s="77" t="s">
        <v>95</v>
      </c>
      <c r="C271" s="77">
        <f>C270+(BudgetsTable[[#This Row],[lead]]&lt;&gt;K270)</f>
        <v>58</v>
      </c>
      <c r="D271" s="77">
        <f>D270*(BudgetsTable[[#This Row],[lead]]=K270)+(BudgetsTable[[#This Row],[prop_id]]&lt;&gt;A270)</f>
        <v>1</v>
      </c>
      <c r="E271" s="78">
        <v>42956.439583333333</v>
      </c>
      <c r="F271" s="79" t="s">
        <v>1621</v>
      </c>
      <c r="G271" s="79" t="s">
        <v>1622</v>
      </c>
      <c r="H271" s="79" t="s">
        <v>580</v>
      </c>
      <c r="I271" s="77" t="s">
        <v>2046</v>
      </c>
      <c r="J271" s="77" t="s">
        <v>2078</v>
      </c>
      <c r="K271" s="79" t="s">
        <v>2044</v>
      </c>
      <c r="L271" s="7" t="str">
        <f>IF(BudgetsTable[[#This Row],[pi_last_name]]=" ","",HYPERLINK("https://www.ejacket.nsf.gov/ej/showProposal.do?Continue=Y&amp;ID="&amp;BudgetsTable[[#This Row],[prop_id]],BudgetsTable[[#This Row],[prop_id]]))</f>
        <v>1755679</v>
      </c>
      <c r="M271" s="15" t="e">
        <f>IF(BudgetsTable[[#This Row],[pi_last_name]]=" ","",HYPERLINK("https://www.ejacket.nsf.gov/ej/processReviewAnalysis.do?dispatch=add&amp;uniqId="&amp;BudgetsTable[[#This Row],[prop_id]]&amp;PO_id,"&gt;ra"))</f>
        <v>#REF!</v>
      </c>
      <c r="N271" s="79" t="s">
        <v>2045</v>
      </c>
      <c r="O271" s="7" t="str">
        <f>IF(BudgetsTable[[#This Row],[pi_last_name]]=" ","",HYPERLINK("mailto:"&amp;BudgetsTable[[#This Row],[pi_email]]&amp;"&amp;subject=Your NSF Proposal:  "&amp;BudgetsTable[[#This Row],[prop_id]],BudgetsTable[[#This Row],[pi_email]]))</f>
        <v>feifang@cmu.edu</v>
      </c>
      <c r="P271" s="79" t="s">
        <v>497</v>
      </c>
      <c r="Q271" s="79"/>
      <c r="R271" s="79"/>
      <c r="S271" s="80"/>
      <c r="T271" s="80"/>
      <c r="U271" s="80"/>
      <c r="V271" s="81"/>
      <c r="W271" s="79">
        <v>0</v>
      </c>
      <c r="X271" s="79"/>
      <c r="Y271" s="11" t="str">
        <f ca="1">IF(ISBLANK(BudgetsTable[[#This Row],[budg_seq_yr]]),"FY"&amp;fiscalyear,"FY"&amp;fiscalyear-1+BudgetsTable[[#This Row],[budg_seq_yr]])</f>
        <v>FY18</v>
      </c>
      <c r="Z271" s="80">
        <v>175000</v>
      </c>
      <c r="AA271" s="79" t="s">
        <v>1622</v>
      </c>
      <c r="AB271" s="79" t="s">
        <v>580</v>
      </c>
      <c r="AC271" s="77" t="s">
        <v>94</v>
      </c>
      <c r="AD271" s="79" t="s">
        <v>1624</v>
      </c>
    </row>
    <row r="272" spans="1:30" x14ac:dyDescent="0.4">
      <c r="A272" s="10" t="s">
        <v>2044</v>
      </c>
      <c r="B272" s="77" t="s">
        <v>95</v>
      </c>
      <c r="C272" s="77">
        <f>C271+(BudgetsTable[[#This Row],[lead]]&lt;&gt;K271)</f>
        <v>58</v>
      </c>
      <c r="D272" s="77">
        <f>D271*(BudgetsTable[[#This Row],[lead]]=K271)+(BudgetsTable[[#This Row],[prop_id]]&lt;&gt;A271)</f>
        <v>1</v>
      </c>
      <c r="E272" s="78">
        <v>42956.439583333333</v>
      </c>
      <c r="F272" s="79" t="s">
        <v>1621</v>
      </c>
      <c r="G272" s="79" t="s">
        <v>1622</v>
      </c>
      <c r="H272" s="79" t="s">
        <v>580</v>
      </c>
      <c r="I272" s="77" t="s">
        <v>2046</v>
      </c>
      <c r="J272" s="77" t="s">
        <v>13</v>
      </c>
      <c r="K272" s="79" t="s">
        <v>2044</v>
      </c>
      <c r="L272" s="7" t="str">
        <f>IF(BudgetsTable[[#This Row],[pi_last_name]]=" ","",HYPERLINK("https://www.ejacket.nsf.gov/ej/showProposal.do?Continue=Y&amp;ID="&amp;BudgetsTable[[#This Row],[prop_id]],BudgetsTable[[#This Row],[prop_id]]))</f>
        <v/>
      </c>
      <c r="M272" s="15" t="str">
        <f>IF(BudgetsTable[[#This Row],[pi_last_name]]=" ","",HYPERLINK("https://www.ejacket.nsf.gov/ej/processReviewAnalysis.do?dispatch=add&amp;uniqId="&amp;BudgetsTable[[#This Row],[prop_id]]&amp;PO_id,"&gt;ra"))</f>
        <v/>
      </c>
      <c r="N272" s="79" t="s">
        <v>13</v>
      </c>
      <c r="O272" s="7" t="str">
        <f>IF(BudgetsTable[[#This Row],[pi_last_name]]=" ","",HYPERLINK("mailto:"&amp;BudgetsTable[[#This Row],[pi_email]]&amp;"&amp;subject=Your NSF Proposal:  "&amp;BudgetsTable[[#This Row],[prop_id]],BudgetsTable[[#This Row],[pi_email]]))</f>
        <v/>
      </c>
      <c r="P272" s="79" t="s">
        <v>13</v>
      </c>
      <c r="Q272" s="79">
        <v>0</v>
      </c>
      <c r="R272" s="79">
        <v>0</v>
      </c>
      <c r="S272" s="80">
        <v>0</v>
      </c>
      <c r="T272" s="80">
        <v>3832</v>
      </c>
      <c r="U272" s="80">
        <v>0</v>
      </c>
      <c r="V272" s="81">
        <v>85602</v>
      </c>
      <c r="W272" s="79">
        <v>0</v>
      </c>
      <c r="X272" s="79">
        <v>1</v>
      </c>
      <c r="Y272" s="11" t="str">
        <f ca="1">IF(ISBLANK(BudgetsTable[[#This Row],[budg_seq_yr]]),"FY"&amp;fiscalyear,"FY"&amp;fiscalyear-1+BudgetsTable[[#This Row],[budg_seq_yr]])</f>
        <v>FY18</v>
      </c>
      <c r="Z272" s="80">
        <v>85602</v>
      </c>
      <c r="AA272" s="79" t="s">
        <v>1622</v>
      </c>
      <c r="AB272" s="79" t="s">
        <v>580</v>
      </c>
      <c r="AC272" s="77" t="s">
        <v>94</v>
      </c>
      <c r="AD272" s="79" t="s">
        <v>1624</v>
      </c>
    </row>
    <row r="273" spans="1:30" x14ac:dyDescent="0.4">
      <c r="A273" s="10" t="s">
        <v>2044</v>
      </c>
      <c r="B273" s="77" t="s">
        <v>95</v>
      </c>
      <c r="C273" s="77">
        <f>C272+(BudgetsTable[[#This Row],[lead]]&lt;&gt;K272)</f>
        <v>58</v>
      </c>
      <c r="D273" s="77">
        <f>D272*(BudgetsTable[[#This Row],[lead]]=K272)+(BudgetsTable[[#This Row],[prop_id]]&lt;&gt;A272)</f>
        <v>1</v>
      </c>
      <c r="E273" s="78">
        <v>42956.439583333333</v>
      </c>
      <c r="F273" s="79" t="s">
        <v>1621</v>
      </c>
      <c r="G273" s="79" t="s">
        <v>1622</v>
      </c>
      <c r="H273" s="79" t="s">
        <v>580</v>
      </c>
      <c r="I273" s="77" t="s">
        <v>2046</v>
      </c>
      <c r="J273" s="77" t="s">
        <v>13</v>
      </c>
      <c r="K273" s="79" t="s">
        <v>2044</v>
      </c>
      <c r="L273" s="7" t="str">
        <f>IF(BudgetsTable[[#This Row],[pi_last_name]]=" ","",HYPERLINK("https://www.ejacket.nsf.gov/ej/showProposal.do?Continue=Y&amp;ID="&amp;BudgetsTable[[#This Row],[prop_id]],BudgetsTable[[#This Row],[prop_id]]))</f>
        <v/>
      </c>
      <c r="M273" s="15" t="str">
        <f>IF(BudgetsTable[[#This Row],[pi_last_name]]=" ","",HYPERLINK("https://www.ejacket.nsf.gov/ej/processReviewAnalysis.do?dispatch=add&amp;uniqId="&amp;BudgetsTable[[#This Row],[prop_id]]&amp;PO_id,"&gt;ra"))</f>
        <v/>
      </c>
      <c r="N273" s="79" t="s">
        <v>13</v>
      </c>
      <c r="O273" s="7" t="str">
        <f>IF(BudgetsTable[[#This Row],[pi_last_name]]=" ","",HYPERLINK("mailto:"&amp;BudgetsTable[[#This Row],[pi_email]]&amp;"&amp;subject=Your NSF Proposal:  "&amp;BudgetsTable[[#This Row],[prop_id]],BudgetsTable[[#This Row],[pi_email]]))</f>
        <v/>
      </c>
      <c r="P273" s="79" t="s">
        <v>13</v>
      </c>
      <c r="Q273" s="79">
        <v>0</v>
      </c>
      <c r="R273" s="79">
        <v>0</v>
      </c>
      <c r="S273" s="80">
        <v>0</v>
      </c>
      <c r="T273" s="80">
        <v>3966</v>
      </c>
      <c r="U273" s="80">
        <v>0</v>
      </c>
      <c r="V273" s="81">
        <v>89398</v>
      </c>
      <c r="W273" s="79">
        <v>0</v>
      </c>
      <c r="X273" s="79">
        <v>2</v>
      </c>
      <c r="Y273" s="11" t="str">
        <f ca="1">IF(ISBLANK(BudgetsTable[[#This Row],[budg_seq_yr]]),"FY"&amp;fiscalyear,"FY"&amp;fiscalyear-1+BudgetsTable[[#This Row],[budg_seq_yr]])</f>
        <v>FY19</v>
      </c>
      <c r="Z273" s="80">
        <v>89398</v>
      </c>
      <c r="AA273" s="79" t="s">
        <v>1622</v>
      </c>
      <c r="AB273" s="79" t="s">
        <v>580</v>
      </c>
      <c r="AC273" s="77" t="s">
        <v>94</v>
      </c>
      <c r="AD273" s="79" t="s">
        <v>1624</v>
      </c>
    </row>
    <row r="274" spans="1:30" x14ac:dyDescent="0.4">
      <c r="A274" s="10" t="s">
        <v>1147</v>
      </c>
      <c r="B274" s="77" t="s">
        <v>95</v>
      </c>
      <c r="C274" s="77">
        <f>C273+(BudgetsTable[[#This Row],[lead]]&lt;&gt;K273)</f>
        <v>59</v>
      </c>
      <c r="D274" s="77">
        <f>D273*(BudgetsTable[[#This Row],[lead]]=K273)+(BudgetsTable[[#This Row],[prop_id]]&lt;&gt;A273)</f>
        <v>1</v>
      </c>
      <c r="E274" s="78">
        <v>42956.472222222219</v>
      </c>
      <c r="F274" s="79" t="s">
        <v>1621</v>
      </c>
      <c r="G274" s="79" t="s">
        <v>477</v>
      </c>
      <c r="H274" s="79" t="s">
        <v>578</v>
      </c>
      <c r="I274" s="77" t="s">
        <v>604</v>
      </c>
      <c r="J274" s="77" t="s">
        <v>1654</v>
      </c>
      <c r="K274" s="79" t="s">
        <v>1147</v>
      </c>
      <c r="L274" s="7" t="str">
        <f>IF(BudgetsTable[[#This Row],[pi_last_name]]=" ","",HYPERLINK("https://www.ejacket.nsf.gov/ej/showProposal.do?Continue=Y&amp;ID="&amp;BudgetsTable[[#This Row],[prop_id]],BudgetsTable[[#This Row],[prop_id]]))</f>
        <v>1755702</v>
      </c>
      <c r="M274" s="15" t="e">
        <f>IF(BudgetsTable[[#This Row],[pi_last_name]]=" ","",HYPERLINK("https://www.ejacket.nsf.gov/ej/processReviewAnalysis.do?dispatch=add&amp;uniqId="&amp;BudgetsTable[[#This Row],[prop_id]]&amp;PO_id,"&gt;ra"))</f>
        <v>#REF!</v>
      </c>
      <c r="N274" s="79" t="s">
        <v>1148</v>
      </c>
      <c r="O274" s="7" t="str">
        <f>IF(BudgetsTable[[#This Row],[pi_last_name]]=" ","",HYPERLINK("mailto:"&amp;BudgetsTable[[#This Row],[pi_email]]&amp;"&amp;subject=Your NSF Proposal:  "&amp;BudgetsTable[[#This Row],[prop_id]],BudgetsTable[[#This Row],[pi_email]]))</f>
        <v>hcharkhgard@usf.edu</v>
      </c>
      <c r="P274" s="79" t="s">
        <v>558</v>
      </c>
      <c r="Q274" s="79"/>
      <c r="R274" s="79"/>
      <c r="S274" s="80"/>
      <c r="T274" s="80"/>
      <c r="U274" s="80"/>
      <c r="V274" s="81"/>
      <c r="W274" s="79">
        <v>0</v>
      </c>
      <c r="X274" s="79"/>
      <c r="Y274" s="11" t="str">
        <f ca="1">IF(ISBLANK(BudgetsTable[[#This Row],[budg_seq_yr]]),"FY"&amp;fiscalyear,"FY"&amp;fiscalyear-1+BudgetsTable[[#This Row],[budg_seq_yr]])</f>
        <v>FY18</v>
      </c>
      <c r="Z274" s="80">
        <v>172682</v>
      </c>
      <c r="AA274" s="79" t="s">
        <v>477</v>
      </c>
      <c r="AB274" s="79" t="s">
        <v>578</v>
      </c>
      <c r="AC274" s="77" t="s">
        <v>94</v>
      </c>
      <c r="AD274" s="79" t="s">
        <v>1631</v>
      </c>
    </row>
    <row r="275" spans="1:30" x14ac:dyDescent="0.4">
      <c r="A275" s="10" t="s">
        <v>1147</v>
      </c>
      <c r="B275" s="77" t="s">
        <v>95</v>
      </c>
      <c r="C275" s="77">
        <f>C274+(BudgetsTable[[#This Row],[lead]]&lt;&gt;K274)</f>
        <v>59</v>
      </c>
      <c r="D275" s="77">
        <f>D274*(BudgetsTable[[#This Row],[lead]]=K274)+(BudgetsTable[[#This Row],[prop_id]]&lt;&gt;A274)</f>
        <v>1</v>
      </c>
      <c r="E275" s="78">
        <v>42956.472222222219</v>
      </c>
      <c r="F275" s="79" t="s">
        <v>1621</v>
      </c>
      <c r="G275" s="79" t="s">
        <v>477</v>
      </c>
      <c r="H275" s="79" t="s">
        <v>578</v>
      </c>
      <c r="I275" s="77" t="s">
        <v>604</v>
      </c>
      <c r="J275" s="77" t="s">
        <v>13</v>
      </c>
      <c r="K275" s="79" t="s">
        <v>1147</v>
      </c>
      <c r="L275" s="7" t="str">
        <f>IF(BudgetsTable[[#This Row],[pi_last_name]]=" ","",HYPERLINK("https://www.ejacket.nsf.gov/ej/showProposal.do?Continue=Y&amp;ID="&amp;BudgetsTable[[#This Row],[prop_id]],BudgetsTable[[#This Row],[prop_id]]))</f>
        <v/>
      </c>
      <c r="M275" s="15" t="str">
        <f>IF(BudgetsTable[[#This Row],[pi_last_name]]=" ","",HYPERLINK("https://www.ejacket.nsf.gov/ej/processReviewAnalysis.do?dispatch=add&amp;uniqId="&amp;BudgetsTable[[#This Row],[prop_id]]&amp;PO_id,"&gt;ra"))</f>
        <v/>
      </c>
      <c r="N275" s="79" t="s">
        <v>13</v>
      </c>
      <c r="O275" s="7" t="str">
        <f>IF(BudgetsTable[[#This Row],[pi_last_name]]=" ","",HYPERLINK("mailto:"&amp;BudgetsTable[[#This Row],[pi_email]]&amp;"&amp;subject=Your NSF Proposal:  "&amp;BudgetsTable[[#This Row],[prop_id]],BudgetsTable[[#This Row],[pi_email]]))</f>
        <v/>
      </c>
      <c r="P275" s="79" t="s">
        <v>13</v>
      </c>
      <c r="Q275" s="79">
        <v>0</v>
      </c>
      <c r="R275" s="79">
        <v>0</v>
      </c>
      <c r="S275" s="80">
        <v>0</v>
      </c>
      <c r="T275" s="80">
        <v>0</v>
      </c>
      <c r="U275" s="80">
        <v>0</v>
      </c>
      <c r="V275" s="81">
        <v>86673</v>
      </c>
      <c r="W275" s="79">
        <v>0</v>
      </c>
      <c r="X275" s="79">
        <v>1</v>
      </c>
      <c r="Y275" s="11" t="str">
        <f ca="1">IF(ISBLANK(BudgetsTable[[#This Row],[budg_seq_yr]]),"FY"&amp;fiscalyear,"FY"&amp;fiscalyear-1+BudgetsTable[[#This Row],[budg_seq_yr]])</f>
        <v>FY18</v>
      </c>
      <c r="Z275" s="80">
        <v>86673</v>
      </c>
      <c r="AA275" s="79" t="s">
        <v>477</v>
      </c>
      <c r="AB275" s="79" t="s">
        <v>578</v>
      </c>
      <c r="AC275" s="77" t="s">
        <v>94</v>
      </c>
      <c r="AD275" s="79" t="s">
        <v>1631</v>
      </c>
    </row>
    <row r="276" spans="1:30" x14ac:dyDescent="0.4">
      <c r="A276" s="10" t="s">
        <v>1147</v>
      </c>
      <c r="B276" s="77" t="s">
        <v>95</v>
      </c>
      <c r="C276" s="77">
        <f>C275+(BudgetsTable[[#This Row],[lead]]&lt;&gt;K275)</f>
        <v>59</v>
      </c>
      <c r="D276" s="77">
        <f>D275*(BudgetsTable[[#This Row],[lead]]=K275)+(BudgetsTable[[#This Row],[prop_id]]&lt;&gt;A275)</f>
        <v>1</v>
      </c>
      <c r="E276" s="78">
        <v>42956.472222222219</v>
      </c>
      <c r="F276" s="79" t="s">
        <v>1621</v>
      </c>
      <c r="G276" s="79" t="s">
        <v>477</v>
      </c>
      <c r="H276" s="79" t="s">
        <v>578</v>
      </c>
      <c r="I276" s="77" t="s">
        <v>604</v>
      </c>
      <c r="J276" s="77" t="s">
        <v>13</v>
      </c>
      <c r="K276" s="79" t="s">
        <v>1147</v>
      </c>
      <c r="L276" s="7" t="str">
        <f>IF(BudgetsTable[[#This Row],[pi_last_name]]=" ","",HYPERLINK("https://www.ejacket.nsf.gov/ej/showProposal.do?Continue=Y&amp;ID="&amp;BudgetsTable[[#This Row],[prop_id]],BudgetsTable[[#This Row],[prop_id]]))</f>
        <v/>
      </c>
      <c r="M276" s="15" t="str">
        <f>IF(BudgetsTable[[#This Row],[pi_last_name]]=" ","",HYPERLINK("https://www.ejacket.nsf.gov/ej/processReviewAnalysis.do?dispatch=add&amp;uniqId="&amp;BudgetsTable[[#This Row],[prop_id]]&amp;PO_id,"&gt;ra"))</f>
        <v/>
      </c>
      <c r="N276" s="79" t="s">
        <v>13</v>
      </c>
      <c r="O276" s="7" t="str">
        <f>IF(BudgetsTable[[#This Row],[pi_last_name]]=" ","",HYPERLINK("mailto:"&amp;BudgetsTable[[#This Row],[pi_email]]&amp;"&amp;subject=Your NSF Proposal:  "&amp;BudgetsTable[[#This Row],[prop_id]],BudgetsTable[[#This Row],[pi_email]]))</f>
        <v/>
      </c>
      <c r="P276" s="79" t="s">
        <v>13</v>
      </c>
      <c r="Q276" s="79">
        <v>0</v>
      </c>
      <c r="R276" s="79">
        <v>0</v>
      </c>
      <c r="S276" s="80">
        <v>0</v>
      </c>
      <c r="T276" s="80">
        <v>0</v>
      </c>
      <c r="U276" s="80">
        <v>0</v>
      </c>
      <c r="V276" s="81">
        <v>86009</v>
      </c>
      <c r="W276" s="79">
        <v>0</v>
      </c>
      <c r="X276" s="79">
        <v>2</v>
      </c>
      <c r="Y276" s="11" t="str">
        <f ca="1">IF(ISBLANK(BudgetsTable[[#This Row],[budg_seq_yr]]),"FY"&amp;fiscalyear,"FY"&amp;fiscalyear-1+BudgetsTable[[#This Row],[budg_seq_yr]])</f>
        <v>FY19</v>
      </c>
      <c r="Z276" s="80">
        <v>86009</v>
      </c>
      <c r="AA276" s="79" t="s">
        <v>477</v>
      </c>
      <c r="AB276" s="79" t="s">
        <v>578</v>
      </c>
      <c r="AC276" s="77" t="s">
        <v>94</v>
      </c>
      <c r="AD276" s="79" t="s">
        <v>1631</v>
      </c>
    </row>
    <row r="277" spans="1:30" x14ac:dyDescent="0.4">
      <c r="A277" s="10" t="s">
        <v>1155</v>
      </c>
      <c r="B277" s="77" t="s">
        <v>95</v>
      </c>
      <c r="C277" s="77">
        <f>C276+(BudgetsTable[[#This Row],[lead]]&lt;&gt;K276)</f>
        <v>60</v>
      </c>
      <c r="D277" s="77">
        <f>D276*(BudgetsTable[[#This Row],[lead]]=K276)+(BudgetsTable[[#This Row],[prop_id]]&lt;&gt;A276)</f>
        <v>1</v>
      </c>
      <c r="E277" s="78">
        <v>42956.581944444442</v>
      </c>
      <c r="F277" s="79" t="s">
        <v>1621</v>
      </c>
      <c r="G277" s="79" t="s">
        <v>477</v>
      </c>
      <c r="H277" s="79" t="s">
        <v>578</v>
      </c>
      <c r="I277" s="77" t="s">
        <v>654</v>
      </c>
      <c r="J277" s="77" t="s">
        <v>1659</v>
      </c>
      <c r="K277" s="79" t="s">
        <v>1155</v>
      </c>
      <c r="L277" s="7" t="str">
        <f>IF(BudgetsTable[[#This Row],[pi_last_name]]=" ","",HYPERLINK("https://www.ejacket.nsf.gov/ej/showProposal.do?Continue=Y&amp;ID="&amp;BudgetsTable[[#This Row],[prop_id]],BudgetsTable[[#This Row],[prop_id]]))</f>
        <v>1755791</v>
      </c>
      <c r="M277" s="15" t="e">
        <f>IF(BudgetsTable[[#This Row],[pi_last_name]]=" ","",HYPERLINK("https://www.ejacket.nsf.gov/ej/processReviewAnalysis.do?dispatch=add&amp;uniqId="&amp;BudgetsTable[[#This Row],[prop_id]]&amp;PO_id,"&gt;ra"))</f>
        <v>#REF!</v>
      </c>
      <c r="N277" s="79" t="s">
        <v>1156</v>
      </c>
      <c r="O277" s="7" t="str">
        <f>IF(BudgetsTable[[#This Row],[pi_last_name]]=" ","",HYPERLINK("mailto:"&amp;BudgetsTable[[#This Row],[pi_email]]&amp;"&amp;subject=Your NSF Proposal:  "&amp;BudgetsTable[[#This Row],[prop_id]],BudgetsTable[[#This Row],[pi_email]]))</f>
        <v>Mayank.Goswami@qc.cuny.edu</v>
      </c>
      <c r="P277" s="79" t="s">
        <v>1656</v>
      </c>
      <c r="Q277" s="79"/>
      <c r="R277" s="79"/>
      <c r="S277" s="80"/>
      <c r="T277" s="80"/>
      <c r="U277" s="80"/>
      <c r="V277" s="81"/>
      <c r="W277" s="79">
        <v>0</v>
      </c>
      <c r="X277" s="79"/>
      <c r="Y277" s="11" t="str">
        <f ca="1">IF(ISBLANK(BudgetsTable[[#This Row],[budg_seq_yr]]),"FY"&amp;fiscalyear,"FY"&amp;fiscalyear-1+BudgetsTable[[#This Row],[budg_seq_yr]])</f>
        <v>FY18</v>
      </c>
      <c r="Z277" s="80">
        <v>175000</v>
      </c>
      <c r="AA277" s="79" t="s">
        <v>477</v>
      </c>
      <c r="AB277" s="79" t="s">
        <v>578</v>
      </c>
      <c r="AC277" s="77" t="s">
        <v>94</v>
      </c>
      <c r="AD277" s="79" t="s">
        <v>1631</v>
      </c>
    </row>
    <row r="278" spans="1:30" x14ac:dyDescent="0.4">
      <c r="A278" s="10" t="s">
        <v>1155</v>
      </c>
      <c r="B278" s="77" t="s">
        <v>95</v>
      </c>
      <c r="C278" s="77">
        <f>C277+(BudgetsTable[[#This Row],[lead]]&lt;&gt;K277)</f>
        <v>60</v>
      </c>
      <c r="D278" s="77">
        <f>D277*(BudgetsTable[[#This Row],[lead]]=K277)+(BudgetsTable[[#This Row],[prop_id]]&lt;&gt;A277)</f>
        <v>1</v>
      </c>
      <c r="E278" s="78">
        <v>42956.581944444442</v>
      </c>
      <c r="F278" s="79" t="s">
        <v>1621</v>
      </c>
      <c r="G278" s="79" t="s">
        <v>477</v>
      </c>
      <c r="H278" s="79" t="s">
        <v>578</v>
      </c>
      <c r="I278" s="77" t="s">
        <v>654</v>
      </c>
      <c r="J278" s="77" t="s">
        <v>13</v>
      </c>
      <c r="K278" s="79" t="s">
        <v>1155</v>
      </c>
      <c r="L278" s="7" t="str">
        <f>IF(BudgetsTable[[#This Row],[pi_last_name]]=" ","",HYPERLINK("https://www.ejacket.nsf.gov/ej/showProposal.do?Continue=Y&amp;ID="&amp;BudgetsTable[[#This Row],[prop_id]],BudgetsTable[[#This Row],[prop_id]]))</f>
        <v/>
      </c>
      <c r="M278" s="15" t="str">
        <f>IF(BudgetsTable[[#This Row],[pi_last_name]]=" ","",HYPERLINK("https://www.ejacket.nsf.gov/ej/processReviewAnalysis.do?dispatch=add&amp;uniqId="&amp;BudgetsTable[[#This Row],[prop_id]]&amp;PO_id,"&gt;ra"))</f>
        <v/>
      </c>
      <c r="N278" s="79" t="s">
        <v>13</v>
      </c>
      <c r="O278" s="7" t="str">
        <f>IF(BudgetsTable[[#This Row],[pi_last_name]]=" ","",HYPERLINK("mailto:"&amp;BudgetsTable[[#This Row],[pi_email]]&amp;"&amp;subject=Your NSF Proposal:  "&amp;BudgetsTable[[#This Row],[prop_id]],BudgetsTable[[#This Row],[pi_email]]))</f>
        <v/>
      </c>
      <c r="P278" s="79" t="s">
        <v>13</v>
      </c>
      <c r="Q278" s="79">
        <v>0</v>
      </c>
      <c r="R278" s="79">
        <v>0</v>
      </c>
      <c r="S278" s="80">
        <v>0</v>
      </c>
      <c r="T278" s="80">
        <v>6000</v>
      </c>
      <c r="U278" s="80">
        <v>0</v>
      </c>
      <c r="V278" s="81">
        <v>73951</v>
      </c>
      <c r="W278" s="79">
        <v>0</v>
      </c>
      <c r="X278" s="79">
        <v>1</v>
      </c>
      <c r="Y278" s="11" t="str">
        <f ca="1">IF(ISBLANK(BudgetsTable[[#This Row],[budg_seq_yr]]),"FY"&amp;fiscalyear,"FY"&amp;fiscalyear-1+BudgetsTable[[#This Row],[budg_seq_yr]])</f>
        <v>FY18</v>
      </c>
      <c r="Z278" s="80">
        <v>73951</v>
      </c>
      <c r="AA278" s="79" t="s">
        <v>477</v>
      </c>
      <c r="AB278" s="79" t="s">
        <v>578</v>
      </c>
      <c r="AC278" s="77" t="s">
        <v>94</v>
      </c>
      <c r="AD278" s="79" t="s">
        <v>1631</v>
      </c>
    </row>
    <row r="279" spans="1:30" x14ac:dyDescent="0.4">
      <c r="A279" s="10" t="s">
        <v>1155</v>
      </c>
      <c r="B279" s="77" t="s">
        <v>95</v>
      </c>
      <c r="C279" s="77">
        <f>C278+(BudgetsTable[[#This Row],[lead]]&lt;&gt;K278)</f>
        <v>60</v>
      </c>
      <c r="D279" s="77">
        <f>D278*(BudgetsTable[[#This Row],[lead]]=K278)+(BudgetsTable[[#This Row],[prop_id]]&lt;&gt;A278)</f>
        <v>1</v>
      </c>
      <c r="E279" s="78">
        <v>42956.581944444442</v>
      </c>
      <c r="F279" s="79" t="s">
        <v>1621</v>
      </c>
      <c r="G279" s="79" t="s">
        <v>477</v>
      </c>
      <c r="H279" s="79" t="s">
        <v>578</v>
      </c>
      <c r="I279" s="77" t="s">
        <v>654</v>
      </c>
      <c r="J279" s="77" t="s">
        <v>13</v>
      </c>
      <c r="K279" s="79" t="s">
        <v>1155</v>
      </c>
      <c r="L279" s="7" t="str">
        <f>IF(BudgetsTable[[#This Row],[pi_last_name]]=" ","",HYPERLINK("https://www.ejacket.nsf.gov/ej/showProposal.do?Continue=Y&amp;ID="&amp;BudgetsTable[[#This Row],[prop_id]],BudgetsTable[[#This Row],[prop_id]]))</f>
        <v/>
      </c>
      <c r="M279" s="15" t="str">
        <f>IF(BudgetsTable[[#This Row],[pi_last_name]]=" ","",HYPERLINK("https://www.ejacket.nsf.gov/ej/processReviewAnalysis.do?dispatch=add&amp;uniqId="&amp;BudgetsTable[[#This Row],[prop_id]]&amp;PO_id,"&gt;ra"))</f>
        <v/>
      </c>
      <c r="N279" s="79" t="s">
        <v>13</v>
      </c>
      <c r="O279" s="7" t="str">
        <f>IF(BudgetsTable[[#This Row],[pi_last_name]]=" ","",HYPERLINK("mailto:"&amp;BudgetsTable[[#This Row],[pi_email]]&amp;"&amp;subject=Your NSF Proposal:  "&amp;BudgetsTable[[#This Row],[prop_id]],BudgetsTable[[#This Row],[pi_email]]))</f>
        <v/>
      </c>
      <c r="P279" s="79" t="s">
        <v>13</v>
      </c>
      <c r="Q279" s="79">
        <v>0</v>
      </c>
      <c r="R279" s="79">
        <v>0</v>
      </c>
      <c r="S279" s="80">
        <v>0</v>
      </c>
      <c r="T279" s="80">
        <v>4000</v>
      </c>
      <c r="U279" s="80">
        <v>0</v>
      </c>
      <c r="V279" s="81">
        <v>101049</v>
      </c>
      <c r="W279" s="79">
        <v>0</v>
      </c>
      <c r="X279" s="79">
        <v>2</v>
      </c>
      <c r="Y279" s="11" t="str">
        <f ca="1">IF(ISBLANK(BudgetsTable[[#This Row],[budg_seq_yr]]),"FY"&amp;fiscalyear,"FY"&amp;fiscalyear-1+BudgetsTable[[#This Row],[budg_seq_yr]])</f>
        <v>FY19</v>
      </c>
      <c r="Z279" s="80">
        <v>101049</v>
      </c>
      <c r="AA279" s="79" t="s">
        <v>477</v>
      </c>
      <c r="AB279" s="79" t="s">
        <v>578</v>
      </c>
      <c r="AC279" s="77" t="s">
        <v>94</v>
      </c>
      <c r="AD279" s="79" t="s">
        <v>1631</v>
      </c>
    </row>
    <row r="280" spans="1:30" x14ac:dyDescent="0.4">
      <c r="A280" s="10" t="s">
        <v>1164</v>
      </c>
      <c r="B280" s="77" t="s">
        <v>95</v>
      </c>
      <c r="C280" s="77">
        <f>C279+(BudgetsTable[[#This Row],[lead]]&lt;&gt;K279)</f>
        <v>61</v>
      </c>
      <c r="D280" s="77">
        <f>D279*(BudgetsTable[[#This Row],[lead]]=K279)+(BudgetsTable[[#This Row],[prop_id]]&lt;&gt;A279)</f>
        <v>1</v>
      </c>
      <c r="E280" s="78">
        <v>42956.588888888888</v>
      </c>
      <c r="F280" s="79" t="s">
        <v>1621</v>
      </c>
      <c r="G280" s="79" t="s">
        <v>1622</v>
      </c>
      <c r="H280" s="79" t="s">
        <v>580</v>
      </c>
      <c r="I280" s="77" t="s">
        <v>1166</v>
      </c>
      <c r="J280" s="77" t="s">
        <v>1664</v>
      </c>
      <c r="K280" s="79" t="s">
        <v>1164</v>
      </c>
      <c r="L280" s="7" t="str">
        <f>IF(BudgetsTable[[#This Row],[pi_last_name]]=" ","",HYPERLINK("https://www.ejacket.nsf.gov/ej/showProposal.do?Continue=Y&amp;ID="&amp;BudgetsTable[[#This Row],[prop_id]],BudgetsTable[[#This Row],[prop_id]]))</f>
        <v>1755801</v>
      </c>
      <c r="M280" s="15" t="e">
        <f>IF(BudgetsTable[[#This Row],[pi_last_name]]=" ","",HYPERLINK("https://www.ejacket.nsf.gov/ej/processReviewAnalysis.do?dispatch=add&amp;uniqId="&amp;BudgetsTable[[#This Row],[prop_id]]&amp;PO_id,"&gt;ra"))</f>
        <v>#REF!</v>
      </c>
      <c r="N280" s="79" t="s">
        <v>1165</v>
      </c>
      <c r="O280" s="7" t="str">
        <f>IF(BudgetsTable[[#This Row],[pi_last_name]]=" ","",HYPERLINK("mailto:"&amp;BudgetsTable[[#This Row],[pi_email]]&amp;"&amp;subject=Your NSF Proposal:  "&amp;BudgetsTable[[#This Row],[prop_id]],BudgetsTable[[#This Row],[pi_email]]))</f>
        <v>tzhao80@gatech.edu</v>
      </c>
      <c r="P280" s="79" t="s">
        <v>1661</v>
      </c>
      <c r="Q280" s="79"/>
      <c r="R280" s="79"/>
      <c r="S280" s="80"/>
      <c r="T280" s="80"/>
      <c r="U280" s="80"/>
      <c r="V280" s="81"/>
      <c r="W280" s="79">
        <v>0</v>
      </c>
      <c r="X280" s="79"/>
      <c r="Y280" s="11" t="str">
        <f ca="1">IF(ISBLANK(BudgetsTable[[#This Row],[budg_seq_yr]]),"FY"&amp;fiscalyear,"FY"&amp;fiscalyear-1+BudgetsTable[[#This Row],[budg_seq_yr]])</f>
        <v>FY18</v>
      </c>
      <c r="Z280" s="80">
        <v>175000</v>
      </c>
      <c r="AA280" s="79" t="s">
        <v>1622</v>
      </c>
      <c r="AB280" s="79" t="s">
        <v>580</v>
      </c>
      <c r="AC280" s="77" t="s">
        <v>94</v>
      </c>
      <c r="AD280" s="79" t="s">
        <v>1624</v>
      </c>
    </row>
    <row r="281" spans="1:30" x14ac:dyDescent="0.4">
      <c r="A281" s="10" t="s">
        <v>1164</v>
      </c>
      <c r="B281" s="77" t="s">
        <v>95</v>
      </c>
      <c r="C281" s="77">
        <f>C280+(BudgetsTable[[#This Row],[lead]]&lt;&gt;K280)</f>
        <v>61</v>
      </c>
      <c r="D281" s="77">
        <f>D280*(BudgetsTable[[#This Row],[lead]]=K280)+(BudgetsTable[[#This Row],[prop_id]]&lt;&gt;A280)</f>
        <v>1</v>
      </c>
      <c r="E281" s="78">
        <v>42956.588888888888</v>
      </c>
      <c r="F281" s="79" t="s">
        <v>1621</v>
      </c>
      <c r="G281" s="79" t="s">
        <v>1622</v>
      </c>
      <c r="H281" s="79" t="s">
        <v>580</v>
      </c>
      <c r="I281" s="77" t="s">
        <v>1166</v>
      </c>
      <c r="J281" s="77" t="s">
        <v>13</v>
      </c>
      <c r="K281" s="79" t="s">
        <v>1164</v>
      </c>
      <c r="L281" s="7" t="str">
        <f>IF(BudgetsTable[[#This Row],[pi_last_name]]=" ","",HYPERLINK("https://www.ejacket.nsf.gov/ej/showProposal.do?Continue=Y&amp;ID="&amp;BudgetsTable[[#This Row],[prop_id]],BudgetsTable[[#This Row],[prop_id]]))</f>
        <v/>
      </c>
      <c r="M281" s="15" t="str">
        <f>IF(BudgetsTable[[#This Row],[pi_last_name]]=" ","",HYPERLINK("https://www.ejacket.nsf.gov/ej/processReviewAnalysis.do?dispatch=add&amp;uniqId="&amp;BudgetsTable[[#This Row],[prop_id]]&amp;PO_id,"&gt;ra"))</f>
        <v/>
      </c>
      <c r="N281" s="79" t="s">
        <v>13</v>
      </c>
      <c r="O281" s="7" t="str">
        <f>IF(BudgetsTable[[#This Row],[pi_last_name]]=" ","",HYPERLINK("mailto:"&amp;BudgetsTable[[#This Row],[pi_email]]&amp;"&amp;subject=Your NSF Proposal:  "&amp;BudgetsTable[[#This Row],[prop_id]],BudgetsTable[[#This Row],[pi_email]]))</f>
        <v/>
      </c>
      <c r="P281" s="79" t="s">
        <v>13</v>
      </c>
      <c r="Q281" s="79">
        <v>0</v>
      </c>
      <c r="R281" s="79">
        <v>0</v>
      </c>
      <c r="S281" s="80">
        <v>0</v>
      </c>
      <c r="T281" s="80">
        <v>0</v>
      </c>
      <c r="U281" s="80">
        <v>0</v>
      </c>
      <c r="V281" s="81">
        <v>85511</v>
      </c>
      <c r="W281" s="79">
        <v>0</v>
      </c>
      <c r="X281" s="79">
        <v>1</v>
      </c>
      <c r="Y281" s="11" t="str">
        <f ca="1">IF(ISBLANK(BudgetsTable[[#This Row],[budg_seq_yr]]),"FY"&amp;fiscalyear,"FY"&amp;fiscalyear-1+BudgetsTable[[#This Row],[budg_seq_yr]])</f>
        <v>FY18</v>
      </c>
      <c r="Z281" s="80">
        <v>85511</v>
      </c>
      <c r="AA281" s="79" t="s">
        <v>1622</v>
      </c>
      <c r="AB281" s="79" t="s">
        <v>580</v>
      </c>
      <c r="AC281" s="77" t="s">
        <v>94</v>
      </c>
      <c r="AD281" s="79" t="s">
        <v>1624</v>
      </c>
    </row>
    <row r="282" spans="1:30" x14ac:dyDescent="0.4">
      <c r="A282" s="10" t="s">
        <v>1164</v>
      </c>
      <c r="B282" s="77" t="s">
        <v>95</v>
      </c>
      <c r="C282" s="77">
        <f>C281+(BudgetsTable[[#This Row],[lead]]&lt;&gt;K281)</f>
        <v>61</v>
      </c>
      <c r="D282" s="77">
        <f>D281*(BudgetsTable[[#This Row],[lead]]=K281)+(BudgetsTable[[#This Row],[prop_id]]&lt;&gt;A281)</f>
        <v>1</v>
      </c>
      <c r="E282" s="78">
        <v>42956.588888888888</v>
      </c>
      <c r="F282" s="79" t="s">
        <v>1621</v>
      </c>
      <c r="G282" s="79" t="s">
        <v>1622</v>
      </c>
      <c r="H282" s="79" t="s">
        <v>580</v>
      </c>
      <c r="I282" s="77" t="s">
        <v>1166</v>
      </c>
      <c r="J282" s="77" t="s">
        <v>13</v>
      </c>
      <c r="K282" s="79" t="s">
        <v>1164</v>
      </c>
      <c r="L282" s="7" t="str">
        <f>IF(BudgetsTable[[#This Row],[pi_last_name]]=" ","",HYPERLINK("https://www.ejacket.nsf.gov/ej/showProposal.do?Continue=Y&amp;ID="&amp;BudgetsTable[[#This Row],[prop_id]],BudgetsTable[[#This Row],[prop_id]]))</f>
        <v/>
      </c>
      <c r="M282" s="15" t="str">
        <f>IF(BudgetsTable[[#This Row],[pi_last_name]]=" ","",HYPERLINK("https://www.ejacket.nsf.gov/ej/processReviewAnalysis.do?dispatch=add&amp;uniqId="&amp;BudgetsTable[[#This Row],[prop_id]]&amp;PO_id,"&gt;ra"))</f>
        <v/>
      </c>
      <c r="N282" s="79" t="s">
        <v>13</v>
      </c>
      <c r="O282" s="7" t="str">
        <f>IF(BudgetsTable[[#This Row],[pi_last_name]]=" ","",HYPERLINK("mailto:"&amp;BudgetsTable[[#This Row],[pi_email]]&amp;"&amp;subject=Your NSF Proposal:  "&amp;BudgetsTable[[#This Row],[prop_id]],BudgetsTable[[#This Row],[pi_email]]))</f>
        <v/>
      </c>
      <c r="P282" s="79" t="s">
        <v>13</v>
      </c>
      <c r="Q282" s="79">
        <v>0</v>
      </c>
      <c r="R282" s="79">
        <v>0</v>
      </c>
      <c r="S282" s="80">
        <v>0</v>
      </c>
      <c r="T282" s="80">
        <v>0</v>
      </c>
      <c r="U282" s="80">
        <v>0</v>
      </c>
      <c r="V282" s="81">
        <v>89489</v>
      </c>
      <c r="W282" s="79">
        <v>0</v>
      </c>
      <c r="X282" s="79">
        <v>2</v>
      </c>
      <c r="Y282" s="11" t="str">
        <f ca="1">IF(ISBLANK(BudgetsTable[[#This Row],[budg_seq_yr]]),"FY"&amp;fiscalyear,"FY"&amp;fiscalyear-1+BudgetsTable[[#This Row],[budg_seq_yr]])</f>
        <v>FY19</v>
      </c>
      <c r="Z282" s="80">
        <v>89489</v>
      </c>
      <c r="AA282" s="79" t="s">
        <v>1622</v>
      </c>
      <c r="AB282" s="79" t="s">
        <v>580</v>
      </c>
      <c r="AC282" s="77" t="s">
        <v>94</v>
      </c>
      <c r="AD282" s="79" t="s">
        <v>1624</v>
      </c>
    </row>
    <row r="283" spans="1:30" x14ac:dyDescent="0.4">
      <c r="A283" s="10" t="s">
        <v>1194</v>
      </c>
      <c r="B283" s="77" t="s">
        <v>95</v>
      </c>
      <c r="C283" s="77">
        <f>C282+(BudgetsTable[[#This Row],[lead]]&lt;&gt;K282)</f>
        <v>62</v>
      </c>
      <c r="D283" s="77">
        <f>D282*(BudgetsTable[[#This Row],[lead]]=K282)+(BudgetsTable[[#This Row],[prop_id]]&lt;&gt;A282)</f>
        <v>1</v>
      </c>
      <c r="E283" s="78">
        <v>42956.621527777781</v>
      </c>
      <c r="F283" s="79" t="s">
        <v>1621</v>
      </c>
      <c r="G283" s="79" t="s">
        <v>477</v>
      </c>
      <c r="H283" s="79" t="s">
        <v>578</v>
      </c>
      <c r="I283" s="77" t="s">
        <v>611</v>
      </c>
      <c r="J283" s="77" t="s">
        <v>1669</v>
      </c>
      <c r="K283" s="79" t="s">
        <v>1194</v>
      </c>
      <c r="L283" s="7" t="str">
        <f>IF(BudgetsTable[[#This Row],[pi_last_name]]=" ","",HYPERLINK("https://www.ejacket.nsf.gov/ej/showProposal.do?Continue=Y&amp;ID="&amp;BudgetsTable[[#This Row],[prop_id]],BudgetsTable[[#This Row],[prop_id]]))</f>
        <v>1755847</v>
      </c>
      <c r="M283" s="15" t="e">
        <f>IF(BudgetsTable[[#This Row],[pi_last_name]]=" ","",HYPERLINK("https://www.ejacket.nsf.gov/ej/processReviewAnalysis.do?dispatch=add&amp;uniqId="&amp;BudgetsTable[[#This Row],[prop_id]]&amp;PO_id,"&gt;ra"))</f>
        <v>#REF!</v>
      </c>
      <c r="N283" s="79" t="s">
        <v>1195</v>
      </c>
      <c r="O283" s="7" t="str">
        <f>IF(BudgetsTable[[#This Row],[pi_last_name]]=" ","",HYPERLINK("mailto:"&amp;BudgetsTable[[#This Row],[pi_email]]&amp;"&amp;subject=Your NSF Proposal:  "&amp;BudgetsTable[[#This Row],[prop_id]],BudgetsTable[[#This Row],[pi_email]]))</f>
        <v>ruoyus@illinois.edu</v>
      </c>
      <c r="P283" s="79" t="s">
        <v>1477</v>
      </c>
      <c r="Q283" s="79"/>
      <c r="R283" s="79"/>
      <c r="S283" s="80"/>
      <c r="T283" s="80"/>
      <c r="U283" s="80"/>
      <c r="V283" s="81"/>
      <c r="W283" s="79">
        <v>0</v>
      </c>
      <c r="X283" s="79"/>
      <c r="Y283" s="11" t="str">
        <f ca="1">IF(ISBLANK(BudgetsTable[[#This Row],[budg_seq_yr]]),"FY"&amp;fiscalyear,"FY"&amp;fiscalyear-1+BudgetsTable[[#This Row],[budg_seq_yr]])</f>
        <v>FY18</v>
      </c>
      <c r="Z283" s="80">
        <v>175000</v>
      </c>
      <c r="AA283" s="79" t="s">
        <v>477</v>
      </c>
      <c r="AB283" s="79" t="s">
        <v>578</v>
      </c>
      <c r="AC283" s="77" t="s">
        <v>94</v>
      </c>
      <c r="AD283" s="79" t="s">
        <v>1665</v>
      </c>
    </row>
    <row r="284" spans="1:30" x14ac:dyDescent="0.4">
      <c r="A284" s="10" t="s">
        <v>1194</v>
      </c>
      <c r="B284" s="77" t="s">
        <v>95</v>
      </c>
      <c r="C284" s="77">
        <f>C283+(BudgetsTable[[#This Row],[lead]]&lt;&gt;K283)</f>
        <v>62</v>
      </c>
      <c r="D284" s="77">
        <f>D283*(BudgetsTable[[#This Row],[lead]]=K283)+(BudgetsTable[[#This Row],[prop_id]]&lt;&gt;A283)</f>
        <v>1</v>
      </c>
      <c r="E284" s="78">
        <v>42956.621527777781</v>
      </c>
      <c r="F284" s="79" t="s">
        <v>1621</v>
      </c>
      <c r="G284" s="79" t="s">
        <v>477</v>
      </c>
      <c r="H284" s="79" t="s">
        <v>578</v>
      </c>
      <c r="I284" s="77" t="s">
        <v>611</v>
      </c>
      <c r="J284" s="77" t="s">
        <v>13</v>
      </c>
      <c r="K284" s="79" t="s">
        <v>1194</v>
      </c>
      <c r="L284" s="7" t="str">
        <f>IF(BudgetsTable[[#This Row],[pi_last_name]]=" ","",HYPERLINK("https://www.ejacket.nsf.gov/ej/showProposal.do?Continue=Y&amp;ID="&amp;BudgetsTable[[#This Row],[prop_id]],BudgetsTable[[#This Row],[prop_id]]))</f>
        <v/>
      </c>
      <c r="M284" s="15" t="str">
        <f>IF(BudgetsTable[[#This Row],[pi_last_name]]=" ","",HYPERLINK("https://www.ejacket.nsf.gov/ej/processReviewAnalysis.do?dispatch=add&amp;uniqId="&amp;BudgetsTable[[#This Row],[prop_id]]&amp;PO_id,"&gt;ra"))</f>
        <v/>
      </c>
      <c r="N284" s="79" t="s">
        <v>13</v>
      </c>
      <c r="O284" s="7" t="str">
        <f>IF(BudgetsTable[[#This Row],[pi_last_name]]=" ","",HYPERLINK("mailto:"&amp;BudgetsTable[[#This Row],[pi_email]]&amp;"&amp;subject=Your NSF Proposal:  "&amp;BudgetsTable[[#This Row],[prop_id]],BudgetsTable[[#This Row],[pi_email]]))</f>
        <v/>
      </c>
      <c r="P284" s="79" t="s">
        <v>13</v>
      </c>
      <c r="Q284" s="79">
        <v>0</v>
      </c>
      <c r="R284" s="79">
        <v>0</v>
      </c>
      <c r="S284" s="80">
        <v>0</v>
      </c>
      <c r="T284" s="80">
        <v>2000</v>
      </c>
      <c r="U284" s="80">
        <v>0</v>
      </c>
      <c r="V284" s="81">
        <v>86350</v>
      </c>
      <c r="W284" s="79">
        <v>0</v>
      </c>
      <c r="X284" s="79">
        <v>1</v>
      </c>
      <c r="Y284" s="11" t="str">
        <f ca="1">IF(ISBLANK(BudgetsTable[[#This Row],[budg_seq_yr]]),"FY"&amp;fiscalyear,"FY"&amp;fiscalyear-1+BudgetsTable[[#This Row],[budg_seq_yr]])</f>
        <v>FY18</v>
      </c>
      <c r="Z284" s="80">
        <v>86350</v>
      </c>
      <c r="AA284" s="79" t="s">
        <v>477</v>
      </c>
      <c r="AB284" s="79" t="s">
        <v>578</v>
      </c>
      <c r="AC284" s="77" t="s">
        <v>94</v>
      </c>
      <c r="AD284" s="79" t="s">
        <v>1665</v>
      </c>
    </row>
    <row r="285" spans="1:30" x14ac:dyDescent="0.4">
      <c r="A285" s="10" t="s">
        <v>1194</v>
      </c>
      <c r="B285" s="77" t="s">
        <v>95</v>
      </c>
      <c r="C285" s="77">
        <f>C284+(BudgetsTable[[#This Row],[lead]]&lt;&gt;K284)</f>
        <v>62</v>
      </c>
      <c r="D285" s="77">
        <f>D284*(BudgetsTable[[#This Row],[lead]]=K284)+(BudgetsTable[[#This Row],[prop_id]]&lt;&gt;A284)</f>
        <v>1</v>
      </c>
      <c r="E285" s="78">
        <v>42956.621527777781</v>
      </c>
      <c r="F285" s="79" t="s">
        <v>1621</v>
      </c>
      <c r="G285" s="79" t="s">
        <v>477</v>
      </c>
      <c r="H285" s="79" t="s">
        <v>578</v>
      </c>
      <c r="I285" s="77" t="s">
        <v>611</v>
      </c>
      <c r="J285" s="77" t="s">
        <v>13</v>
      </c>
      <c r="K285" s="79" t="s">
        <v>1194</v>
      </c>
      <c r="L285" s="7" t="str">
        <f>IF(BudgetsTable[[#This Row],[pi_last_name]]=" ","",HYPERLINK("https://www.ejacket.nsf.gov/ej/showProposal.do?Continue=Y&amp;ID="&amp;BudgetsTable[[#This Row],[prop_id]],BudgetsTable[[#This Row],[prop_id]]))</f>
        <v/>
      </c>
      <c r="M285" s="15" t="str">
        <f>IF(BudgetsTable[[#This Row],[pi_last_name]]=" ","",HYPERLINK("https://www.ejacket.nsf.gov/ej/processReviewAnalysis.do?dispatch=add&amp;uniqId="&amp;BudgetsTable[[#This Row],[prop_id]]&amp;PO_id,"&gt;ra"))</f>
        <v/>
      </c>
      <c r="N285" s="79" t="s">
        <v>13</v>
      </c>
      <c r="O285" s="7" t="str">
        <f>IF(BudgetsTable[[#This Row],[pi_last_name]]=" ","",HYPERLINK("mailto:"&amp;BudgetsTable[[#This Row],[pi_email]]&amp;"&amp;subject=Your NSF Proposal:  "&amp;BudgetsTable[[#This Row],[prop_id]],BudgetsTable[[#This Row],[pi_email]]))</f>
        <v/>
      </c>
      <c r="P285" s="79" t="s">
        <v>13</v>
      </c>
      <c r="Q285" s="79">
        <v>0</v>
      </c>
      <c r="R285" s="79">
        <v>0</v>
      </c>
      <c r="S285" s="80">
        <v>0</v>
      </c>
      <c r="T285" s="80">
        <v>2000</v>
      </c>
      <c r="U285" s="80">
        <v>0</v>
      </c>
      <c r="V285" s="81">
        <v>88650</v>
      </c>
      <c r="W285" s="79">
        <v>0</v>
      </c>
      <c r="X285" s="79">
        <v>2</v>
      </c>
      <c r="Y285" s="11" t="str">
        <f ca="1">IF(ISBLANK(BudgetsTable[[#This Row],[budg_seq_yr]]),"FY"&amp;fiscalyear,"FY"&amp;fiscalyear-1+BudgetsTable[[#This Row],[budg_seq_yr]])</f>
        <v>FY19</v>
      </c>
      <c r="Z285" s="80">
        <v>88650</v>
      </c>
      <c r="AA285" s="79" t="s">
        <v>477</v>
      </c>
      <c r="AB285" s="79" t="s">
        <v>578</v>
      </c>
      <c r="AC285" s="77" t="s">
        <v>94</v>
      </c>
      <c r="AD285" s="79" t="s">
        <v>1665</v>
      </c>
    </row>
    <row r="286" spans="1:30" x14ac:dyDescent="0.4">
      <c r="A286" s="10" t="s">
        <v>1201</v>
      </c>
      <c r="B286" s="77" t="s">
        <v>95</v>
      </c>
      <c r="C286" s="77">
        <f>C285+(BudgetsTable[[#This Row],[lead]]&lt;&gt;K285)</f>
        <v>63</v>
      </c>
      <c r="D286" s="77">
        <f>D285*(BudgetsTable[[#This Row],[lead]]=K285)+(BudgetsTable[[#This Row],[prop_id]]&lt;&gt;A285)</f>
        <v>1</v>
      </c>
      <c r="E286" s="78">
        <v>42956.647916666669</v>
      </c>
      <c r="F286" s="79" t="s">
        <v>1621</v>
      </c>
      <c r="G286" s="79" t="s">
        <v>477</v>
      </c>
      <c r="H286" s="79" t="s">
        <v>578</v>
      </c>
      <c r="I286" s="77" t="s">
        <v>604</v>
      </c>
      <c r="J286" s="77" t="s">
        <v>1675</v>
      </c>
      <c r="K286" s="79" t="s">
        <v>1201</v>
      </c>
      <c r="L286" s="7" t="str">
        <f>IF(BudgetsTable[[#This Row],[pi_last_name]]=" ","",HYPERLINK("https://www.ejacket.nsf.gov/ej/showProposal.do?Continue=Y&amp;ID="&amp;BudgetsTable[[#This Row],[prop_id]],BudgetsTable[[#This Row],[prop_id]]))</f>
        <v>1755881</v>
      </c>
      <c r="M286" s="15" t="e">
        <f>IF(BudgetsTable[[#This Row],[pi_last_name]]=" ","",HYPERLINK("https://www.ejacket.nsf.gov/ej/processReviewAnalysis.do?dispatch=add&amp;uniqId="&amp;BudgetsTable[[#This Row],[prop_id]]&amp;PO_id,"&gt;ra"))</f>
        <v>#REF!</v>
      </c>
      <c r="N286" s="79" t="s">
        <v>1202</v>
      </c>
      <c r="O286" s="7" t="str">
        <f>IF(BudgetsTable[[#This Row],[pi_last_name]]=" ","",HYPERLINK("mailto:"&amp;BudgetsTable[[#This Row],[pi_email]]&amp;"&amp;subject=Your NSF Proposal:  "&amp;BudgetsTable[[#This Row],[prop_id]],BudgetsTable[[#This Row],[pi_email]]))</f>
        <v>osan@okstate.edu</v>
      </c>
      <c r="P286" s="79" t="s">
        <v>1672</v>
      </c>
      <c r="Q286" s="79"/>
      <c r="R286" s="79"/>
      <c r="S286" s="80"/>
      <c r="T286" s="80"/>
      <c r="U286" s="80"/>
      <c r="V286" s="81"/>
      <c r="W286" s="79">
        <v>0</v>
      </c>
      <c r="X286" s="79"/>
      <c r="Y286" s="11" t="str">
        <f ca="1">IF(ISBLANK(BudgetsTable[[#This Row],[budg_seq_yr]]),"FY"&amp;fiscalyear,"FY"&amp;fiscalyear-1+BudgetsTable[[#This Row],[budg_seq_yr]])</f>
        <v>FY18</v>
      </c>
      <c r="Z286" s="80">
        <v>170144</v>
      </c>
      <c r="AA286" s="79" t="s">
        <v>477</v>
      </c>
      <c r="AB286" s="79" t="s">
        <v>578</v>
      </c>
      <c r="AC286" s="77" t="s">
        <v>94</v>
      </c>
      <c r="AD286" s="79" t="s">
        <v>1670</v>
      </c>
    </row>
    <row r="287" spans="1:30" x14ac:dyDescent="0.4">
      <c r="A287" s="10" t="s">
        <v>1201</v>
      </c>
      <c r="B287" s="77" t="s">
        <v>95</v>
      </c>
      <c r="C287" s="77">
        <f>C286+(BudgetsTable[[#This Row],[lead]]&lt;&gt;K286)</f>
        <v>63</v>
      </c>
      <c r="D287" s="77">
        <f>D286*(BudgetsTable[[#This Row],[lead]]=K286)+(BudgetsTable[[#This Row],[prop_id]]&lt;&gt;A286)</f>
        <v>1</v>
      </c>
      <c r="E287" s="78">
        <v>42956.647916666669</v>
      </c>
      <c r="F287" s="79" t="s">
        <v>1621</v>
      </c>
      <c r="G287" s="79" t="s">
        <v>477</v>
      </c>
      <c r="H287" s="79" t="s">
        <v>578</v>
      </c>
      <c r="I287" s="77" t="s">
        <v>604</v>
      </c>
      <c r="J287" s="77" t="s">
        <v>13</v>
      </c>
      <c r="K287" s="79" t="s">
        <v>1201</v>
      </c>
      <c r="L287" s="7" t="str">
        <f>IF(BudgetsTable[[#This Row],[pi_last_name]]=" ","",HYPERLINK("https://www.ejacket.nsf.gov/ej/showProposal.do?Continue=Y&amp;ID="&amp;BudgetsTable[[#This Row],[prop_id]],BudgetsTable[[#This Row],[prop_id]]))</f>
        <v/>
      </c>
      <c r="M287" s="15" t="str">
        <f>IF(BudgetsTable[[#This Row],[pi_last_name]]=" ","",HYPERLINK("https://www.ejacket.nsf.gov/ej/processReviewAnalysis.do?dispatch=add&amp;uniqId="&amp;BudgetsTable[[#This Row],[prop_id]]&amp;PO_id,"&gt;ra"))</f>
        <v/>
      </c>
      <c r="N287" s="79" t="s">
        <v>13</v>
      </c>
      <c r="O287" s="7" t="str">
        <f>IF(BudgetsTable[[#This Row],[pi_last_name]]=" ","",HYPERLINK("mailto:"&amp;BudgetsTable[[#This Row],[pi_email]]&amp;"&amp;subject=Your NSF Proposal:  "&amp;BudgetsTable[[#This Row],[prop_id]],BudgetsTable[[#This Row],[pi_email]]))</f>
        <v/>
      </c>
      <c r="P287" s="79" t="s">
        <v>13</v>
      </c>
      <c r="Q287" s="79">
        <v>0</v>
      </c>
      <c r="R287" s="79">
        <v>0</v>
      </c>
      <c r="S287" s="80">
        <v>0</v>
      </c>
      <c r="T287" s="80">
        <v>0</v>
      </c>
      <c r="U287" s="80">
        <v>0</v>
      </c>
      <c r="V287" s="81">
        <v>83724</v>
      </c>
      <c r="W287" s="79">
        <v>0</v>
      </c>
      <c r="X287" s="79">
        <v>1</v>
      </c>
      <c r="Y287" s="11" t="str">
        <f ca="1">IF(ISBLANK(BudgetsTable[[#This Row],[budg_seq_yr]]),"FY"&amp;fiscalyear,"FY"&amp;fiscalyear-1+BudgetsTable[[#This Row],[budg_seq_yr]])</f>
        <v>FY18</v>
      </c>
      <c r="Z287" s="80">
        <v>83724</v>
      </c>
      <c r="AA287" s="79" t="s">
        <v>477</v>
      </c>
      <c r="AB287" s="79" t="s">
        <v>578</v>
      </c>
      <c r="AC287" s="77" t="s">
        <v>94</v>
      </c>
      <c r="AD287" s="79" t="s">
        <v>1670</v>
      </c>
    </row>
    <row r="288" spans="1:30" x14ac:dyDescent="0.4">
      <c r="A288" s="10" t="s">
        <v>1201</v>
      </c>
      <c r="B288" s="77" t="s">
        <v>95</v>
      </c>
      <c r="C288" s="77">
        <f>C287+(BudgetsTable[[#This Row],[lead]]&lt;&gt;K287)</f>
        <v>63</v>
      </c>
      <c r="D288" s="77">
        <f>D287*(BudgetsTable[[#This Row],[lead]]=K287)+(BudgetsTable[[#This Row],[prop_id]]&lt;&gt;A287)</f>
        <v>1</v>
      </c>
      <c r="E288" s="78">
        <v>42956.647916666669</v>
      </c>
      <c r="F288" s="79" t="s">
        <v>1621</v>
      </c>
      <c r="G288" s="79" t="s">
        <v>477</v>
      </c>
      <c r="H288" s="79" t="s">
        <v>578</v>
      </c>
      <c r="I288" s="77" t="s">
        <v>604</v>
      </c>
      <c r="J288" s="77" t="s">
        <v>13</v>
      </c>
      <c r="K288" s="79" t="s">
        <v>1201</v>
      </c>
      <c r="L288" s="7" t="str">
        <f>IF(BudgetsTable[[#This Row],[pi_last_name]]=" ","",HYPERLINK("https://www.ejacket.nsf.gov/ej/showProposal.do?Continue=Y&amp;ID="&amp;BudgetsTable[[#This Row],[prop_id]],BudgetsTable[[#This Row],[prop_id]]))</f>
        <v/>
      </c>
      <c r="M288" s="15" t="str">
        <f>IF(BudgetsTable[[#This Row],[pi_last_name]]=" ","",HYPERLINK("https://www.ejacket.nsf.gov/ej/processReviewAnalysis.do?dispatch=add&amp;uniqId="&amp;BudgetsTable[[#This Row],[prop_id]]&amp;PO_id,"&gt;ra"))</f>
        <v/>
      </c>
      <c r="N288" s="79" t="s">
        <v>13</v>
      </c>
      <c r="O288" s="7" t="str">
        <f>IF(BudgetsTable[[#This Row],[pi_last_name]]=" ","",HYPERLINK("mailto:"&amp;BudgetsTable[[#This Row],[pi_email]]&amp;"&amp;subject=Your NSF Proposal:  "&amp;BudgetsTable[[#This Row],[prop_id]],BudgetsTable[[#This Row],[pi_email]]))</f>
        <v/>
      </c>
      <c r="P288" s="79" t="s">
        <v>13</v>
      </c>
      <c r="Q288" s="79">
        <v>0</v>
      </c>
      <c r="R288" s="79">
        <v>0</v>
      </c>
      <c r="S288" s="80">
        <v>0</v>
      </c>
      <c r="T288" s="80">
        <v>0</v>
      </c>
      <c r="U288" s="80">
        <v>0</v>
      </c>
      <c r="V288" s="81">
        <v>86420</v>
      </c>
      <c r="W288" s="79">
        <v>0</v>
      </c>
      <c r="X288" s="79">
        <v>2</v>
      </c>
      <c r="Y288" s="11" t="str">
        <f ca="1">IF(ISBLANK(BudgetsTable[[#This Row],[budg_seq_yr]]),"FY"&amp;fiscalyear,"FY"&amp;fiscalyear-1+BudgetsTable[[#This Row],[budg_seq_yr]])</f>
        <v>FY19</v>
      </c>
      <c r="Z288" s="80">
        <v>86420</v>
      </c>
      <c r="AA288" s="79" t="s">
        <v>477</v>
      </c>
      <c r="AB288" s="79" t="s">
        <v>578</v>
      </c>
      <c r="AC288" s="77" t="s">
        <v>94</v>
      </c>
      <c r="AD288" s="79" t="s">
        <v>1670</v>
      </c>
    </row>
    <row r="289" spans="1:30" x14ac:dyDescent="0.4">
      <c r="A289" s="10" t="s">
        <v>1209</v>
      </c>
      <c r="B289" s="77" t="s">
        <v>95</v>
      </c>
      <c r="C289" s="77">
        <f>C288+(BudgetsTable[[#This Row],[lead]]&lt;&gt;K288)</f>
        <v>64</v>
      </c>
      <c r="D289" s="77">
        <f>D288*(BudgetsTable[[#This Row],[lead]]=K288)+(BudgetsTable[[#This Row],[prop_id]]&lt;&gt;A288)</f>
        <v>1</v>
      </c>
      <c r="E289" s="78">
        <v>42956.648611111108</v>
      </c>
      <c r="F289" s="79" t="s">
        <v>1621</v>
      </c>
      <c r="G289" s="79" t="s">
        <v>477</v>
      </c>
      <c r="H289" s="79" t="s">
        <v>578</v>
      </c>
      <c r="I289" s="77" t="s">
        <v>611</v>
      </c>
      <c r="J289" s="77" t="s">
        <v>1679</v>
      </c>
      <c r="K289" s="79" t="s">
        <v>1209</v>
      </c>
      <c r="L289" s="7" t="str">
        <f>IF(BudgetsTable[[#This Row],[pi_last_name]]=" ","",HYPERLINK("https://www.ejacket.nsf.gov/ej/showProposal.do?Continue=Y&amp;ID="&amp;BudgetsTable[[#This Row],[prop_id]],BudgetsTable[[#This Row],[prop_id]]))</f>
        <v>1755885</v>
      </c>
      <c r="M289" s="15" t="e">
        <f>IF(BudgetsTable[[#This Row],[pi_last_name]]=" ","",HYPERLINK("https://www.ejacket.nsf.gov/ej/processReviewAnalysis.do?dispatch=add&amp;uniqId="&amp;BudgetsTable[[#This Row],[prop_id]]&amp;PO_id,"&gt;ra"))</f>
        <v>#REF!</v>
      </c>
      <c r="N289" s="79" t="s">
        <v>1210</v>
      </c>
      <c r="O289" s="7" t="str">
        <f>IF(BudgetsTable[[#This Row],[pi_last_name]]=" ","",HYPERLINK("mailto:"&amp;BudgetsTable[[#This Row],[pi_email]]&amp;"&amp;subject=Your NSF Proposal:  "&amp;BudgetsTable[[#This Row],[prop_id]],BudgetsTable[[#This Row],[pi_email]]))</f>
        <v>hhvcs@rit.edu</v>
      </c>
      <c r="P289" s="79" t="s">
        <v>1676</v>
      </c>
      <c r="Q289" s="79"/>
      <c r="R289" s="79"/>
      <c r="S289" s="80"/>
      <c r="T289" s="80"/>
      <c r="U289" s="80"/>
      <c r="V289" s="81"/>
      <c r="W289" s="79">
        <v>0</v>
      </c>
      <c r="X289" s="79"/>
      <c r="Y289" s="11" t="str">
        <f ca="1">IF(ISBLANK(BudgetsTable[[#This Row],[budg_seq_yr]]),"FY"&amp;fiscalyear,"FY"&amp;fiscalyear-1+BudgetsTable[[#This Row],[budg_seq_yr]])</f>
        <v>FY18</v>
      </c>
      <c r="Z289" s="80">
        <v>173878</v>
      </c>
      <c r="AA289" s="79" t="s">
        <v>477</v>
      </c>
      <c r="AB289" s="79" t="s">
        <v>578</v>
      </c>
      <c r="AC289" s="77" t="s">
        <v>94</v>
      </c>
      <c r="AD289" s="79" t="s">
        <v>1646</v>
      </c>
    </row>
    <row r="290" spans="1:30" x14ac:dyDescent="0.4">
      <c r="A290" s="10" t="s">
        <v>1209</v>
      </c>
      <c r="B290" s="77" t="s">
        <v>95</v>
      </c>
      <c r="C290" s="77">
        <f>C289+(BudgetsTable[[#This Row],[lead]]&lt;&gt;K289)</f>
        <v>64</v>
      </c>
      <c r="D290" s="77">
        <f>D289*(BudgetsTable[[#This Row],[lead]]=K289)+(BudgetsTable[[#This Row],[prop_id]]&lt;&gt;A289)</f>
        <v>1</v>
      </c>
      <c r="E290" s="78">
        <v>42956.648611111108</v>
      </c>
      <c r="F290" s="79" t="s">
        <v>1621</v>
      </c>
      <c r="G290" s="79" t="s">
        <v>477</v>
      </c>
      <c r="H290" s="79" t="s">
        <v>578</v>
      </c>
      <c r="I290" s="77" t="s">
        <v>611</v>
      </c>
      <c r="J290" s="77" t="s">
        <v>13</v>
      </c>
      <c r="K290" s="79" t="s">
        <v>1209</v>
      </c>
      <c r="L290" s="7" t="str">
        <f>IF(BudgetsTable[[#This Row],[pi_last_name]]=" ","",HYPERLINK("https://www.ejacket.nsf.gov/ej/showProposal.do?Continue=Y&amp;ID="&amp;BudgetsTable[[#This Row],[prop_id]],BudgetsTable[[#This Row],[prop_id]]))</f>
        <v/>
      </c>
      <c r="M290" s="15" t="str">
        <f>IF(BudgetsTable[[#This Row],[pi_last_name]]=" ","",HYPERLINK("https://www.ejacket.nsf.gov/ej/processReviewAnalysis.do?dispatch=add&amp;uniqId="&amp;BudgetsTable[[#This Row],[prop_id]]&amp;PO_id,"&gt;ra"))</f>
        <v/>
      </c>
      <c r="N290" s="79" t="s">
        <v>13</v>
      </c>
      <c r="O290" s="7" t="str">
        <f>IF(BudgetsTable[[#This Row],[pi_last_name]]=" ","",HYPERLINK("mailto:"&amp;BudgetsTable[[#This Row],[pi_email]]&amp;"&amp;subject=Your NSF Proposal:  "&amp;BudgetsTable[[#This Row],[prop_id]],BudgetsTable[[#This Row],[pi_email]]))</f>
        <v/>
      </c>
      <c r="P290" s="79" t="s">
        <v>13</v>
      </c>
      <c r="Q290" s="79">
        <v>0</v>
      </c>
      <c r="R290" s="79">
        <v>0</v>
      </c>
      <c r="S290" s="80">
        <v>0</v>
      </c>
      <c r="T290" s="80">
        <v>0</v>
      </c>
      <c r="U290" s="80">
        <v>0</v>
      </c>
      <c r="V290" s="81">
        <v>93775</v>
      </c>
      <c r="W290" s="79">
        <v>0</v>
      </c>
      <c r="X290" s="79">
        <v>1</v>
      </c>
      <c r="Y290" s="11" t="str">
        <f ca="1">IF(ISBLANK(BudgetsTable[[#This Row],[budg_seq_yr]]),"FY"&amp;fiscalyear,"FY"&amp;fiscalyear-1+BudgetsTable[[#This Row],[budg_seq_yr]])</f>
        <v>FY18</v>
      </c>
      <c r="Z290" s="80">
        <v>93775</v>
      </c>
      <c r="AA290" s="79" t="s">
        <v>477</v>
      </c>
      <c r="AB290" s="79" t="s">
        <v>578</v>
      </c>
      <c r="AC290" s="77" t="s">
        <v>94</v>
      </c>
      <c r="AD290" s="79" t="s">
        <v>1646</v>
      </c>
    </row>
    <row r="291" spans="1:30" x14ac:dyDescent="0.4">
      <c r="A291" s="10" t="s">
        <v>1209</v>
      </c>
      <c r="B291" s="77" t="s">
        <v>95</v>
      </c>
      <c r="C291" s="77">
        <f>C290+(BudgetsTable[[#This Row],[lead]]&lt;&gt;K290)</f>
        <v>64</v>
      </c>
      <c r="D291" s="77">
        <f>D290*(BudgetsTable[[#This Row],[lead]]=K290)+(BudgetsTable[[#This Row],[prop_id]]&lt;&gt;A290)</f>
        <v>1</v>
      </c>
      <c r="E291" s="78">
        <v>42956.648611111108</v>
      </c>
      <c r="F291" s="79" t="s">
        <v>1621</v>
      </c>
      <c r="G291" s="79" t="s">
        <v>477</v>
      </c>
      <c r="H291" s="79" t="s">
        <v>578</v>
      </c>
      <c r="I291" s="77" t="s">
        <v>611</v>
      </c>
      <c r="J291" s="77" t="s">
        <v>13</v>
      </c>
      <c r="K291" s="79" t="s">
        <v>1209</v>
      </c>
      <c r="L291" s="7" t="str">
        <f>IF(BudgetsTable[[#This Row],[pi_last_name]]=" ","",HYPERLINK("https://www.ejacket.nsf.gov/ej/showProposal.do?Continue=Y&amp;ID="&amp;BudgetsTable[[#This Row],[prop_id]],BudgetsTable[[#This Row],[prop_id]]))</f>
        <v/>
      </c>
      <c r="M291" s="15" t="str">
        <f>IF(BudgetsTable[[#This Row],[pi_last_name]]=" ","",HYPERLINK("https://www.ejacket.nsf.gov/ej/processReviewAnalysis.do?dispatch=add&amp;uniqId="&amp;BudgetsTable[[#This Row],[prop_id]]&amp;PO_id,"&gt;ra"))</f>
        <v/>
      </c>
      <c r="N291" s="79" t="s">
        <v>13</v>
      </c>
      <c r="O291" s="7" t="str">
        <f>IF(BudgetsTable[[#This Row],[pi_last_name]]=" ","",HYPERLINK("mailto:"&amp;BudgetsTable[[#This Row],[pi_email]]&amp;"&amp;subject=Your NSF Proposal:  "&amp;BudgetsTable[[#This Row],[prop_id]],BudgetsTable[[#This Row],[pi_email]]))</f>
        <v/>
      </c>
      <c r="P291" s="79" t="s">
        <v>13</v>
      </c>
      <c r="Q291" s="79">
        <v>0</v>
      </c>
      <c r="R291" s="79">
        <v>0</v>
      </c>
      <c r="S291" s="80">
        <v>0</v>
      </c>
      <c r="T291" s="80">
        <v>3000</v>
      </c>
      <c r="U291" s="80">
        <v>0</v>
      </c>
      <c r="V291" s="81">
        <v>80103</v>
      </c>
      <c r="W291" s="79">
        <v>0</v>
      </c>
      <c r="X291" s="79">
        <v>2</v>
      </c>
      <c r="Y291" s="11" t="str">
        <f ca="1">IF(ISBLANK(BudgetsTable[[#This Row],[budg_seq_yr]]),"FY"&amp;fiscalyear,"FY"&amp;fiscalyear-1+BudgetsTable[[#This Row],[budg_seq_yr]])</f>
        <v>FY19</v>
      </c>
      <c r="Z291" s="80">
        <v>80103</v>
      </c>
      <c r="AA291" s="79" t="s">
        <v>477</v>
      </c>
      <c r="AB291" s="79" t="s">
        <v>578</v>
      </c>
      <c r="AC291" s="77" t="s">
        <v>94</v>
      </c>
      <c r="AD291" s="79" t="s">
        <v>1646</v>
      </c>
    </row>
    <row r="292" spans="1:30" x14ac:dyDescent="0.4">
      <c r="A292" s="10" t="s">
        <v>1217</v>
      </c>
      <c r="B292" s="77" t="s">
        <v>95</v>
      </c>
      <c r="C292" s="77">
        <f>C291+(BudgetsTable[[#This Row],[lead]]&lt;&gt;K291)</f>
        <v>65</v>
      </c>
      <c r="D292" s="77">
        <f>D291*(BudgetsTable[[#This Row],[lead]]=K291)+(BudgetsTable[[#This Row],[prop_id]]&lt;&gt;A291)</f>
        <v>1</v>
      </c>
      <c r="E292" s="78">
        <v>42956.678472222222</v>
      </c>
      <c r="F292" s="79" t="s">
        <v>1621</v>
      </c>
      <c r="G292" s="79" t="s">
        <v>477</v>
      </c>
      <c r="H292" s="79" t="s">
        <v>578</v>
      </c>
      <c r="I292" s="77" t="s">
        <v>611</v>
      </c>
      <c r="J292" s="77" t="s">
        <v>1683</v>
      </c>
      <c r="K292" s="79" t="s">
        <v>1217</v>
      </c>
      <c r="L292" s="7" t="str">
        <f>IF(BudgetsTable[[#This Row],[pi_last_name]]=" ","",HYPERLINK("https://www.ejacket.nsf.gov/ej/showProposal.do?Continue=Y&amp;ID="&amp;BudgetsTable[[#This Row],[prop_id]],BudgetsTable[[#This Row],[prop_id]]))</f>
        <v>1755921</v>
      </c>
      <c r="M292" s="15" t="e">
        <f>IF(BudgetsTable[[#This Row],[pi_last_name]]=" ","",HYPERLINK("https://www.ejacket.nsf.gov/ej/processReviewAnalysis.do?dispatch=add&amp;uniqId="&amp;BudgetsTable[[#This Row],[prop_id]]&amp;PO_id,"&gt;ra"))</f>
        <v>#REF!</v>
      </c>
      <c r="N292" s="79" t="s">
        <v>1218</v>
      </c>
      <c r="O292" s="7" t="str">
        <f>IF(BudgetsTable[[#This Row],[pi_last_name]]=" ","",HYPERLINK("mailto:"&amp;BudgetsTable[[#This Row],[pi_email]]&amp;"&amp;subject=Your NSF Proposal:  "&amp;BudgetsTable[[#This Row],[prop_id]],BudgetsTable[[#This Row],[pi_email]]))</f>
        <v>miforbes@illinois.edu</v>
      </c>
      <c r="P292" s="79" t="s">
        <v>1477</v>
      </c>
      <c r="Q292" s="79"/>
      <c r="R292" s="79"/>
      <c r="S292" s="80"/>
      <c r="T292" s="80"/>
      <c r="U292" s="80"/>
      <c r="V292" s="81"/>
      <c r="W292" s="79">
        <v>0</v>
      </c>
      <c r="X292" s="79"/>
      <c r="Y292" s="11" t="str">
        <f ca="1">IF(ISBLANK(BudgetsTable[[#This Row],[budg_seq_yr]]),"FY"&amp;fiscalyear,"FY"&amp;fiscalyear-1+BudgetsTable[[#This Row],[budg_seq_yr]])</f>
        <v>FY18</v>
      </c>
      <c r="Z292" s="80">
        <v>175000</v>
      </c>
      <c r="AA292" s="79" t="s">
        <v>477</v>
      </c>
      <c r="AB292" s="79" t="s">
        <v>578</v>
      </c>
      <c r="AC292" s="77" t="s">
        <v>94</v>
      </c>
      <c r="AD292" s="79" t="s">
        <v>1680</v>
      </c>
    </row>
    <row r="293" spans="1:30" x14ac:dyDescent="0.4">
      <c r="A293" s="10" t="s">
        <v>1217</v>
      </c>
      <c r="B293" s="77" t="s">
        <v>95</v>
      </c>
      <c r="C293" s="77">
        <f>C292+(BudgetsTable[[#This Row],[lead]]&lt;&gt;K292)</f>
        <v>65</v>
      </c>
      <c r="D293" s="77">
        <f>D292*(BudgetsTable[[#This Row],[lead]]=K292)+(BudgetsTable[[#This Row],[prop_id]]&lt;&gt;A292)</f>
        <v>1</v>
      </c>
      <c r="E293" s="78">
        <v>42956.678472222222</v>
      </c>
      <c r="F293" s="79" t="s">
        <v>1621</v>
      </c>
      <c r="G293" s="79" t="s">
        <v>477</v>
      </c>
      <c r="H293" s="79" t="s">
        <v>578</v>
      </c>
      <c r="I293" s="77" t="s">
        <v>611</v>
      </c>
      <c r="J293" s="77" t="s">
        <v>13</v>
      </c>
      <c r="K293" s="79" t="s">
        <v>1217</v>
      </c>
      <c r="L293" s="7" t="str">
        <f>IF(BudgetsTable[[#This Row],[pi_last_name]]=" ","",HYPERLINK("https://www.ejacket.nsf.gov/ej/showProposal.do?Continue=Y&amp;ID="&amp;BudgetsTable[[#This Row],[prop_id]],BudgetsTable[[#This Row],[prop_id]]))</f>
        <v/>
      </c>
      <c r="M293" s="15" t="str">
        <f>IF(BudgetsTable[[#This Row],[pi_last_name]]=" ","",HYPERLINK("https://www.ejacket.nsf.gov/ej/processReviewAnalysis.do?dispatch=add&amp;uniqId="&amp;BudgetsTable[[#This Row],[prop_id]]&amp;PO_id,"&gt;ra"))</f>
        <v/>
      </c>
      <c r="N293" s="79" t="s">
        <v>13</v>
      </c>
      <c r="O293" s="7" t="str">
        <f>IF(BudgetsTable[[#This Row],[pi_last_name]]=" ","",HYPERLINK("mailto:"&amp;BudgetsTable[[#This Row],[pi_email]]&amp;"&amp;subject=Your NSF Proposal:  "&amp;BudgetsTable[[#This Row],[prop_id]],BudgetsTable[[#This Row],[pi_email]]))</f>
        <v/>
      </c>
      <c r="P293" s="79" t="s">
        <v>13</v>
      </c>
      <c r="Q293" s="79">
        <v>0</v>
      </c>
      <c r="R293" s="79">
        <v>0</v>
      </c>
      <c r="S293" s="80">
        <v>0</v>
      </c>
      <c r="T293" s="80">
        <v>4500</v>
      </c>
      <c r="U293" s="80">
        <v>0</v>
      </c>
      <c r="V293" s="81">
        <v>86408</v>
      </c>
      <c r="W293" s="79">
        <v>0</v>
      </c>
      <c r="X293" s="79">
        <v>1</v>
      </c>
      <c r="Y293" s="11" t="str">
        <f ca="1">IF(ISBLANK(BudgetsTable[[#This Row],[budg_seq_yr]]),"FY"&amp;fiscalyear,"FY"&amp;fiscalyear-1+BudgetsTable[[#This Row],[budg_seq_yr]])</f>
        <v>FY18</v>
      </c>
      <c r="Z293" s="80">
        <v>86408</v>
      </c>
      <c r="AA293" s="79" t="s">
        <v>477</v>
      </c>
      <c r="AB293" s="79" t="s">
        <v>578</v>
      </c>
      <c r="AC293" s="77" t="s">
        <v>94</v>
      </c>
      <c r="AD293" s="79" t="s">
        <v>1680</v>
      </c>
    </row>
    <row r="294" spans="1:30" x14ac:dyDescent="0.4">
      <c r="A294" s="10" t="s">
        <v>1217</v>
      </c>
      <c r="B294" s="77" t="s">
        <v>95</v>
      </c>
      <c r="C294" s="77">
        <f>C293+(BudgetsTable[[#This Row],[lead]]&lt;&gt;K293)</f>
        <v>65</v>
      </c>
      <c r="D294" s="77">
        <f>D293*(BudgetsTable[[#This Row],[lead]]=K293)+(BudgetsTable[[#This Row],[prop_id]]&lt;&gt;A293)</f>
        <v>1</v>
      </c>
      <c r="E294" s="78">
        <v>42956.678472222222</v>
      </c>
      <c r="F294" s="79" t="s">
        <v>1621</v>
      </c>
      <c r="G294" s="79" t="s">
        <v>477</v>
      </c>
      <c r="H294" s="79" t="s">
        <v>578</v>
      </c>
      <c r="I294" s="77" t="s">
        <v>611</v>
      </c>
      <c r="J294" s="77" t="s">
        <v>13</v>
      </c>
      <c r="K294" s="79" t="s">
        <v>1217</v>
      </c>
      <c r="L294" s="7" t="str">
        <f>IF(BudgetsTable[[#This Row],[pi_last_name]]=" ","",HYPERLINK("https://www.ejacket.nsf.gov/ej/showProposal.do?Continue=Y&amp;ID="&amp;BudgetsTable[[#This Row],[prop_id]],BudgetsTable[[#This Row],[prop_id]]))</f>
        <v/>
      </c>
      <c r="M294" s="15" t="str">
        <f>IF(BudgetsTable[[#This Row],[pi_last_name]]=" ","",HYPERLINK("https://www.ejacket.nsf.gov/ej/processReviewAnalysis.do?dispatch=add&amp;uniqId="&amp;BudgetsTable[[#This Row],[prop_id]]&amp;PO_id,"&gt;ra"))</f>
        <v/>
      </c>
      <c r="N294" s="79" t="s">
        <v>13</v>
      </c>
      <c r="O294" s="7" t="str">
        <f>IF(BudgetsTable[[#This Row],[pi_last_name]]=" ","",HYPERLINK("mailto:"&amp;BudgetsTable[[#This Row],[pi_email]]&amp;"&amp;subject=Your NSF Proposal:  "&amp;BudgetsTable[[#This Row],[prop_id]],BudgetsTable[[#This Row],[pi_email]]))</f>
        <v/>
      </c>
      <c r="P294" s="79" t="s">
        <v>13</v>
      </c>
      <c r="Q294" s="79">
        <v>0</v>
      </c>
      <c r="R294" s="79">
        <v>0</v>
      </c>
      <c r="S294" s="80">
        <v>0</v>
      </c>
      <c r="T294" s="80">
        <v>4237</v>
      </c>
      <c r="U294" s="80">
        <v>0</v>
      </c>
      <c r="V294" s="81">
        <v>88592</v>
      </c>
      <c r="W294" s="79">
        <v>0</v>
      </c>
      <c r="X294" s="79">
        <v>2</v>
      </c>
      <c r="Y294" s="11" t="str">
        <f ca="1">IF(ISBLANK(BudgetsTable[[#This Row],[budg_seq_yr]]),"FY"&amp;fiscalyear,"FY"&amp;fiscalyear-1+BudgetsTable[[#This Row],[budg_seq_yr]])</f>
        <v>FY19</v>
      </c>
      <c r="Z294" s="80">
        <v>88592</v>
      </c>
      <c r="AA294" s="79" t="s">
        <v>477</v>
      </c>
      <c r="AB294" s="79" t="s">
        <v>578</v>
      </c>
      <c r="AC294" s="77" t="s">
        <v>94</v>
      </c>
      <c r="AD294" s="79" t="s">
        <v>1680</v>
      </c>
    </row>
    <row r="295" spans="1:30" x14ac:dyDescent="0.4">
      <c r="A295" s="10" t="s">
        <v>1224</v>
      </c>
      <c r="B295" s="77" t="s">
        <v>95</v>
      </c>
      <c r="C295" s="77">
        <f>C294+(BudgetsTable[[#This Row],[lead]]&lt;&gt;K294)</f>
        <v>66</v>
      </c>
      <c r="D295" s="77">
        <f>D294*(BudgetsTable[[#This Row],[lead]]=K294)+(BudgetsTable[[#This Row],[prop_id]]&lt;&gt;A294)</f>
        <v>1</v>
      </c>
      <c r="E295" s="78">
        <v>42956.695833333331</v>
      </c>
      <c r="F295" s="79" t="s">
        <v>1621</v>
      </c>
      <c r="G295" s="79" t="s">
        <v>477</v>
      </c>
      <c r="H295" s="79" t="s">
        <v>578</v>
      </c>
      <c r="I295" s="77" t="s">
        <v>611</v>
      </c>
      <c r="J295" s="77" t="s">
        <v>1688</v>
      </c>
      <c r="K295" s="79" t="s">
        <v>1224</v>
      </c>
      <c r="L295" s="7" t="str">
        <f>IF(BudgetsTable[[#This Row],[pi_last_name]]=" ","",HYPERLINK("https://www.ejacket.nsf.gov/ej/showProposal.do?Continue=Y&amp;ID="&amp;BudgetsTable[[#This Row],[prop_id]],BudgetsTable[[#This Row],[prop_id]]))</f>
        <v>1755950</v>
      </c>
      <c r="M295" s="15" t="e">
        <f>IF(BudgetsTable[[#This Row],[pi_last_name]]=" ","",HYPERLINK("https://www.ejacket.nsf.gov/ej/processReviewAnalysis.do?dispatch=add&amp;uniqId="&amp;BudgetsTable[[#This Row],[prop_id]]&amp;PO_id,"&gt;ra"))</f>
        <v>#REF!</v>
      </c>
      <c r="N295" s="79" t="s">
        <v>1225</v>
      </c>
      <c r="O295" s="7" t="str">
        <f>IF(BudgetsTable[[#This Row],[pi_last_name]]=" ","",HYPERLINK("mailto:"&amp;BudgetsTable[[#This Row],[pi_email]]&amp;"&amp;subject=Your NSF Proposal:  "&amp;BudgetsTable[[#This Row],[prop_id]],BudgetsTable[[#This Row],[pi_email]]))</f>
        <v>adres@asu.edu</v>
      </c>
      <c r="P295" s="79" t="s">
        <v>1685</v>
      </c>
      <c r="Q295" s="79"/>
      <c r="R295" s="79"/>
      <c r="S295" s="80"/>
      <c r="T295" s="80"/>
      <c r="U295" s="80"/>
      <c r="V295" s="81"/>
      <c r="W295" s="79">
        <v>0</v>
      </c>
      <c r="X295" s="79"/>
      <c r="Y295" s="11" t="str">
        <f ca="1">IF(ISBLANK(BudgetsTable[[#This Row],[budg_seq_yr]]),"FY"&amp;fiscalyear,"FY"&amp;fiscalyear-1+BudgetsTable[[#This Row],[budg_seq_yr]])</f>
        <v>FY18</v>
      </c>
      <c r="Z295" s="80">
        <v>175000</v>
      </c>
      <c r="AA295" s="79" t="s">
        <v>477</v>
      </c>
      <c r="AB295" s="79" t="s">
        <v>578</v>
      </c>
      <c r="AC295" s="77" t="s">
        <v>94</v>
      </c>
      <c r="AD295" s="79" t="s">
        <v>1646</v>
      </c>
    </row>
    <row r="296" spans="1:30" x14ac:dyDescent="0.4">
      <c r="A296" s="10" t="s">
        <v>1224</v>
      </c>
      <c r="B296" s="77" t="s">
        <v>95</v>
      </c>
      <c r="C296" s="77">
        <f>C295+(BudgetsTable[[#This Row],[lead]]&lt;&gt;K295)</f>
        <v>66</v>
      </c>
      <c r="D296" s="77">
        <f>D295*(BudgetsTable[[#This Row],[lead]]=K295)+(BudgetsTable[[#This Row],[prop_id]]&lt;&gt;A295)</f>
        <v>1</v>
      </c>
      <c r="E296" s="78">
        <v>42956.695833333331</v>
      </c>
      <c r="F296" s="79" t="s">
        <v>1621</v>
      </c>
      <c r="G296" s="79" t="s">
        <v>477</v>
      </c>
      <c r="H296" s="79" t="s">
        <v>578</v>
      </c>
      <c r="I296" s="77" t="s">
        <v>611</v>
      </c>
      <c r="J296" s="77" t="s">
        <v>13</v>
      </c>
      <c r="K296" s="79" t="s">
        <v>1224</v>
      </c>
      <c r="L296" s="7" t="str">
        <f>IF(BudgetsTable[[#This Row],[pi_last_name]]=" ","",HYPERLINK("https://www.ejacket.nsf.gov/ej/showProposal.do?Continue=Y&amp;ID="&amp;BudgetsTable[[#This Row],[prop_id]],BudgetsTable[[#This Row],[prop_id]]))</f>
        <v/>
      </c>
      <c r="M296" s="15" t="str">
        <f>IF(BudgetsTable[[#This Row],[pi_last_name]]=" ","",HYPERLINK("https://www.ejacket.nsf.gov/ej/processReviewAnalysis.do?dispatch=add&amp;uniqId="&amp;BudgetsTable[[#This Row],[prop_id]]&amp;PO_id,"&gt;ra"))</f>
        <v/>
      </c>
      <c r="N296" s="79" t="s">
        <v>13</v>
      </c>
      <c r="O296" s="7" t="str">
        <f>IF(BudgetsTable[[#This Row],[pi_last_name]]=" ","",HYPERLINK("mailto:"&amp;BudgetsTable[[#This Row],[pi_email]]&amp;"&amp;subject=Your NSF Proposal:  "&amp;BudgetsTable[[#This Row],[prop_id]],BudgetsTable[[#This Row],[pi_email]]))</f>
        <v/>
      </c>
      <c r="P296" s="79" t="s">
        <v>13</v>
      </c>
      <c r="Q296" s="79">
        <v>0</v>
      </c>
      <c r="R296" s="79">
        <v>0</v>
      </c>
      <c r="S296" s="80">
        <v>0</v>
      </c>
      <c r="T296" s="80">
        <v>3300</v>
      </c>
      <c r="U296" s="80">
        <v>0</v>
      </c>
      <c r="V296" s="81">
        <v>67667</v>
      </c>
      <c r="W296" s="79">
        <v>0</v>
      </c>
      <c r="X296" s="79">
        <v>1</v>
      </c>
      <c r="Y296" s="11" t="str">
        <f ca="1">IF(ISBLANK(BudgetsTable[[#This Row],[budg_seq_yr]]),"FY"&amp;fiscalyear,"FY"&amp;fiscalyear-1+BudgetsTable[[#This Row],[budg_seq_yr]])</f>
        <v>FY18</v>
      </c>
      <c r="Z296" s="80">
        <v>67667</v>
      </c>
      <c r="AA296" s="79" t="s">
        <v>477</v>
      </c>
      <c r="AB296" s="79" t="s">
        <v>578</v>
      </c>
      <c r="AC296" s="77" t="s">
        <v>94</v>
      </c>
      <c r="AD296" s="79" t="s">
        <v>1646</v>
      </c>
    </row>
    <row r="297" spans="1:30" x14ac:dyDescent="0.4">
      <c r="A297" s="10" t="s">
        <v>1224</v>
      </c>
      <c r="B297" s="77" t="s">
        <v>95</v>
      </c>
      <c r="C297" s="77">
        <f>C296+(BudgetsTable[[#This Row],[lead]]&lt;&gt;K296)</f>
        <v>66</v>
      </c>
      <c r="D297" s="77">
        <f>D296*(BudgetsTable[[#This Row],[lead]]=K296)+(BudgetsTable[[#This Row],[prop_id]]&lt;&gt;A296)</f>
        <v>1</v>
      </c>
      <c r="E297" s="78">
        <v>42956.695833333331</v>
      </c>
      <c r="F297" s="79" t="s">
        <v>1621</v>
      </c>
      <c r="G297" s="79" t="s">
        <v>477</v>
      </c>
      <c r="H297" s="79" t="s">
        <v>578</v>
      </c>
      <c r="I297" s="77" t="s">
        <v>611</v>
      </c>
      <c r="J297" s="77" t="s">
        <v>13</v>
      </c>
      <c r="K297" s="79" t="s">
        <v>1224</v>
      </c>
      <c r="L297" s="7" t="str">
        <f>IF(BudgetsTable[[#This Row],[pi_last_name]]=" ","",HYPERLINK("https://www.ejacket.nsf.gov/ej/showProposal.do?Continue=Y&amp;ID="&amp;BudgetsTable[[#This Row],[prop_id]],BudgetsTable[[#This Row],[prop_id]]))</f>
        <v/>
      </c>
      <c r="M297" s="15" t="str">
        <f>IF(BudgetsTable[[#This Row],[pi_last_name]]=" ","",HYPERLINK("https://www.ejacket.nsf.gov/ej/processReviewAnalysis.do?dispatch=add&amp;uniqId="&amp;BudgetsTable[[#This Row],[prop_id]]&amp;PO_id,"&gt;ra"))</f>
        <v/>
      </c>
      <c r="N297" s="79" t="s">
        <v>13</v>
      </c>
      <c r="O297" s="7" t="str">
        <f>IF(BudgetsTable[[#This Row],[pi_last_name]]=" ","",HYPERLINK("mailto:"&amp;BudgetsTable[[#This Row],[pi_email]]&amp;"&amp;subject=Your NSF Proposal:  "&amp;BudgetsTable[[#This Row],[prop_id]],BudgetsTable[[#This Row],[pi_email]]))</f>
        <v/>
      </c>
      <c r="P297" s="79" t="s">
        <v>13</v>
      </c>
      <c r="Q297" s="79">
        <v>0</v>
      </c>
      <c r="R297" s="79">
        <v>0</v>
      </c>
      <c r="S297" s="80">
        <v>0</v>
      </c>
      <c r="T297" s="80">
        <v>3281</v>
      </c>
      <c r="U297" s="80">
        <v>0</v>
      </c>
      <c r="V297" s="81">
        <v>107333</v>
      </c>
      <c r="W297" s="79">
        <v>0</v>
      </c>
      <c r="X297" s="79">
        <v>2</v>
      </c>
      <c r="Y297" s="11" t="str">
        <f ca="1">IF(ISBLANK(BudgetsTable[[#This Row],[budg_seq_yr]]),"FY"&amp;fiscalyear,"FY"&amp;fiscalyear-1+BudgetsTable[[#This Row],[budg_seq_yr]])</f>
        <v>FY19</v>
      </c>
      <c r="Z297" s="80">
        <v>107333</v>
      </c>
      <c r="AA297" s="79" t="s">
        <v>477</v>
      </c>
      <c r="AB297" s="79" t="s">
        <v>578</v>
      </c>
      <c r="AC297" s="77" t="s">
        <v>94</v>
      </c>
      <c r="AD297" s="79" t="s">
        <v>1646</v>
      </c>
    </row>
    <row r="298" spans="1:30" x14ac:dyDescent="0.4">
      <c r="A298" s="10" t="s">
        <v>1232</v>
      </c>
      <c r="B298" s="77" t="s">
        <v>95</v>
      </c>
      <c r="C298" s="77">
        <f>C297+(BudgetsTable[[#This Row],[lead]]&lt;&gt;K297)</f>
        <v>67</v>
      </c>
      <c r="D298" s="77">
        <f>D297*(BudgetsTable[[#This Row],[lead]]=K297)+(BudgetsTable[[#This Row],[prop_id]]&lt;&gt;A297)</f>
        <v>1</v>
      </c>
      <c r="E298" s="78">
        <v>42956.697222222225</v>
      </c>
      <c r="F298" s="79" t="s">
        <v>1621</v>
      </c>
      <c r="G298" s="79" t="s">
        <v>477</v>
      </c>
      <c r="H298" s="79" t="s">
        <v>578</v>
      </c>
      <c r="I298" s="77" t="s">
        <v>604</v>
      </c>
      <c r="J298" s="77" t="s">
        <v>1693</v>
      </c>
      <c r="K298" s="79" t="s">
        <v>1232</v>
      </c>
      <c r="L298" s="7" t="str">
        <f>IF(BudgetsTable[[#This Row],[pi_last_name]]=" ","",HYPERLINK("https://www.ejacket.nsf.gov/ej/showProposal.do?Continue=Y&amp;ID="&amp;BudgetsTable[[#This Row],[prop_id]],BudgetsTable[[#This Row],[prop_id]]))</f>
        <v>1755954</v>
      </c>
      <c r="M298" s="15" t="e">
        <f>IF(BudgetsTable[[#This Row],[pi_last_name]]=" ","",HYPERLINK("https://www.ejacket.nsf.gov/ej/processReviewAnalysis.do?dispatch=add&amp;uniqId="&amp;BudgetsTable[[#This Row],[prop_id]]&amp;PO_id,"&gt;ra"))</f>
        <v>#REF!</v>
      </c>
      <c r="N298" s="79" t="s">
        <v>1233</v>
      </c>
      <c r="O298" s="7" t="str">
        <f>IF(BudgetsTable[[#This Row],[pi_last_name]]=" ","",HYPERLINK("mailto:"&amp;BudgetsTable[[#This Row],[pi_email]]&amp;"&amp;subject=Your NSF Proposal:  "&amp;BudgetsTable[[#This Row],[prop_id]],BudgetsTable[[#This Row],[pi_email]]))</f>
        <v>shima.hm@tamu.edu</v>
      </c>
      <c r="P298" s="79" t="s">
        <v>1690</v>
      </c>
      <c r="Q298" s="79"/>
      <c r="R298" s="79"/>
      <c r="S298" s="80"/>
      <c r="T298" s="80"/>
      <c r="U298" s="80"/>
      <c r="V298" s="81"/>
      <c r="W298" s="79">
        <v>0</v>
      </c>
      <c r="X298" s="79"/>
      <c r="Y298" s="11" t="str">
        <f ca="1">IF(ISBLANK(BudgetsTable[[#This Row],[budg_seq_yr]]),"FY"&amp;fiscalyear,"FY"&amp;fiscalyear-1+BudgetsTable[[#This Row],[budg_seq_yr]])</f>
        <v>FY18</v>
      </c>
      <c r="Z298" s="80">
        <v>175000</v>
      </c>
      <c r="AA298" s="79" t="s">
        <v>477</v>
      </c>
      <c r="AB298" s="79" t="s">
        <v>578</v>
      </c>
      <c r="AC298" s="77" t="s">
        <v>94</v>
      </c>
      <c r="AD298" s="79" t="s">
        <v>1665</v>
      </c>
    </row>
    <row r="299" spans="1:30" x14ac:dyDescent="0.4">
      <c r="A299" s="10" t="s">
        <v>1232</v>
      </c>
      <c r="B299" s="77" t="s">
        <v>95</v>
      </c>
      <c r="C299" s="77">
        <f>C298+(BudgetsTable[[#This Row],[lead]]&lt;&gt;K298)</f>
        <v>67</v>
      </c>
      <c r="D299" s="77">
        <f>D298*(BudgetsTable[[#This Row],[lead]]=K298)+(BudgetsTable[[#This Row],[prop_id]]&lt;&gt;A298)</f>
        <v>1</v>
      </c>
      <c r="E299" s="78">
        <v>42956.697222222225</v>
      </c>
      <c r="F299" s="79" t="s">
        <v>1621</v>
      </c>
      <c r="G299" s="79" t="s">
        <v>477</v>
      </c>
      <c r="H299" s="79" t="s">
        <v>578</v>
      </c>
      <c r="I299" s="77" t="s">
        <v>604</v>
      </c>
      <c r="J299" s="77" t="s">
        <v>13</v>
      </c>
      <c r="K299" s="79" t="s">
        <v>1232</v>
      </c>
      <c r="L299" s="7" t="str">
        <f>IF(BudgetsTable[[#This Row],[pi_last_name]]=" ","",HYPERLINK("https://www.ejacket.nsf.gov/ej/showProposal.do?Continue=Y&amp;ID="&amp;BudgetsTable[[#This Row],[prop_id]],BudgetsTable[[#This Row],[prop_id]]))</f>
        <v/>
      </c>
      <c r="M299" s="15" t="str">
        <f>IF(BudgetsTable[[#This Row],[pi_last_name]]=" ","",HYPERLINK("https://www.ejacket.nsf.gov/ej/processReviewAnalysis.do?dispatch=add&amp;uniqId="&amp;BudgetsTable[[#This Row],[prop_id]]&amp;PO_id,"&gt;ra"))</f>
        <v/>
      </c>
      <c r="N299" s="79" t="s">
        <v>13</v>
      </c>
      <c r="O299" s="7" t="str">
        <f>IF(BudgetsTable[[#This Row],[pi_last_name]]=" ","",HYPERLINK("mailto:"&amp;BudgetsTable[[#This Row],[pi_email]]&amp;"&amp;subject=Your NSF Proposal:  "&amp;BudgetsTable[[#This Row],[prop_id]],BudgetsTable[[#This Row],[pi_email]]))</f>
        <v/>
      </c>
      <c r="P299" s="79" t="s">
        <v>13</v>
      </c>
      <c r="Q299" s="79">
        <v>0</v>
      </c>
      <c r="R299" s="79">
        <v>0</v>
      </c>
      <c r="S299" s="80">
        <v>0</v>
      </c>
      <c r="T299" s="80">
        <v>0</v>
      </c>
      <c r="U299" s="80">
        <v>0</v>
      </c>
      <c r="V299" s="81">
        <v>86245</v>
      </c>
      <c r="W299" s="79">
        <v>0</v>
      </c>
      <c r="X299" s="79">
        <v>1</v>
      </c>
      <c r="Y299" s="11" t="str">
        <f ca="1">IF(ISBLANK(BudgetsTable[[#This Row],[budg_seq_yr]]),"FY"&amp;fiscalyear,"FY"&amp;fiscalyear-1+BudgetsTable[[#This Row],[budg_seq_yr]])</f>
        <v>FY18</v>
      </c>
      <c r="Z299" s="80">
        <v>86245</v>
      </c>
      <c r="AA299" s="79" t="s">
        <v>477</v>
      </c>
      <c r="AB299" s="79" t="s">
        <v>578</v>
      </c>
      <c r="AC299" s="77" t="s">
        <v>94</v>
      </c>
      <c r="AD299" s="79" t="s">
        <v>1665</v>
      </c>
    </row>
    <row r="300" spans="1:30" x14ac:dyDescent="0.4">
      <c r="A300" s="10" t="s">
        <v>1232</v>
      </c>
      <c r="B300" s="77" t="s">
        <v>95</v>
      </c>
      <c r="C300" s="77">
        <f>C299+(BudgetsTable[[#This Row],[lead]]&lt;&gt;K299)</f>
        <v>67</v>
      </c>
      <c r="D300" s="77">
        <f>D299*(BudgetsTable[[#This Row],[lead]]=K299)+(BudgetsTable[[#This Row],[prop_id]]&lt;&gt;A299)</f>
        <v>1</v>
      </c>
      <c r="E300" s="78">
        <v>42956.697222222225</v>
      </c>
      <c r="F300" s="79" t="s">
        <v>1621</v>
      </c>
      <c r="G300" s="79" t="s">
        <v>477</v>
      </c>
      <c r="H300" s="79" t="s">
        <v>578</v>
      </c>
      <c r="I300" s="77" t="s">
        <v>604</v>
      </c>
      <c r="J300" s="77" t="s">
        <v>13</v>
      </c>
      <c r="K300" s="79" t="s">
        <v>1232</v>
      </c>
      <c r="L300" s="7" t="str">
        <f>IF(BudgetsTable[[#This Row],[pi_last_name]]=" ","",HYPERLINK("https://www.ejacket.nsf.gov/ej/showProposal.do?Continue=Y&amp;ID="&amp;BudgetsTable[[#This Row],[prop_id]],BudgetsTable[[#This Row],[prop_id]]))</f>
        <v/>
      </c>
      <c r="M300" s="15" t="str">
        <f>IF(BudgetsTable[[#This Row],[pi_last_name]]=" ","",HYPERLINK("https://www.ejacket.nsf.gov/ej/processReviewAnalysis.do?dispatch=add&amp;uniqId="&amp;BudgetsTable[[#This Row],[prop_id]]&amp;PO_id,"&gt;ra"))</f>
        <v/>
      </c>
      <c r="N300" s="79" t="s">
        <v>13</v>
      </c>
      <c r="O300" s="7" t="str">
        <f>IF(BudgetsTable[[#This Row],[pi_last_name]]=" ","",HYPERLINK("mailto:"&amp;BudgetsTable[[#This Row],[pi_email]]&amp;"&amp;subject=Your NSF Proposal:  "&amp;BudgetsTable[[#This Row],[prop_id]],BudgetsTable[[#This Row],[pi_email]]))</f>
        <v/>
      </c>
      <c r="P300" s="79" t="s">
        <v>13</v>
      </c>
      <c r="Q300" s="79">
        <v>0</v>
      </c>
      <c r="R300" s="79">
        <v>0</v>
      </c>
      <c r="S300" s="80">
        <v>0</v>
      </c>
      <c r="T300" s="80">
        <v>0</v>
      </c>
      <c r="U300" s="80">
        <v>0</v>
      </c>
      <c r="V300" s="81">
        <v>88755</v>
      </c>
      <c r="W300" s="79">
        <v>0</v>
      </c>
      <c r="X300" s="79">
        <v>2</v>
      </c>
      <c r="Y300" s="11" t="str">
        <f ca="1">IF(ISBLANK(BudgetsTable[[#This Row],[budg_seq_yr]]),"FY"&amp;fiscalyear,"FY"&amp;fiscalyear-1+BudgetsTable[[#This Row],[budg_seq_yr]])</f>
        <v>FY19</v>
      </c>
      <c r="Z300" s="80">
        <v>88755</v>
      </c>
      <c r="AA300" s="79" t="s">
        <v>477</v>
      </c>
      <c r="AB300" s="79" t="s">
        <v>578</v>
      </c>
      <c r="AC300" s="77" t="s">
        <v>94</v>
      </c>
      <c r="AD300" s="79" t="s">
        <v>1665</v>
      </c>
    </row>
    <row r="301" spans="1:30" x14ac:dyDescent="0.4">
      <c r="A301" s="10" t="s">
        <v>1241</v>
      </c>
      <c r="B301" s="77" t="s">
        <v>95</v>
      </c>
      <c r="C301" s="77">
        <f>C300+(BudgetsTable[[#This Row],[lead]]&lt;&gt;K300)</f>
        <v>68</v>
      </c>
      <c r="D301" s="77">
        <f>D300*(BudgetsTable[[#This Row],[lead]]=K300)+(BudgetsTable[[#This Row],[prop_id]]&lt;&gt;A300)</f>
        <v>1</v>
      </c>
      <c r="E301" s="78">
        <v>42956.697916666664</v>
      </c>
      <c r="F301" s="79" t="s">
        <v>1621</v>
      </c>
      <c r="G301" s="79" t="s">
        <v>477</v>
      </c>
      <c r="H301" s="79" t="s">
        <v>578</v>
      </c>
      <c r="I301" s="77" t="s">
        <v>611</v>
      </c>
      <c r="J301" s="77" t="s">
        <v>1288</v>
      </c>
      <c r="K301" s="79" t="s">
        <v>1241</v>
      </c>
      <c r="L301" s="7" t="str">
        <f>IF(BudgetsTable[[#This Row],[pi_last_name]]=" ","",HYPERLINK("https://www.ejacket.nsf.gov/ej/showProposal.do?Continue=Y&amp;ID="&amp;BudgetsTable[[#This Row],[prop_id]],BudgetsTable[[#This Row],[prop_id]]))</f>
        <v>1755955</v>
      </c>
      <c r="M301" s="15" t="e">
        <f>IF(BudgetsTable[[#This Row],[pi_last_name]]=" ","",HYPERLINK("https://www.ejacket.nsf.gov/ej/processReviewAnalysis.do?dispatch=add&amp;uniqId="&amp;BudgetsTable[[#This Row],[prop_id]]&amp;PO_id,"&gt;ra"))</f>
        <v>#REF!</v>
      </c>
      <c r="N301" s="79" t="s">
        <v>1031</v>
      </c>
      <c r="O301" s="7" t="str">
        <f>IF(BudgetsTable[[#This Row],[pi_last_name]]=" ","",HYPERLINK("mailto:"&amp;BudgetsTable[[#This Row],[pi_email]]&amp;"&amp;subject=Your NSF Proposal:  "&amp;BudgetsTable[[#This Row],[prop_id]],BudgetsTable[[#This Row],[pi_email]]))</f>
        <v>gkatz@drexel.edu</v>
      </c>
      <c r="P301" s="79" t="s">
        <v>1594</v>
      </c>
      <c r="Q301" s="79"/>
      <c r="R301" s="79"/>
      <c r="S301" s="80"/>
      <c r="T301" s="80"/>
      <c r="U301" s="80"/>
      <c r="V301" s="81"/>
      <c r="W301" s="79">
        <v>0</v>
      </c>
      <c r="X301" s="79"/>
      <c r="Y301" s="11" t="str">
        <f ca="1">IF(ISBLANK(BudgetsTable[[#This Row],[budg_seq_yr]]),"FY"&amp;fiscalyear,"FY"&amp;fiscalyear-1+BudgetsTable[[#This Row],[budg_seq_yr]])</f>
        <v>FY18</v>
      </c>
      <c r="Z301" s="80">
        <v>174930</v>
      </c>
      <c r="AA301" s="79" t="s">
        <v>477</v>
      </c>
      <c r="AB301" s="79" t="s">
        <v>578</v>
      </c>
      <c r="AC301" s="77" t="s">
        <v>94</v>
      </c>
      <c r="AD301" s="79" t="s">
        <v>1646</v>
      </c>
    </row>
    <row r="302" spans="1:30" x14ac:dyDescent="0.4">
      <c r="A302" s="10" t="s">
        <v>1241</v>
      </c>
      <c r="B302" s="77" t="s">
        <v>95</v>
      </c>
      <c r="C302" s="77">
        <f>C301+(BudgetsTable[[#This Row],[lead]]&lt;&gt;K301)</f>
        <v>68</v>
      </c>
      <c r="D302" s="77">
        <f>D301*(BudgetsTable[[#This Row],[lead]]=K301)+(BudgetsTable[[#This Row],[prop_id]]&lt;&gt;A301)</f>
        <v>1</v>
      </c>
      <c r="E302" s="78">
        <v>42956.697916666664</v>
      </c>
      <c r="F302" s="79" t="s">
        <v>1621</v>
      </c>
      <c r="G302" s="79" t="s">
        <v>477</v>
      </c>
      <c r="H302" s="79" t="s">
        <v>578</v>
      </c>
      <c r="I302" s="77" t="s">
        <v>611</v>
      </c>
      <c r="J302" s="77" t="s">
        <v>13</v>
      </c>
      <c r="K302" s="79" t="s">
        <v>1241</v>
      </c>
      <c r="L302" s="7" t="str">
        <f>IF(BudgetsTable[[#This Row],[pi_last_name]]=" ","",HYPERLINK("https://www.ejacket.nsf.gov/ej/showProposal.do?Continue=Y&amp;ID="&amp;BudgetsTable[[#This Row],[prop_id]],BudgetsTable[[#This Row],[prop_id]]))</f>
        <v/>
      </c>
      <c r="M302" s="15" t="str">
        <f>IF(BudgetsTable[[#This Row],[pi_last_name]]=" ","",HYPERLINK("https://www.ejacket.nsf.gov/ej/processReviewAnalysis.do?dispatch=add&amp;uniqId="&amp;BudgetsTable[[#This Row],[prop_id]]&amp;PO_id,"&gt;ra"))</f>
        <v/>
      </c>
      <c r="N302" s="79" t="s">
        <v>13</v>
      </c>
      <c r="O302" s="7" t="str">
        <f>IF(BudgetsTable[[#This Row],[pi_last_name]]=" ","",HYPERLINK("mailto:"&amp;BudgetsTable[[#This Row],[pi_email]]&amp;"&amp;subject=Your NSF Proposal:  "&amp;BudgetsTable[[#This Row],[prop_id]],BudgetsTable[[#This Row],[pi_email]]))</f>
        <v/>
      </c>
      <c r="P302" s="79" t="s">
        <v>13</v>
      </c>
      <c r="Q302" s="79">
        <v>0</v>
      </c>
      <c r="R302" s="79">
        <v>0</v>
      </c>
      <c r="S302" s="80">
        <v>0</v>
      </c>
      <c r="T302" s="80">
        <v>4500</v>
      </c>
      <c r="U302" s="80">
        <v>0</v>
      </c>
      <c r="V302" s="81">
        <v>90272</v>
      </c>
      <c r="W302" s="79">
        <v>0</v>
      </c>
      <c r="X302" s="79">
        <v>1</v>
      </c>
      <c r="Y302" s="11" t="str">
        <f ca="1">IF(ISBLANK(BudgetsTable[[#This Row],[budg_seq_yr]]),"FY"&amp;fiscalyear,"FY"&amp;fiscalyear-1+BudgetsTable[[#This Row],[budg_seq_yr]])</f>
        <v>FY18</v>
      </c>
      <c r="Z302" s="80">
        <v>90272</v>
      </c>
      <c r="AA302" s="79" t="s">
        <v>477</v>
      </c>
      <c r="AB302" s="79" t="s">
        <v>578</v>
      </c>
      <c r="AC302" s="77" t="s">
        <v>94</v>
      </c>
      <c r="AD302" s="79" t="s">
        <v>1646</v>
      </c>
    </row>
    <row r="303" spans="1:30" x14ac:dyDescent="0.4">
      <c r="A303" s="10" t="s">
        <v>1241</v>
      </c>
      <c r="B303" s="77" t="s">
        <v>95</v>
      </c>
      <c r="C303" s="77">
        <f>C302+(BudgetsTable[[#This Row],[lead]]&lt;&gt;K302)</f>
        <v>68</v>
      </c>
      <c r="D303" s="77">
        <f>D302*(BudgetsTable[[#This Row],[lead]]=K302)+(BudgetsTable[[#This Row],[prop_id]]&lt;&gt;A302)</f>
        <v>1</v>
      </c>
      <c r="E303" s="78">
        <v>42956.697916666664</v>
      </c>
      <c r="F303" s="79" t="s">
        <v>1621</v>
      </c>
      <c r="G303" s="79" t="s">
        <v>477</v>
      </c>
      <c r="H303" s="79" t="s">
        <v>578</v>
      </c>
      <c r="I303" s="77" t="s">
        <v>611</v>
      </c>
      <c r="J303" s="77" t="s">
        <v>13</v>
      </c>
      <c r="K303" s="79" t="s">
        <v>1241</v>
      </c>
      <c r="L303" s="7" t="str">
        <f>IF(BudgetsTable[[#This Row],[pi_last_name]]=" ","",HYPERLINK("https://www.ejacket.nsf.gov/ej/showProposal.do?Continue=Y&amp;ID="&amp;BudgetsTable[[#This Row],[prop_id]],BudgetsTable[[#This Row],[prop_id]]))</f>
        <v/>
      </c>
      <c r="M303" s="15" t="str">
        <f>IF(BudgetsTable[[#This Row],[pi_last_name]]=" ","",HYPERLINK("https://www.ejacket.nsf.gov/ej/processReviewAnalysis.do?dispatch=add&amp;uniqId="&amp;BudgetsTable[[#This Row],[prop_id]]&amp;PO_id,"&gt;ra"))</f>
        <v/>
      </c>
      <c r="N303" s="79" t="s">
        <v>13</v>
      </c>
      <c r="O303" s="7" t="str">
        <f>IF(BudgetsTable[[#This Row],[pi_last_name]]=" ","",HYPERLINK("mailto:"&amp;BudgetsTable[[#This Row],[pi_email]]&amp;"&amp;subject=Your NSF Proposal:  "&amp;BudgetsTable[[#This Row],[prop_id]],BudgetsTable[[#This Row],[pi_email]]))</f>
        <v/>
      </c>
      <c r="P303" s="79" t="s">
        <v>13</v>
      </c>
      <c r="Q303" s="79">
        <v>0</v>
      </c>
      <c r="R303" s="79">
        <v>0</v>
      </c>
      <c r="S303" s="80">
        <v>0</v>
      </c>
      <c r="T303" s="80">
        <v>4500</v>
      </c>
      <c r="U303" s="80">
        <v>0</v>
      </c>
      <c r="V303" s="81">
        <v>84658</v>
      </c>
      <c r="W303" s="79">
        <v>0</v>
      </c>
      <c r="X303" s="79">
        <v>2</v>
      </c>
      <c r="Y303" s="11" t="str">
        <f ca="1">IF(ISBLANK(BudgetsTable[[#This Row],[budg_seq_yr]]),"FY"&amp;fiscalyear,"FY"&amp;fiscalyear-1+BudgetsTable[[#This Row],[budg_seq_yr]])</f>
        <v>FY19</v>
      </c>
      <c r="Z303" s="80">
        <v>84658</v>
      </c>
      <c r="AA303" s="79" t="s">
        <v>477</v>
      </c>
      <c r="AB303" s="79" t="s">
        <v>578</v>
      </c>
      <c r="AC303" s="77" t="s">
        <v>94</v>
      </c>
      <c r="AD303" s="79" t="s">
        <v>1646</v>
      </c>
    </row>
    <row r="304" spans="1:30" x14ac:dyDescent="0.4">
      <c r="A304" s="10" t="s">
        <v>1247</v>
      </c>
      <c r="B304" s="77" t="s">
        <v>95</v>
      </c>
      <c r="C304" s="77">
        <f>C303+(BudgetsTable[[#This Row],[lead]]&lt;&gt;K303)</f>
        <v>69</v>
      </c>
      <c r="D304" s="77">
        <f>D303*(BudgetsTable[[#This Row],[lead]]=K303)+(BudgetsTable[[#This Row],[prop_id]]&lt;&gt;A303)</f>
        <v>1</v>
      </c>
      <c r="E304" s="78">
        <v>42956.717361111114</v>
      </c>
      <c r="F304" s="79" t="s">
        <v>1621</v>
      </c>
      <c r="G304" s="79" t="s">
        <v>477</v>
      </c>
      <c r="H304" s="79" t="s">
        <v>578</v>
      </c>
      <c r="I304" s="77" t="s">
        <v>604</v>
      </c>
      <c r="J304" s="77" t="s">
        <v>1699</v>
      </c>
      <c r="K304" s="79" t="s">
        <v>1247</v>
      </c>
      <c r="L304" s="7" t="str">
        <f>IF(BudgetsTable[[#This Row],[pi_last_name]]=" ","",HYPERLINK("https://www.ejacket.nsf.gov/ej/showProposal.do?Continue=Y&amp;ID="&amp;BudgetsTable[[#This Row],[prop_id]],BudgetsTable[[#This Row],[prop_id]]))</f>
        <v>1755978</v>
      </c>
      <c r="M304" s="15" t="e">
        <f>IF(BudgetsTable[[#This Row],[pi_last_name]]=" ","",HYPERLINK("https://www.ejacket.nsf.gov/ej/processReviewAnalysis.do?dispatch=add&amp;uniqId="&amp;BudgetsTable[[#This Row],[prop_id]]&amp;PO_id,"&gt;ra"))</f>
        <v>#REF!</v>
      </c>
      <c r="N304" s="79" t="s">
        <v>1248</v>
      </c>
      <c r="O304" s="7" t="str">
        <f>IF(BudgetsTable[[#This Row],[pi_last_name]]=" ","",HYPERLINK("mailto:"&amp;BudgetsTable[[#This Row],[pi_email]]&amp;"&amp;subject=Your NSF Proposal:  "&amp;BudgetsTable[[#This Row],[prop_id]],BudgetsTable[[#This Row],[pi_email]]))</f>
        <v>harsha@smu.edu</v>
      </c>
      <c r="P304" s="79" t="s">
        <v>1696</v>
      </c>
      <c r="Q304" s="79"/>
      <c r="R304" s="79"/>
      <c r="S304" s="80"/>
      <c r="T304" s="80"/>
      <c r="U304" s="80"/>
      <c r="V304" s="81"/>
      <c r="W304" s="79">
        <v>0</v>
      </c>
      <c r="X304" s="79"/>
      <c r="Y304" s="11" t="str">
        <f ca="1">IF(ISBLANK(BudgetsTable[[#This Row],[budg_seq_yr]]),"FY"&amp;fiscalyear,"FY"&amp;fiscalyear-1+BudgetsTable[[#This Row],[budg_seq_yr]])</f>
        <v>FY18</v>
      </c>
      <c r="Z304" s="80">
        <v>175000</v>
      </c>
      <c r="AA304" s="79" t="s">
        <v>477</v>
      </c>
      <c r="AB304" s="79" t="s">
        <v>578</v>
      </c>
      <c r="AC304" s="77" t="s">
        <v>94</v>
      </c>
      <c r="AD304" s="79" t="s">
        <v>598</v>
      </c>
    </row>
    <row r="305" spans="1:30" x14ac:dyDescent="0.4">
      <c r="A305" s="10" t="s">
        <v>1247</v>
      </c>
      <c r="B305" s="77" t="s">
        <v>95</v>
      </c>
      <c r="C305" s="77">
        <f>C304+(BudgetsTable[[#This Row],[lead]]&lt;&gt;K304)</f>
        <v>69</v>
      </c>
      <c r="D305" s="77">
        <f>D304*(BudgetsTable[[#This Row],[lead]]=K304)+(BudgetsTable[[#This Row],[prop_id]]&lt;&gt;A304)</f>
        <v>1</v>
      </c>
      <c r="E305" s="78">
        <v>42956.717361111114</v>
      </c>
      <c r="F305" s="79" t="s">
        <v>1621</v>
      </c>
      <c r="G305" s="79" t="s">
        <v>477</v>
      </c>
      <c r="H305" s="79" t="s">
        <v>578</v>
      </c>
      <c r="I305" s="77" t="s">
        <v>604</v>
      </c>
      <c r="J305" s="77" t="s">
        <v>13</v>
      </c>
      <c r="K305" s="79" t="s">
        <v>1247</v>
      </c>
      <c r="L305" s="7" t="str">
        <f>IF(BudgetsTable[[#This Row],[pi_last_name]]=" ","",HYPERLINK("https://www.ejacket.nsf.gov/ej/showProposal.do?Continue=Y&amp;ID="&amp;BudgetsTable[[#This Row],[prop_id]],BudgetsTable[[#This Row],[prop_id]]))</f>
        <v/>
      </c>
      <c r="M305" s="15" t="str">
        <f>IF(BudgetsTable[[#This Row],[pi_last_name]]=" ","",HYPERLINK("https://www.ejacket.nsf.gov/ej/processReviewAnalysis.do?dispatch=add&amp;uniqId="&amp;BudgetsTable[[#This Row],[prop_id]]&amp;PO_id,"&gt;ra"))</f>
        <v/>
      </c>
      <c r="N305" s="79" t="s">
        <v>13</v>
      </c>
      <c r="O305" s="7" t="str">
        <f>IF(BudgetsTable[[#This Row],[pi_last_name]]=" ","",HYPERLINK("mailto:"&amp;BudgetsTable[[#This Row],[pi_email]]&amp;"&amp;subject=Your NSF Proposal:  "&amp;BudgetsTable[[#This Row],[prop_id]],BudgetsTable[[#This Row],[pi_email]]))</f>
        <v/>
      </c>
      <c r="P305" s="79" t="s">
        <v>13</v>
      </c>
      <c r="Q305" s="79">
        <v>0</v>
      </c>
      <c r="R305" s="79">
        <v>0</v>
      </c>
      <c r="S305" s="80">
        <v>0</v>
      </c>
      <c r="T305" s="80">
        <v>0</v>
      </c>
      <c r="U305" s="80">
        <v>0</v>
      </c>
      <c r="V305" s="81">
        <v>85200</v>
      </c>
      <c r="W305" s="79">
        <v>0</v>
      </c>
      <c r="X305" s="79">
        <v>1</v>
      </c>
      <c r="Y305" s="11" t="str">
        <f ca="1">IF(ISBLANK(BudgetsTable[[#This Row],[budg_seq_yr]]),"FY"&amp;fiscalyear,"FY"&amp;fiscalyear-1+BudgetsTable[[#This Row],[budg_seq_yr]])</f>
        <v>FY18</v>
      </c>
      <c r="Z305" s="80">
        <v>85200</v>
      </c>
      <c r="AA305" s="79" t="s">
        <v>477</v>
      </c>
      <c r="AB305" s="79" t="s">
        <v>578</v>
      </c>
      <c r="AC305" s="77" t="s">
        <v>94</v>
      </c>
      <c r="AD305" s="79" t="s">
        <v>598</v>
      </c>
    </row>
    <row r="306" spans="1:30" x14ac:dyDescent="0.4">
      <c r="A306" s="10" t="s">
        <v>1247</v>
      </c>
      <c r="B306" s="77" t="s">
        <v>95</v>
      </c>
      <c r="C306" s="77">
        <f>C305+(BudgetsTable[[#This Row],[lead]]&lt;&gt;K305)</f>
        <v>69</v>
      </c>
      <c r="D306" s="77">
        <f>D305*(BudgetsTable[[#This Row],[lead]]=K305)+(BudgetsTable[[#This Row],[prop_id]]&lt;&gt;A305)</f>
        <v>1</v>
      </c>
      <c r="E306" s="78">
        <v>42956.717361111114</v>
      </c>
      <c r="F306" s="79" t="s">
        <v>1621</v>
      </c>
      <c r="G306" s="79" t="s">
        <v>477</v>
      </c>
      <c r="H306" s="79" t="s">
        <v>578</v>
      </c>
      <c r="I306" s="77" t="s">
        <v>604</v>
      </c>
      <c r="J306" s="77" t="s">
        <v>13</v>
      </c>
      <c r="K306" s="79" t="s">
        <v>1247</v>
      </c>
      <c r="L306" s="7" t="str">
        <f>IF(BudgetsTable[[#This Row],[pi_last_name]]=" ","",HYPERLINK("https://www.ejacket.nsf.gov/ej/showProposal.do?Continue=Y&amp;ID="&amp;BudgetsTable[[#This Row],[prop_id]],BudgetsTable[[#This Row],[prop_id]]))</f>
        <v/>
      </c>
      <c r="M306" s="15" t="str">
        <f>IF(BudgetsTable[[#This Row],[pi_last_name]]=" ","",HYPERLINK("https://www.ejacket.nsf.gov/ej/processReviewAnalysis.do?dispatch=add&amp;uniqId="&amp;BudgetsTable[[#This Row],[prop_id]]&amp;PO_id,"&gt;ra"))</f>
        <v/>
      </c>
      <c r="N306" s="79" t="s">
        <v>13</v>
      </c>
      <c r="O306" s="7" t="str">
        <f>IF(BudgetsTable[[#This Row],[pi_last_name]]=" ","",HYPERLINK("mailto:"&amp;BudgetsTable[[#This Row],[pi_email]]&amp;"&amp;subject=Your NSF Proposal:  "&amp;BudgetsTable[[#This Row],[prop_id]],BudgetsTable[[#This Row],[pi_email]]))</f>
        <v/>
      </c>
      <c r="P306" s="79" t="s">
        <v>13</v>
      </c>
      <c r="Q306" s="79">
        <v>0</v>
      </c>
      <c r="R306" s="79">
        <v>0</v>
      </c>
      <c r="S306" s="80">
        <v>0</v>
      </c>
      <c r="T306" s="80">
        <v>0</v>
      </c>
      <c r="U306" s="80">
        <v>0</v>
      </c>
      <c r="V306" s="81">
        <v>89800</v>
      </c>
      <c r="W306" s="79">
        <v>0</v>
      </c>
      <c r="X306" s="79">
        <v>2</v>
      </c>
      <c r="Y306" s="11" t="str">
        <f ca="1">IF(ISBLANK(BudgetsTable[[#This Row],[budg_seq_yr]]),"FY"&amp;fiscalyear,"FY"&amp;fiscalyear-1+BudgetsTable[[#This Row],[budg_seq_yr]])</f>
        <v>FY19</v>
      </c>
      <c r="Z306" s="80">
        <v>89800</v>
      </c>
      <c r="AA306" s="79" t="s">
        <v>477</v>
      </c>
      <c r="AB306" s="79" t="s">
        <v>578</v>
      </c>
      <c r="AC306" s="77" t="s">
        <v>94</v>
      </c>
      <c r="AD306" s="79" t="s">
        <v>598</v>
      </c>
    </row>
    <row r="307" spans="1:30" x14ac:dyDescent="0.4">
      <c r="A307" s="10" t="s">
        <v>1255</v>
      </c>
      <c r="B307" s="77" t="s">
        <v>95</v>
      </c>
      <c r="C307" s="77">
        <f>C306+(BudgetsTable[[#This Row],[lead]]&lt;&gt;K306)</f>
        <v>70</v>
      </c>
      <c r="D307" s="77">
        <f>D306*(BudgetsTable[[#This Row],[lead]]=K306)+(BudgetsTable[[#This Row],[prop_id]]&lt;&gt;A306)</f>
        <v>1</v>
      </c>
      <c r="E307" s="78">
        <v>42956.746527777781</v>
      </c>
      <c r="F307" s="79" t="s">
        <v>1621</v>
      </c>
      <c r="G307" s="79" t="s">
        <v>477</v>
      </c>
      <c r="H307" s="79" t="s">
        <v>578</v>
      </c>
      <c r="I307" s="77" t="s">
        <v>654</v>
      </c>
      <c r="J307" s="77" t="s">
        <v>1703</v>
      </c>
      <c r="K307" s="79" t="s">
        <v>1255</v>
      </c>
      <c r="L307" s="7" t="str">
        <f>IF(BudgetsTable[[#This Row],[pi_last_name]]=" ","",HYPERLINK("https://www.ejacket.nsf.gov/ej/showProposal.do?Continue=Y&amp;ID="&amp;BudgetsTable[[#This Row],[prop_id]],BudgetsTable[[#This Row],[prop_id]]))</f>
        <v>1756014</v>
      </c>
      <c r="M307" s="15" t="e">
        <f>IF(BudgetsTable[[#This Row],[pi_last_name]]=" ","",HYPERLINK("https://www.ejacket.nsf.gov/ej/processReviewAnalysis.do?dispatch=add&amp;uniqId="&amp;BudgetsTable[[#This Row],[prop_id]]&amp;PO_id,"&gt;ra"))</f>
        <v>#REF!</v>
      </c>
      <c r="N307" s="79" t="s">
        <v>750</v>
      </c>
      <c r="O307" s="7" t="str">
        <f>IF(BudgetsTable[[#This Row],[pi_last_name]]=" ","",HYPERLINK("mailto:"&amp;BudgetsTable[[#This Row],[pi_email]]&amp;"&amp;subject=Your NSF Proposal:  "&amp;BudgetsTable[[#This Row],[prop_id]],BudgetsTable[[#This Row],[pi_email]]))</f>
        <v>lchen49@central.uh.edu</v>
      </c>
      <c r="P307" s="79" t="s">
        <v>1701</v>
      </c>
      <c r="Q307" s="79"/>
      <c r="R307" s="79"/>
      <c r="S307" s="80"/>
      <c r="T307" s="80"/>
      <c r="U307" s="80"/>
      <c r="V307" s="81"/>
      <c r="W307" s="79">
        <v>0</v>
      </c>
      <c r="X307" s="79"/>
      <c r="Y307" s="11" t="str">
        <f ca="1">IF(ISBLANK(BudgetsTable[[#This Row],[budg_seq_yr]]),"FY"&amp;fiscalyear,"FY"&amp;fiscalyear-1+BudgetsTable[[#This Row],[budg_seq_yr]])</f>
        <v>FY18</v>
      </c>
      <c r="Z307" s="80">
        <v>148477</v>
      </c>
      <c r="AA307" s="79" t="s">
        <v>477</v>
      </c>
      <c r="AB307" s="79" t="s">
        <v>578</v>
      </c>
      <c r="AC307" s="77" t="s">
        <v>94</v>
      </c>
      <c r="AD307" s="79" t="s">
        <v>1631</v>
      </c>
    </row>
    <row r="308" spans="1:30" x14ac:dyDescent="0.4">
      <c r="A308" s="10" t="s">
        <v>1255</v>
      </c>
      <c r="B308" s="77" t="s">
        <v>95</v>
      </c>
      <c r="C308" s="77">
        <f>C307+(BudgetsTable[[#This Row],[lead]]&lt;&gt;K307)</f>
        <v>70</v>
      </c>
      <c r="D308" s="77">
        <f>D307*(BudgetsTable[[#This Row],[lead]]=K307)+(BudgetsTable[[#This Row],[prop_id]]&lt;&gt;A307)</f>
        <v>1</v>
      </c>
      <c r="E308" s="78">
        <v>42956.746527777781</v>
      </c>
      <c r="F308" s="79" t="s">
        <v>1621</v>
      </c>
      <c r="G308" s="79" t="s">
        <v>477</v>
      </c>
      <c r="H308" s="79" t="s">
        <v>578</v>
      </c>
      <c r="I308" s="77" t="s">
        <v>654</v>
      </c>
      <c r="J308" s="77" t="s">
        <v>13</v>
      </c>
      <c r="K308" s="79" t="s">
        <v>1255</v>
      </c>
      <c r="L308" s="7" t="str">
        <f>IF(BudgetsTable[[#This Row],[pi_last_name]]=" ","",HYPERLINK("https://www.ejacket.nsf.gov/ej/showProposal.do?Continue=Y&amp;ID="&amp;BudgetsTable[[#This Row],[prop_id]],BudgetsTable[[#This Row],[prop_id]]))</f>
        <v/>
      </c>
      <c r="M308" s="15" t="str">
        <f>IF(BudgetsTable[[#This Row],[pi_last_name]]=" ","",HYPERLINK("https://www.ejacket.nsf.gov/ej/processReviewAnalysis.do?dispatch=add&amp;uniqId="&amp;BudgetsTable[[#This Row],[prop_id]]&amp;PO_id,"&gt;ra"))</f>
        <v/>
      </c>
      <c r="N308" s="79" t="s">
        <v>13</v>
      </c>
      <c r="O308" s="7" t="str">
        <f>IF(BudgetsTable[[#This Row],[pi_last_name]]=" ","",HYPERLINK("mailto:"&amp;BudgetsTable[[#This Row],[pi_email]]&amp;"&amp;subject=Your NSF Proposal:  "&amp;BudgetsTable[[#This Row],[prop_id]],BudgetsTable[[#This Row],[pi_email]]))</f>
        <v/>
      </c>
      <c r="P308" s="79" t="s">
        <v>13</v>
      </c>
      <c r="Q308" s="79">
        <v>0</v>
      </c>
      <c r="R308" s="79">
        <v>0</v>
      </c>
      <c r="S308" s="80">
        <v>0</v>
      </c>
      <c r="T308" s="80">
        <v>3500</v>
      </c>
      <c r="U308" s="80">
        <v>0</v>
      </c>
      <c r="V308" s="81">
        <v>53317</v>
      </c>
      <c r="W308" s="79">
        <v>0</v>
      </c>
      <c r="X308" s="79">
        <v>1</v>
      </c>
      <c r="Y308" s="11" t="str">
        <f ca="1">IF(ISBLANK(BudgetsTable[[#This Row],[budg_seq_yr]]),"FY"&amp;fiscalyear,"FY"&amp;fiscalyear-1+BudgetsTable[[#This Row],[budg_seq_yr]])</f>
        <v>FY18</v>
      </c>
      <c r="Z308" s="80">
        <v>53317</v>
      </c>
      <c r="AA308" s="79" t="s">
        <v>477</v>
      </c>
      <c r="AB308" s="79" t="s">
        <v>578</v>
      </c>
      <c r="AC308" s="77" t="s">
        <v>94</v>
      </c>
      <c r="AD308" s="79" t="s">
        <v>1631</v>
      </c>
    </row>
    <row r="309" spans="1:30" x14ac:dyDescent="0.4">
      <c r="A309" s="10" t="s">
        <v>1255</v>
      </c>
      <c r="B309" s="77" t="s">
        <v>95</v>
      </c>
      <c r="C309" s="77">
        <f>C308+(BudgetsTable[[#This Row],[lead]]&lt;&gt;K308)</f>
        <v>70</v>
      </c>
      <c r="D309" s="77">
        <f>D308*(BudgetsTable[[#This Row],[lead]]=K308)+(BudgetsTable[[#This Row],[prop_id]]&lt;&gt;A308)</f>
        <v>1</v>
      </c>
      <c r="E309" s="78">
        <v>42956.746527777781</v>
      </c>
      <c r="F309" s="79" t="s">
        <v>1621</v>
      </c>
      <c r="G309" s="79" t="s">
        <v>477</v>
      </c>
      <c r="H309" s="79" t="s">
        <v>578</v>
      </c>
      <c r="I309" s="77" t="s">
        <v>654</v>
      </c>
      <c r="J309" s="77" t="s">
        <v>13</v>
      </c>
      <c r="K309" s="79" t="s">
        <v>1255</v>
      </c>
      <c r="L309" s="7" t="str">
        <f>IF(BudgetsTable[[#This Row],[pi_last_name]]=" ","",HYPERLINK("https://www.ejacket.nsf.gov/ej/showProposal.do?Continue=Y&amp;ID="&amp;BudgetsTable[[#This Row],[prop_id]],BudgetsTable[[#This Row],[prop_id]]))</f>
        <v/>
      </c>
      <c r="M309" s="15" t="str">
        <f>IF(BudgetsTable[[#This Row],[pi_last_name]]=" ","",HYPERLINK("https://www.ejacket.nsf.gov/ej/processReviewAnalysis.do?dispatch=add&amp;uniqId="&amp;BudgetsTable[[#This Row],[prop_id]]&amp;PO_id,"&gt;ra"))</f>
        <v/>
      </c>
      <c r="N309" s="79" t="s">
        <v>13</v>
      </c>
      <c r="O309" s="7" t="str">
        <f>IF(BudgetsTable[[#This Row],[pi_last_name]]=" ","",HYPERLINK("mailto:"&amp;BudgetsTable[[#This Row],[pi_email]]&amp;"&amp;subject=Your NSF Proposal:  "&amp;BudgetsTable[[#This Row],[prop_id]],BudgetsTable[[#This Row],[pi_email]]))</f>
        <v/>
      </c>
      <c r="P309" s="79" t="s">
        <v>13</v>
      </c>
      <c r="Q309" s="79">
        <v>0</v>
      </c>
      <c r="R309" s="79">
        <v>0</v>
      </c>
      <c r="S309" s="80">
        <v>0</v>
      </c>
      <c r="T309" s="80">
        <v>3500</v>
      </c>
      <c r="U309" s="80">
        <v>0</v>
      </c>
      <c r="V309" s="81">
        <v>95160</v>
      </c>
      <c r="W309" s="79">
        <v>0</v>
      </c>
      <c r="X309" s="79">
        <v>2</v>
      </c>
      <c r="Y309" s="11" t="str">
        <f ca="1">IF(ISBLANK(BudgetsTable[[#This Row],[budg_seq_yr]]),"FY"&amp;fiscalyear,"FY"&amp;fiscalyear-1+BudgetsTable[[#This Row],[budg_seq_yr]])</f>
        <v>FY19</v>
      </c>
      <c r="Z309" s="80">
        <v>95160</v>
      </c>
      <c r="AA309" s="79" t="s">
        <v>477</v>
      </c>
      <c r="AB309" s="79" t="s">
        <v>578</v>
      </c>
      <c r="AC309" s="77" t="s">
        <v>94</v>
      </c>
      <c r="AD309" s="79" t="s">
        <v>1631</v>
      </c>
    </row>
    <row r="310" spans="1:30" x14ac:dyDescent="0.4">
      <c r="A310" s="10" t="s">
        <v>1260</v>
      </c>
      <c r="B310" s="77" t="s">
        <v>491</v>
      </c>
      <c r="C310" s="77">
        <f>C309+(BudgetsTable[[#This Row],[lead]]&lt;&gt;K309)</f>
        <v>71</v>
      </c>
      <c r="D310" s="77">
        <f>D309*(BudgetsTable[[#This Row],[lead]]=K309)+(BudgetsTable[[#This Row],[prop_id]]&lt;&gt;A309)</f>
        <v>1</v>
      </c>
      <c r="E310" s="78">
        <v>43003.681944444441</v>
      </c>
      <c r="F310" s="79" t="s">
        <v>524</v>
      </c>
      <c r="G310" s="79" t="s">
        <v>477</v>
      </c>
      <c r="H310" s="79" t="s">
        <v>582</v>
      </c>
      <c r="I310" s="77" t="s">
        <v>611</v>
      </c>
      <c r="J310" s="77" t="s">
        <v>1707</v>
      </c>
      <c r="K310" s="79" t="s">
        <v>1260</v>
      </c>
      <c r="L310" s="7" t="str">
        <f>IF(BudgetsTable[[#This Row],[pi_last_name]]=" ","",HYPERLINK("https://www.ejacket.nsf.gov/ej/showProposal.do?Continue=Y&amp;ID="&amp;BudgetsTable[[#This Row],[prop_id]],BudgetsTable[[#This Row],[prop_id]]))</f>
        <v>1763240</v>
      </c>
      <c r="M310" s="15" t="e">
        <f>IF(BudgetsTable[[#This Row],[pi_last_name]]=" ","",HYPERLINK("https://www.ejacket.nsf.gov/ej/processReviewAnalysis.do?dispatch=add&amp;uniqId="&amp;BudgetsTable[[#This Row],[prop_id]]&amp;PO_id,"&gt;ra"))</f>
        <v>#REF!</v>
      </c>
      <c r="N310" s="79" t="s">
        <v>1261</v>
      </c>
      <c r="O310" s="7" t="str">
        <f>IF(BudgetsTable[[#This Row],[pi_last_name]]=" ","",HYPERLINK("mailto:"&amp;BudgetsTable[[#This Row],[pi_email]]&amp;"&amp;subject=Your NSF Proposal:  "&amp;BudgetsTable[[#This Row],[prop_id]],BudgetsTable[[#This Row],[pi_email]]))</f>
        <v>anupamg@cs.cmu.edu</v>
      </c>
      <c r="P310" s="79" t="s">
        <v>497</v>
      </c>
      <c r="Q310" s="79"/>
      <c r="R310" s="79"/>
      <c r="S310" s="80"/>
      <c r="T310" s="80"/>
      <c r="U310" s="80"/>
      <c r="V310" s="81"/>
      <c r="W310" s="79">
        <v>0</v>
      </c>
      <c r="X310" s="79"/>
      <c r="Y310" s="11" t="str">
        <f ca="1">IF(ISBLANK(BudgetsTable[[#This Row],[budg_seq_yr]]),"FY"&amp;fiscalyear,"FY"&amp;fiscalyear-1+BudgetsTable[[#This Row],[budg_seq_yr]])</f>
        <v>FY18</v>
      </c>
      <c r="Z310" s="80">
        <v>600000</v>
      </c>
      <c r="AA310" s="79" t="s">
        <v>477</v>
      </c>
      <c r="AB310" s="79" t="s">
        <v>582</v>
      </c>
      <c r="AC310" s="77" t="s">
        <v>94</v>
      </c>
      <c r="AD310" s="79" t="s">
        <v>1704</v>
      </c>
    </row>
    <row r="311" spans="1:30" x14ac:dyDescent="0.4">
      <c r="A311" s="10" t="s">
        <v>1260</v>
      </c>
      <c r="B311" s="77" t="s">
        <v>491</v>
      </c>
      <c r="C311" s="77">
        <f>C310+(BudgetsTable[[#This Row],[lead]]&lt;&gt;K310)</f>
        <v>71</v>
      </c>
      <c r="D311" s="77">
        <f>D310*(BudgetsTable[[#This Row],[lead]]=K310)+(BudgetsTable[[#This Row],[prop_id]]&lt;&gt;A310)</f>
        <v>1</v>
      </c>
      <c r="E311" s="78">
        <v>43003.681944444441</v>
      </c>
      <c r="F311" s="79" t="s">
        <v>524</v>
      </c>
      <c r="G311" s="79" t="s">
        <v>477</v>
      </c>
      <c r="H311" s="79" t="s">
        <v>582</v>
      </c>
      <c r="I311" s="77" t="s">
        <v>611</v>
      </c>
      <c r="J311" s="77" t="s">
        <v>13</v>
      </c>
      <c r="K311" s="79" t="s">
        <v>1260</v>
      </c>
      <c r="L311" s="7" t="str">
        <f>IF(BudgetsTable[[#This Row],[pi_last_name]]=" ","",HYPERLINK("https://www.ejacket.nsf.gov/ej/showProposal.do?Continue=Y&amp;ID="&amp;BudgetsTable[[#This Row],[prop_id]],BudgetsTable[[#This Row],[prop_id]]))</f>
        <v/>
      </c>
      <c r="M311" s="15" t="str">
        <f>IF(BudgetsTable[[#This Row],[pi_last_name]]=" ","",HYPERLINK("https://www.ejacket.nsf.gov/ej/processReviewAnalysis.do?dispatch=add&amp;uniqId="&amp;BudgetsTable[[#This Row],[prop_id]]&amp;PO_id,"&gt;ra"))</f>
        <v/>
      </c>
      <c r="N311" s="79" t="s">
        <v>13</v>
      </c>
      <c r="O311" s="7" t="str">
        <f>IF(BudgetsTable[[#This Row],[pi_last_name]]=" ","",HYPERLINK("mailto:"&amp;BudgetsTable[[#This Row],[pi_email]]&amp;"&amp;subject=Your NSF Proposal:  "&amp;BudgetsTable[[#This Row],[prop_id]],BudgetsTable[[#This Row],[pi_email]]))</f>
        <v/>
      </c>
      <c r="P311" s="79" t="s">
        <v>13</v>
      </c>
      <c r="Q311" s="79">
        <v>1</v>
      </c>
      <c r="R311" s="79">
        <v>1</v>
      </c>
      <c r="S311" s="80">
        <v>0</v>
      </c>
      <c r="T311" s="80">
        <v>0</v>
      </c>
      <c r="U311" s="80">
        <v>0</v>
      </c>
      <c r="V311" s="81">
        <v>143405</v>
      </c>
      <c r="W311" s="79">
        <v>0</v>
      </c>
      <c r="X311" s="79">
        <v>1</v>
      </c>
      <c r="Y311" s="11" t="str">
        <f ca="1">IF(ISBLANK(BudgetsTable[[#This Row],[budg_seq_yr]]),"FY"&amp;fiscalyear,"FY"&amp;fiscalyear-1+BudgetsTable[[#This Row],[budg_seq_yr]])</f>
        <v>FY18</v>
      </c>
      <c r="Z311" s="80">
        <v>143405</v>
      </c>
      <c r="AA311" s="79" t="s">
        <v>477</v>
      </c>
      <c r="AB311" s="79" t="s">
        <v>582</v>
      </c>
      <c r="AC311" s="77" t="s">
        <v>94</v>
      </c>
      <c r="AD311" s="79" t="s">
        <v>1704</v>
      </c>
    </row>
    <row r="312" spans="1:30" x14ac:dyDescent="0.4">
      <c r="A312" s="10" t="s">
        <v>1260</v>
      </c>
      <c r="B312" s="77" t="s">
        <v>491</v>
      </c>
      <c r="C312" s="77">
        <f>C311+(BudgetsTable[[#This Row],[lead]]&lt;&gt;K311)</f>
        <v>71</v>
      </c>
      <c r="D312" s="77">
        <f>D311*(BudgetsTable[[#This Row],[lead]]=K311)+(BudgetsTable[[#This Row],[prop_id]]&lt;&gt;A311)</f>
        <v>1</v>
      </c>
      <c r="E312" s="78">
        <v>43003.681944444441</v>
      </c>
      <c r="F312" s="79" t="s">
        <v>524</v>
      </c>
      <c r="G312" s="79" t="s">
        <v>477</v>
      </c>
      <c r="H312" s="79" t="s">
        <v>582</v>
      </c>
      <c r="I312" s="77" t="s">
        <v>611</v>
      </c>
      <c r="J312" s="77" t="s">
        <v>13</v>
      </c>
      <c r="K312" s="79" t="s">
        <v>1260</v>
      </c>
      <c r="L312" s="7" t="str">
        <f>IF(BudgetsTable[[#This Row],[pi_last_name]]=" ","",HYPERLINK("https://www.ejacket.nsf.gov/ej/showProposal.do?Continue=Y&amp;ID="&amp;BudgetsTable[[#This Row],[prop_id]],BudgetsTable[[#This Row],[prop_id]]))</f>
        <v/>
      </c>
      <c r="M312" s="15" t="str">
        <f>IF(BudgetsTable[[#This Row],[pi_last_name]]=" ","",HYPERLINK("https://www.ejacket.nsf.gov/ej/processReviewAnalysis.do?dispatch=add&amp;uniqId="&amp;BudgetsTable[[#This Row],[prop_id]]&amp;PO_id,"&gt;ra"))</f>
        <v/>
      </c>
      <c r="N312" s="79" t="s">
        <v>13</v>
      </c>
      <c r="O312" s="7" t="str">
        <f>IF(BudgetsTable[[#This Row],[pi_last_name]]=" ","",HYPERLINK("mailto:"&amp;BudgetsTable[[#This Row],[pi_email]]&amp;"&amp;subject=Your NSF Proposal:  "&amp;BudgetsTable[[#This Row],[prop_id]],BudgetsTable[[#This Row],[pi_email]]))</f>
        <v/>
      </c>
      <c r="P312" s="79" t="s">
        <v>13</v>
      </c>
      <c r="Q312" s="79">
        <v>1</v>
      </c>
      <c r="R312" s="79">
        <v>1</v>
      </c>
      <c r="S312" s="80">
        <v>0</v>
      </c>
      <c r="T312" s="80">
        <v>0</v>
      </c>
      <c r="U312" s="80">
        <v>0</v>
      </c>
      <c r="V312" s="81">
        <v>147716</v>
      </c>
      <c r="W312" s="79">
        <v>0</v>
      </c>
      <c r="X312" s="79">
        <v>2</v>
      </c>
      <c r="Y312" s="11" t="str">
        <f ca="1">IF(ISBLANK(BudgetsTable[[#This Row],[budg_seq_yr]]),"FY"&amp;fiscalyear,"FY"&amp;fiscalyear-1+BudgetsTable[[#This Row],[budg_seq_yr]])</f>
        <v>FY19</v>
      </c>
      <c r="Z312" s="80">
        <v>147716</v>
      </c>
      <c r="AA312" s="79" t="s">
        <v>477</v>
      </c>
      <c r="AB312" s="79" t="s">
        <v>582</v>
      </c>
      <c r="AC312" s="77" t="s">
        <v>94</v>
      </c>
      <c r="AD312" s="79" t="s">
        <v>1704</v>
      </c>
    </row>
    <row r="313" spans="1:30" x14ac:dyDescent="0.4">
      <c r="A313" s="10" t="s">
        <v>1260</v>
      </c>
      <c r="B313" s="77" t="s">
        <v>491</v>
      </c>
      <c r="C313" s="77">
        <f>C312+(BudgetsTable[[#This Row],[lead]]&lt;&gt;K312)</f>
        <v>71</v>
      </c>
      <c r="D313" s="77">
        <f>D312*(BudgetsTable[[#This Row],[lead]]=K312)+(BudgetsTable[[#This Row],[prop_id]]&lt;&gt;A312)</f>
        <v>1</v>
      </c>
      <c r="E313" s="78">
        <v>43003.681944444441</v>
      </c>
      <c r="F313" s="79" t="s">
        <v>524</v>
      </c>
      <c r="G313" s="79" t="s">
        <v>477</v>
      </c>
      <c r="H313" s="79" t="s">
        <v>582</v>
      </c>
      <c r="I313" s="77" t="s">
        <v>611</v>
      </c>
      <c r="J313" s="77" t="s">
        <v>13</v>
      </c>
      <c r="K313" s="79" t="s">
        <v>1260</v>
      </c>
      <c r="L313" s="7" t="str">
        <f>IF(BudgetsTable[[#This Row],[pi_last_name]]=" ","",HYPERLINK("https://www.ejacket.nsf.gov/ej/showProposal.do?Continue=Y&amp;ID="&amp;BudgetsTable[[#This Row],[prop_id]],BudgetsTable[[#This Row],[prop_id]]))</f>
        <v/>
      </c>
      <c r="M313" s="15" t="str">
        <f>IF(BudgetsTable[[#This Row],[pi_last_name]]=" ","",HYPERLINK("https://www.ejacket.nsf.gov/ej/processReviewAnalysis.do?dispatch=add&amp;uniqId="&amp;BudgetsTable[[#This Row],[prop_id]]&amp;PO_id,"&gt;ra"))</f>
        <v/>
      </c>
      <c r="N313" s="79" t="s">
        <v>13</v>
      </c>
      <c r="O313" s="7" t="str">
        <f>IF(BudgetsTable[[#This Row],[pi_last_name]]=" ","",HYPERLINK("mailto:"&amp;BudgetsTable[[#This Row],[pi_email]]&amp;"&amp;subject=Your NSF Proposal:  "&amp;BudgetsTable[[#This Row],[prop_id]],BudgetsTable[[#This Row],[pi_email]]))</f>
        <v/>
      </c>
      <c r="P313" s="79" t="s">
        <v>13</v>
      </c>
      <c r="Q313" s="79">
        <v>1</v>
      </c>
      <c r="R313" s="79">
        <v>1</v>
      </c>
      <c r="S313" s="80">
        <v>0</v>
      </c>
      <c r="T313" s="80">
        <v>0</v>
      </c>
      <c r="U313" s="80">
        <v>0</v>
      </c>
      <c r="V313" s="81">
        <v>152157</v>
      </c>
      <c r="W313" s="79">
        <v>0</v>
      </c>
      <c r="X313" s="79">
        <v>3</v>
      </c>
      <c r="Y313" s="11" t="str">
        <f ca="1">IF(ISBLANK(BudgetsTable[[#This Row],[budg_seq_yr]]),"FY"&amp;fiscalyear,"FY"&amp;fiscalyear-1+BudgetsTable[[#This Row],[budg_seq_yr]])</f>
        <v>FY20</v>
      </c>
      <c r="Z313" s="80">
        <v>152157</v>
      </c>
      <c r="AA313" s="79" t="s">
        <v>477</v>
      </c>
      <c r="AB313" s="79" t="s">
        <v>582</v>
      </c>
      <c r="AC313" s="77" t="s">
        <v>94</v>
      </c>
      <c r="AD313" s="79" t="s">
        <v>1704</v>
      </c>
    </row>
    <row r="314" spans="1:30" x14ac:dyDescent="0.4">
      <c r="A314" s="10" t="s">
        <v>1260</v>
      </c>
      <c r="B314" s="77" t="s">
        <v>491</v>
      </c>
      <c r="C314" s="77">
        <f>C313+(BudgetsTable[[#This Row],[lead]]&lt;&gt;K313)</f>
        <v>71</v>
      </c>
      <c r="D314" s="77">
        <f>D313*(BudgetsTable[[#This Row],[lead]]=K313)+(BudgetsTable[[#This Row],[prop_id]]&lt;&gt;A313)</f>
        <v>1</v>
      </c>
      <c r="E314" s="78">
        <v>43003.681944444441</v>
      </c>
      <c r="F314" s="79" t="s">
        <v>524</v>
      </c>
      <c r="G314" s="79" t="s">
        <v>477</v>
      </c>
      <c r="H314" s="79" t="s">
        <v>582</v>
      </c>
      <c r="I314" s="77" t="s">
        <v>611</v>
      </c>
      <c r="J314" s="77" t="s">
        <v>13</v>
      </c>
      <c r="K314" s="79" t="s">
        <v>1260</v>
      </c>
      <c r="L314" s="7" t="str">
        <f>IF(BudgetsTable[[#This Row],[pi_last_name]]=" ","",HYPERLINK("https://www.ejacket.nsf.gov/ej/showProposal.do?Continue=Y&amp;ID="&amp;BudgetsTable[[#This Row],[prop_id]],BudgetsTable[[#This Row],[prop_id]]))</f>
        <v/>
      </c>
      <c r="M314" s="15" t="str">
        <f>IF(BudgetsTable[[#This Row],[pi_last_name]]=" ","",HYPERLINK("https://www.ejacket.nsf.gov/ej/processReviewAnalysis.do?dispatch=add&amp;uniqId="&amp;BudgetsTable[[#This Row],[prop_id]]&amp;PO_id,"&gt;ra"))</f>
        <v/>
      </c>
      <c r="N314" s="79" t="s">
        <v>13</v>
      </c>
      <c r="O314" s="7" t="str">
        <f>IF(BudgetsTable[[#This Row],[pi_last_name]]=" ","",HYPERLINK("mailto:"&amp;BudgetsTable[[#This Row],[pi_email]]&amp;"&amp;subject=Your NSF Proposal:  "&amp;BudgetsTable[[#This Row],[prop_id]],BudgetsTable[[#This Row],[pi_email]]))</f>
        <v/>
      </c>
      <c r="P314" s="79" t="s">
        <v>13</v>
      </c>
      <c r="Q314" s="79">
        <v>1</v>
      </c>
      <c r="R314" s="79">
        <v>1</v>
      </c>
      <c r="S314" s="80">
        <v>0</v>
      </c>
      <c r="T314" s="80">
        <v>0</v>
      </c>
      <c r="U314" s="80">
        <v>0</v>
      </c>
      <c r="V314" s="81">
        <v>156722</v>
      </c>
      <c r="W314" s="79">
        <v>0</v>
      </c>
      <c r="X314" s="79">
        <v>4</v>
      </c>
      <c r="Y314" s="11" t="str">
        <f ca="1">IF(ISBLANK(BudgetsTable[[#This Row],[budg_seq_yr]]),"FY"&amp;fiscalyear,"FY"&amp;fiscalyear-1+BudgetsTable[[#This Row],[budg_seq_yr]])</f>
        <v>FY21</v>
      </c>
      <c r="Z314" s="80">
        <v>156722</v>
      </c>
      <c r="AA314" s="79" t="s">
        <v>477</v>
      </c>
      <c r="AB314" s="79" t="s">
        <v>582</v>
      </c>
      <c r="AC314" s="77" t="s">
        <v>94</v>
      </c>
      <c r="AD314" s="79" t="s">
        <v>1704</v>
      </c>
    </row>
    <row r="315" spans="1:30" x14ac:dyDescent="0.4">
      <c r="A315" s="10" t="s">
        <v>1708</v>
      </c>
      <c r="B315" s="77" t="s">
        <v>493</v>
      </c>
      <c r="C315" s="77">
        <f>C314+(BudgetsTable[[#This Row],[lead]]&lt;&gt;K314)</f>
        <v>71</v>
      </c>
      <c r="D315" s="77">
        <f>D314*(BudgetsTable[[#This Row],[lead]]=K314)+(BudgetsTable[[#This Row],[prop_id]]&lt;&gt;A314)</f>
        <v>2</v>
      </c>
      <c r="E315" s="78">
        <v>43004.43472222222</v>
      </c>
      <c r="F315" s="79" t="s">
        <v>524</v>
      </c>
      <c r="G315" s="79" t="s">
        <v>477</v>
      </c>
      <c r="H315" s="79" t="s">
        <v>582</v>
      </c>
      <c r="I315" s="77" t="s">
        <v>611</v>
      </c>
      <c r="J315" s="77" t="s">
        <v>1518</v>
      </c>
      <c r="K315" s="79" t="s">
        <v>1260</v>
      </c>
      <c r="L315" s="7" t="str">
        <f>IF(BudgetsTable[[#This Row],[pi_last_name]]=" ","",HYPERLINK("https://www.ejacket.nsf.gov/ej/showProposal.do?Continue=Y&amp;ID="&amp;BudgetsTable[[#This Row],[prop_id]],BudgetsTable[[#This Row],[prop_id]]))</f>
        <v>1763293</v>
      </c>
      <c r="M315" s="15" t="e">
        <f>IF(BudgetsTable[[#This Row],[pi_last_name]]=" ","",HYPERLINK("https://www.ejacket.nsf.gov/ej/processReviewAnalysis.do?dispatch=add&amp;uniqId="&amp;BudgetsTable[[#This Row],[prop_id]]&amp;PO_id,"&gt;ra"))</f>
        <v>#REF!</v>
      </c>
      <c r="N315" s="79" t="s">
        <v>844</v>
      </c>
      <c r="O315" s="7" t="str">
        <f>IF(BudgetsTable[[#This Row],[pi_last_name]]=" ","",HYPERLINK("mailto:"&amp;BudgetsTable[[#This Row],[pi_email]]&amp;"&amp;subject=Your NSF Proposal:  "&amp;BudgetsTable[[#This Row],[prop_id]],BudgetsTable[[#This Row],[pi_email]]))</f>
        <v>viswa@umich.edu</v>
      </c>
      <c r="P315" s="79" t="s">
        <v>307</v>
      </c>
      <c r="Q315" s="79"/>
      <c r="R315" s="79"/>
      <c r="S315" s="80"/>
      <c r="T315" s="80"/>
      <c r="U315" s="80"/>
      <c r="V315" s="81"/>
      <c r="W315" s="79">
        <v>0</v>
      </c>
      <c r="X315" s="79"/>
      <c r="Y315" s="11" t="str">
        <f ca="1">IF(ISBLANK(BudgetsTable[[#This Row],[budg_seq_yr]]),"FY"&amp;fiscalyear,"FY"&amp;fiscalyear-1+BudgetsTable[[#This Row],[budg_seq_yr]])</f>
        <v>FY18</v>
      </c>
      <c r="Z315" s="80">
        <v>599999</v>
      </c>
      <c r="AA315" s="79" t="s">
        <v>477</v>
      </c>
      <c r="AB315" s="79" t="s">
        <v>582</v>
      </c>
      <c r="AC315" s="77" t="s">
        <v>94</v>
      </c>
      <c r="AD315" s="79" t="s">
        <v>1704</v>
      </c>
    </row>
    <row r="316" spans="1:30" x14ac:dyDescent="0.4">
      <c r="A316" s="10" t="s">
        <v>1708</v>
      </c>
      <c r="B316" s="77" t="s">
        <v>493</v>
      </c>
      <c r="C316" s="77">
        <f>C315+(BudgetsTable[[#This Row],[lead]]&lt;&gt;K315)</f>
        <v>71</v>
      </c>
      <c r="D316" s="77">
        <f>D315*(BudgetsTable[[#This Row],[lead]]=K315)+(BudgetsTable[[#This Row],[prop_id]]&lt;&gt;A315)</f>
        <v>2</v>
      </c>
      <c r="E316" s="78">
        <v>43004.43472222222</v>
      </c>
      <c r="F316" s="79" t="s">
        <v>524</v>
      </c>
      <c r="G316" s="79" t="s">
        <v>477</v>
      </c>
      <c r="H316" s="79" t="s">
        <v>582</v>
      </c>
      <c r="I316" s="77" t="s">
        <v>611</v>
      </c>
      <c r="J316" s="77" t="s">
        <v>13</v>
      </c>
      <c r="K316" s="79" t="s">
        <v>1260</v>
      </c>
      <c r="L316" s="7" t="str">
        <f>IF(BudgetsTable[[#This Row],[pi_last_name]]=" ","",HYPERLINK("https://www.ejacket.nsf.gov/ej/showProposal.do?Continue=Y&amp;ID="&amp;BudgetsTable[[#This Row],[prop_id]],BudgetsTable[[#This Row],[prop_id]]))</f>
        <v/>
      </c>
      <c r="M316" s="15" t="str">
        <f>IF(BudgetsTable[[#This Row],[pi_last_name]]=" ","",HYPERLINK("https://www.ejacket.nsf.gov/ej/processReviewAnalysis.do?dispatch=add&amp;uniqId="&amp;BudgetsTable[[#This Row],[prop_id]]&amp;PO_id,"&gt;ra"))</f>
        <v/>
      </c>
      <c r="N316" s="79" t="s">
        <v>13</v>
      </c>
      <c r="O316" s="7" t="str">
        <f>IF(BudgetsTable[[#This Row],[pi_last_name]]=" ","",HYPERLINK("mailto:"&amp;BudgetsTable[[#This Row],[pi_email]]&amp;"&amp;subject=Your NSF Proposal:  "&amp;BudgetsTable[[#This Row],[prop_id]],BudgetsTable[[#This Row],[pi_email]]))</f>
        <v/>
      </c>
      <c r="P316" s="79" t="s">
        <v>13</v>
      </c>
      <c r="Q316" s="79">
        <v>1</v>
      </c>
      <c r="R316" s="79">
        <v>0</v>
      </c>
      <c r="S316" s="80">
        <v>0</v>
      </c>
      <c r="T316" s="80">
        <v>0</v>
      </c>
      <c r="U316" s="80">
        <v>0</v>
      </c>
      <c r="V316" s="81">
        <v>119833</v>
      </c>
      <c r="W316" s="79">
        <v>0</v>
      </c>
      <c r="X316" s="79">
        <v>1</v>
      </c>
      <c r="Y316" s="11" t="str">
        <f ca="1">IF(ISBLANK(BudgetsTable[[#This Row],[budg_seq_yr]]),"FY"&amp;fiscalyear,"FY"&amp;fiscalyear-1+BudgetsTable[[#This Row],[budg_seq_yr]])</f>
        <v>FY18</v>
      </c>
      <c r="Z316" s="80">
        <v>119833</v>
      </c>
      <c r="AA316" s="79" t="s">
        <v>477</v>
      </c>
      <c r="AB316" s="79" t="s">
        <v>582</v>
      </c>
      <c r="AC316" s="77" t="s">
        <v>94</v>
      </c>
      <c r="AD316" s="79" t="s">
        <v>1704</v>
      </c>
    </row>
    <row r="317" spans="1:30" x14ac:dyDescent="0.4">
      <c r="A317" s="10" t="s">
        <v>1708</v>
      </c>
      <c r="B317" s="77" t="s">
        <v>493</v>
      </c>
      <c r="C317" s="77">
        <f>C316+(BudgetsTable[[#This Row],[lead]]&lt;&gt;K316)</f>
        <v>71</v>
      </c>
      <c r="D317" s="77">
        <f>D316*(BudgetsTable[[#This Row],[lead]]=K316)+(BudgetsTable[[#This Row],[prop_id]]&lt;&gt;A316)</f>
        <v>2</v>
      </c>
      <c r="E317" s="78">
        <v>43004.43472222222</v>
      </c>
      <c r="F317" s="79" t="s">
        <v>524</v>
      </c>
      <c r="G317" s="79" t="s">
        <v>477</v>
      </c>
      <c r="H317" s="79" t="s">
        <v>582</v>
      </c>
      <c r="I317" s="77" t="s">
        <v>611</v>
      </c>
      <c r="J317" s="77" t="s">
        <v>13</v>
      </c>
      <c r="K317" s="79" t="s">
        <v>1260</v>
      </c>
      <c r="L317" s="7" t="str">
        <f>IF(BudgetsTable[[#This Row],[pi_last_name]]=" ","",HYPERLINK("https://www.ejacket.nsf.gov/ej/showProposal.do?Continue=Y&amp;ID="&amp;BudgetsTable[[#This Row],[prop_id]],BudgetsTable[[#This Row],[prop_id]]))</f>
        <v/>
      </c>
      <c r="M317" s="15" t="str">
        <f>IF(BudgetsTable[[#This Row],[pi_last_name]]=" ","",HYPERLINK("https://www.ejacket.nsf.gov/ej/processReviewAnalysis.do?dispatch=add&amp;uniqId="&amp;BudgetsTable[[#This Row],[prop_id]]&amp;PO_id,"&gt;ra"))</f>
        <v/>
      </c>
      <c r="N317" s="79" t="s">
        <v>13</v>
      </c>
      <c r="O317" s="7" t="str">
        <f>IF(BudgetsTable[[#This Row],[pi_last_name]]=" ","",HYPERLINK("mailto:"&amp;BudgetsTable[[#This Row],[pi_email]]&amp;"&amp;subject=Your NSF Proposal:  "&amp;BudgetsTable[[#This Row],[prop_id]],BudgetsTable[[#This Row],[pi_email]]))</f>
        <v/>
      </c>
      <c r="P317" s="79" t="s">
        <v>13</v>
      </c>
      <c r="Q317" s="79">
        <v>1</v>
      </c>
      <c r="R317" s="79">
        <v>0</v>
      </c>
      <c r="S317" s="80">
        <v>0</v>
      </c>
      <c r="T317" s="80">
        <v>0</v>
      </c>
      <c r="U317" s="80">
        <v>0</v>
      </c>
      <c r="V317" s="81">
        <v>153654</v>
      </c>
      <c r="W317" s="79">
        <v>0</v>
      </c>
      <c r="X317" s="79">
        <v>2</v>
      </c>
      <c r="Y317" s="11" t="str">
        <f ca="1">IF(ISBLANK(BudgetsTable[[#This Row],[budg_seq_yr]]),"FY"&amp;fiscalyear,"FY"&amp;fiscalyear-1+BudgetsTable[[#This Row],[budg_seq_yr]])</f>
        <v>FY19</v>
      </c>
      <c r="Z317" s="80">
        <v>153654</v>
      </c>
      <c r="AA317" s="79" t="s">
        <v>477</v>
      </c>
      <c r="AB317" s="79" t="s">
        <v>582</v>
      </c>
      <c r="AC317" s="77" t="s">
        <v>94</v>
      </c>
      <c r="AD317" s="79" t="s">
        <v>1704</v>
      </c>
    </row>
    <row r="318" spans="1:30" x14ac:dyDescent="0.4">
      <c r="A318" s="10" t="s">
        <v>1708</v>
      </c>
      <c r="B318" s="77" t="s">
        <v>493</v>
      </c>
      <c r="C318" s="77">
        <f>C317+(BudgetsTable[[#This Row],[lead]]&lt;&gt;K317)</f>
        <v>71</v>
      </c>
      <c r="D318" s="77">
        <f>D317*(BudgetsTable[[#This Row],[lead]]=K317)+(BudgetsTable[[#This Row],[prop_id]]&lt;&gt;A317)</f>
        <v>2</v>
      </c>
      <c r="E318" s="78">
        <v>43004.43472222222</v>
      </c>
      <c r="F318" s="79" t="s">
        <v>524</v>
      </c>
      <c r="G318" s="79" t="s">
        <v>477</v>
      </c>
      <c r="H318" s="79" t="s">
        <v>582</v>
      </c>
      <c r="I318" s="77" t="s">
        <v>611</v>
      </c>
      <c r="J318" s="77" t="s">
        <v>13</v>
      </c>
      <c r="K318" s="79" t="s">
        <v>1260</v>
      </c>
      <c r="L318" s="7" t="str">
        <f>IF(BudgetsTable[[#This Row],[pi_last_name]]=" ","",HYPERLINK("https://www.ejacket.nsf.gov/ej/showProposal.do?Continue=Y&amp;ID="&amp;BudgetsTable[[#This Row],[prop_id]],BudgetsTable[[#This Row],[prop_id]]))</f>
        <v/>
      </c>
      <c r="M318" s="15" t="str">
        <f>IF(BudgetsTable[[#This Row],[pi_last_name]]=" ","",HYPERLINK("https://www.ejacket.nsf.gov/ej/processReviewAnalysis.do?dispatch=add&amp;uniqId="&amp;BudgetsTable[[#This Row],[prop_id]]&amp;PO_id,"&gt;ra"))</f>
        <v/>
      </c>
      <c r="N318" s="79" t="s">
        <v>13</v>
      </c>
      <c r="O318" s="7" t="str">
        <f>IF(BudgetsTable[[#This Row],[pi_last_name]]=" ","",HYPERLINK("mailto:"&amp;BudgetsTable[[#This Row],[pi_email]]&amp;"&amp;subject=Your NSF Proposal:  "&amp;BudgetsTable[[#This Row],[prop_id]],BudgetsTable[[#This Row],[pi_email]]))</f>
        <v/>
      </c>
      <c r="P318" s="79" t="s">
        <v>13</v>
      </c>
      <c r="Q318" s="79">
        <v>1</v>
      </c>
      <c r="R318" s="79">
        <v>0</v>
      </c>
      <c r="S318" s="80">
        <v>0</v>
      </c>
      <c r="T318" s="80">
        <v>0</v>
      </c>
      <c r="U318" s="80">
        <v>0</v>
      </c>
      <c r="V318" s="81">
        <v>159940</v>
      </c>
      <c r="W318" s="79">
        <v>0</v>
      </c>
      <c r="X318" s="79">
        <v>3</v>
      </c>
      <c r="Y318" s="11" t="str">
        <f ca="1">IF(ISBLANK(BudgetsTable[[#This Row],[budg_seq_yr]]),"FY"&amp;fiscalyear,"FY"&amp;fiscalyear-1+BudgetsTable[[#This Row],[budg_seq_yr]])</f>
        <v>FY20</v>
      </c>
      <c r="Z318" s="80">
        <v>159940</v>
      </c>
      <c r="AA318" s="79" t="s">
        <v>477</v>
      </c>
      <c r="AB318" s="79" t="s">
        <v>582</v>
      </c>
      <c r="AC318" s="77" t="s">
        <v>94</v>
      </c>
      <c r="AD318" s="79" t="s">
        <v>1704</v>
      </c>
    </row>
    <row r="319" spans="1:30" x14ac:dyDescent="0.4">
      <c r="A319" s="10" t="s">
        <v>1708</v>
      </c>
      <c r="B319" s="77" t="s">
        <v>493</v>
      </c>
      <c r="C319" s="77">
        <f>C318+(BudgetsTable[[#This Row],[lead]]&lt;&gt;K318)</f>
        <v>71</v>
      </c>
      <c r="D319" s="77">
        <f>D318*(BudgetsTable[[#This Row],[lead]]=K318)+(BudgetsTable[[#This Row],[prop_id]]&lt;&gt;A318)</f>
        <v>2</v>
      </c>
      <c r="E319" s="78">
        <v>43004.43472222222</v>
      </c>
      <c r="F319" s="79" t="s">
        <v>524</v>
      </c>
      <c r="G319" s="79" t="s">
        <v>477</v>
      </c>
      <c r="H319" s="79" t="s">
        <v>582</v>
      </c>
      <c r="I319" s="77" t="s">
        <v>611</v>
      </c>
      <c r="J319" s="77" t="s">
        <v>13</v>
      </c>
      <c r="K319" s="79" t="s">
        <v>1260</v>
      </c>
      <c r="L319" s="7" t="str">
        <f>IF(BudgetsTable[[#This Row],[pi_last_name]]=" ","",HYPERLINK("https://www.ejacket.nsf.gov/ej/showProposal.do?Continue=Y&amp;ID="&amp;BudgetsTable[[#This Row],[prop_id]],BudgetsTable[[#This Row],[prop_id]]))</f>
        <v/>
      </c>
      <c r="M319" s="15" t="str">
        <f>IF(BudgetsTable[[#This Row],[pi_last_name]]=" ","",HYPERLINK("https://www.ejacket.nsf.gov/ej/processReviewAnalysis.do?dispatch=add&amp;uniqId="&amp;BudgetsTable[[#This Row],[prop_id]]&amp;PO_id,"&gt;ra"))</f>
        <v/>
      </c>
      <c r="N319" s="79" t="s">
        <v>13</v>
      </c>
      <c r="O319" s="7" t="str">
        <f>IF(BudgetsTable[[#This Row],[pi_last_name]]=" ","",HYPERLINK("mailto:"&amp;BudgetsTable[[#This Row],[pi_email]]&amp;"&amp;subject=Your NSF Proposal:  "&amp;BudgetsTable[[#This Row],[prop_id]],BudgetsTable[[#This Row],[pi_email]]))</f>
        <v/>
      </c>
      <c r="P319" s="79" t="s">
        <v>13</v>
      </c>
      <c r="Q319" s="79">
        <v>1</v>
      </c>
      <c r="R319" s="79">
        <v>0</v>
      </c>
      <c r="S319" s="80">
        <v>0</v>
      </c>
      <c r="T319" s="80">
        <v>0</v>
      </c>
      <c r="U319" s="80">
        <v>0</v>
      </c>
      <c r="V319" s="81">
        <v>166572</v>
      </c>
      <c r="W319" s="79">
        <v>0</v>
      </c>
      <c r="X319" s="79">
        <v>4</v>
      </c>
      <c r="Y319" s="11" t="str">
        <f ca="1">IF(ISBLANK(BudgetsTable[[#This Row],[budg_seq_yr]]),"FY"&amp;fiscalyear,"FY"&amp;fiscalyear-1+BudgetsTable[[#This Row],[budg_seq_yr]])</f>
        <v>FY21</v>
      </c>
      <c r="Z319" s="80">
        <v>166572</v>
      </c>
      <c r="AA319" s="79" t="s">
        <v>477</v>
      </c>
      <c r="AB319" s="79" t="s">
        <v>582</v>
      </c>
      <c r="AC319" s="77" t="s">
        <v>94</v>
      </c>
      <c r="AD319" s="79" t="s">
        <v>1704</v>
      </c>
    </row>
    <row r="320" spans="1:30" x14ac:dyDescent="0.4">
      <c r="A320" s="10" t="s">
        <v>1279</v>
      </c>
      <c r="B320" s="77" t="s">
        <v>95</v>
      </c>
      <c r="C320" s="77">
        <f>C319+(BudgetsTable[[#This Row],[lead]]&lt;&gt;K319)</f>
        <v>72</v>
      </c>
      <c r="D320" s="77">
        <f>D319*(BudgetsTable[[#This Row],[lead]]=K319)+(BudgetsTable[[#This Row],[prop_id]]&lt;&gt;A319)</f>
        <v>1</v>
      </c>
      <c r="E320" s="78">
        <v>43003.736805555556</v>
      </c>
      <c r="F320" s="79" t="s">
        <v>524</v>
      </c>
      <c r="G320" s="79" t="s">
        <v>477</v>
      </c>
      <c r="H320" s="79" t="s">
        <v>582</v>
      </c>
      <c r="I320" s="77" t="s">
        <v>654</v>
      </c>
      <c r="J320" s="77" t="s">
        <v>1711</v>
      </c>
      <c r="K320" s="79" t="s">
        <v>1279</v>
      </c>
      <c r="L320" s="7" t="str">
        <f>IF(BudgetsTable[[#This Row],[pi_last_name]]=" ","",HYPERLINK("https://www.ejacket.nsf.gov/ej/showProposal.do?Continue=Y&amp;ID="&amp;BudgetsTable[[#This Row],[prop_id]],BudgetsTable[[#This Row],[prop_id]]))</f>
        <v>1763258</v>
      </c>
      <c r="M320" s="15" t="e">
        <f>IF(BudgetsTable[[#This Row],[pi_last_name]]=" ","",HYPERLINK("https://www.ejacket.nsf.gov/ej/processReviewAnalysis.do?dispatch=add&amp;uniqId="&amp;BudgetsTable[[#This Row],[prop_id]]&amp;PO_id,"&gt;ra"))</f>
        <v>#REF!</v>
      </c>
      <c r="N320" s="79" t="s">
        <v>1280</v>
      </c>
      <c r="O320" s="7" t="str">
        <f>IF(BudgetsTable[[#This Row],[pi_last_name]]=" ","",HYPERLINK("mailto:"&amp;BudgetsTable[[#This Row],[pi_email]]&amp;"&amp;subject=Your NSF Proposal:  "&amp;BudgetsTable[[#This Row],[prop_id]],BudgetsTable[[#This Row],[pi_email]]))</f>
        <v>goodrich@acm.org</v>
      </c>
      <c r="P320" s="79" t="s">
        <v>1709</v>
      </c>
      <c r="Q320" s="79"/>
      <c r="R320" s="79"/>
      <c r="S320" s="80"/>
      <c r="T320" s="80"/>
      <c r="U320" s="80"/>
      <c r="V320" s="81"/>
      <c r="W320" s="79">
        <v>0</v>
      </c>
      <c r="X320" s="79"/>
      <c r="Y320" s="11" t="str">
        <f ca="1">IF(ISBLANK(BudgetsTable[[#This Row],[budg_seq_yr]]),"FY"&amp;fiscalyear,"FY"&amp;fiscalyear-1+BudgetsTable[[#This Row],[budg_seq_yr]])</f>
        <v>FY18</v>
      </c>
      <c r="Z320" s="80">
        <v>1199544</v>
      </c>
      <c r="AA320" s="79" t="s">
        <v>477</v>
      </c>
      <c r="AB320" s="79" t="s">
        <v>582</v>
      </c>
      <c r="AC320" s="77" t="s">
        <v>94</v>
      </c>
      <c r="AD320" s="79" t="s">
        <v>1704</v>
      </c>
    </row>
    <row r="321" spans="1:30" x14ac:dyDescent="0.4">
      <c r="A321" s="10" t="s">
        <v>1279</v>
      </c>
      <c r="B321" s="77" t="s">
        <v>95</v>
      </c>
      <c r="C321" s="77">
        <f>C320+(BudgetsTable[[#This Row],[lead]]&lt;&gt;K320)</f>
        <v>72</v>
      </c>
      <c r="D321" s="77">
        <f>D320*(BudgetsTable[[#This Row],[lead]]=K320)+(BudgetsTable[[#This Row],[prop_id]]&lt;&gt;A320)</f>
        <v>1</v>
      </c>
      <c r="E321" s="78">
        <v>43003.736805555556</v>
      </c>
      <c r="F321" s="79" t="s">
        <v>524</v>
      </c>
      <c r="G321" s="79" t="s">
        <v>477</v>
      </c>
      <c r="H321" s="79" t="s">
        <v>582</v>
      </c>
      <c r="I321" s="77" t="s">
        <v>654</v>
      </c>
      <c r="J321" s="77" t="s">
        <v>13</v>
      </c>
      <c r="K321" s="79" t="s">
        <v>1279</v>
      </c>
      <c r="L321" s="7" t="str">
        <f>IF(BudgetsTable[[#This Row],[pi_last_name]]=" ","",HYPERLINK("https://www.ejacket.nsf.gov/ej/showProposal.do?Continue=Y&amp;ID="&amp;BudgetsTable[[#This Row],[prop_id]],BudgetsTable[[#This Row],[prop_id]]))</f>
        <v/>
      </c>
      <c r="M321" s="15" t="str">
        <f>IF(BudgetsTable[[#This Row],[pi_last_name]]=" ","",HYPERLINK("https://www.ejacket.nsf.gov/ej/processReviewAnalysis.do?dispatch=add&amp;uniqId="&amp;BudgetsTable[[#This Row],[prop_id]]&amp;PO_id,"&gt;ra"))</f>
        <v/>
      </c>
      <c r="N321" s="79" t="s">
        <v>13</v>
      </c>
      <c r="O321" s="7" t="str">
        <f>IF(BudgetsTable[[#This Row],[pi_last_name]]=" ","",HYPERLINK("mailto:"&amp;BudgetsTable[[#This Row],[pi_email]]&amp;"&amp;subject=Your NSF Proposal:  "&amp;BudgetsTable[[#This Row],[prop_id]],BudgetsTable[[#This Row],[pi_email]]))</f>
        <v/>
      </c>
      <c r="P321" s="79" t="s">
        <v>13</v>
      </c>
      <c r="Q321" s="79">
        <v>3</v>
      </c>
      <c r="R321" s="79">
        <v>2.5</v>
      </c>
      <c r="S321" s="80">
        <v>0</v>
      </c>
      <c r="T321" s="80">
        <v>7950</v>
      </c>
      <c r="U321" s="80">
        <v>0</v>
      </c>
      <c r="V321" s="81">
        <v>264254</v>
      </c>
      <c r="W321" s="79">
        <v>0</v>
      </c>
      <c r="X321" s="79">
        <v>1</v>
      </c>
      <c r="Y321" s="11" t="str">
        <f ca="1">IF(ISBLANK(BudgetsTable[[#This Row],[budg_seq_yr]]),"FY"&amp;fiscalyear,"FY"&amp;fiscalyear-1+BudgetsTable[[#This Row],[budg_seq_yr]])</f>
        <v>FY18</v>
      </c>
      <c r="Z321" s="80">
        <v>264254</v>
      </c>
      <c r="AA321" s="79" t="s">
        <v>477</v>
      </c>
      <c r="AB321" s="79" t="s">
        <v>582</v>
      </c>
      <c r="AC321" s="77" t="s">
        <v>94</v>
      </c>
      <c r="AD321" s="79" t="s">
        <v>1704</v>
      </c>
    </row>
    <row r="322" spans="1:30" x14ac:dyDescent="0.4">
      <c r="A322" s="10" t="s">
        <v>1279</v>
      </c>
      <c r="B322" s="77" t="s">
        <v>95</v>
      </c>
      <c r="C322" s="77">
        <f>C321+(BudgetsTable[[#This Row],[lead]]&lt;&gt;K321)</f>
        <v>72</v>
      </c>
      <c r="D322" s="77">
        <f>D321*(BudgetsTable[[#This Row],[lead]]=K321)+(BudgetsTable[[#This Row],[prop_id]]&lt;&gt;A321)</f>
        <v>1</v>
      </c>
      <c r="E322" s="78">
        <v>43003.736805555556</v>
      </c>
      <c r="F322" s="79" t="s">
        <v>524</v>
      </c>
      <c r="G322" s="79" t="s">
        <v>477</v>
      </c>
      <c r="H322" s="79" t="s">
        <v>582</v>
      </c>
      <c r="I322" s="77" t="s">
        <v>654</v>
      </c>
      <c r="J322" s="77" t="s">
        <v>13</v>
      </c>
      <c r="K322" s="79" t="s">
        <v>1279</v>
      </c>
      <c r="L322" s="7" t="str">
        <f>IF(BudgetsTable[[#This Row],[pi_last_name]]=" ","",HYPERLINK("https://www.ejacket.nsf.gov/ej/showProposal.do?Continue=Y&amp;ID="&amp;BudgetsTable[[#This Row],[prop_id]],BudgetsTable[[#This Row],[prop_id]]))</f>
        <v/>
      </c>
      <c r="M322" s="15" t="str">
        <f>IF(BudgetsTable[[#This Row],[pi_last_name]]=" ","",HYPERLINK("https://www.ejacket.nsf.gov/ej/processReviewAnalysis.do?dispatch=add&amp;uniqId="&amp;BudgetsTable[[#This Row],[prop_id]]&amp;PO_id,"&gt;ra"))</f>
        <v/>
      </c>
      <c r="N322" s="79" t="s">
        <v>13</v>
      </c>
      <c r="O322" s="7" t="str">
        <f>IF(BudgetsTable[[#This Row],[pi_last_name]]=" ","",HYPERLINK("mailto:"&amp;BudgetsTable[[#This Row],[pi_email]]&amp;"&amp;subject=Your NSF Proposal:  "&amp;BudgetsTable[[#This Row],[prop_id]],BudgetsTable[[#This Row],[pi_email]]))</f>
        <v/>
      </c>
      <c r="P322" s="79" t="s">
        <v>13</v>
      </c>
      <c r="Q322" s="79">
        <v>3</v>
      </c>
      <c r="R322" s="79">
        <v>2.5</v>
      </c>
      <c r="S322" s="80">
        <v>0</v>
      </c>
      <c r="T322" s="80">
        <v>8190</v>
      </c>
      <c r="U322" s="80">
        <v>0</v>
      </c>
      <c r="V322" s="81">
        <v>272689</v>
      </c>
      <c r="W322" s="79">
        <v>0</v>
      </c>
      <c r="X322" s="79">
        <v>2</v>
      </c>
      <c r="Y322" s="11" t="str">
        <f ca="1">IF(ISBLANK(BudgetsTable[[#This Row],[budg_seq_yr]]),"FY"&amp;fiscalyear,"FY"&amp;fiscalyear-1+BudgetsTable[[#This Row],[budg_seq_yr]])</f>
        <v>FY19</v>
      </c>
      <c r="Z322" s="80">
        <v>272689</v>
      </c>
      <c r="AA322" s="79" t="s">
        <v>477</v>
      </c>
      <c r="AB322" s="79" t="s">
        <v>582</v>
      </c>
      <c r="AC322" s="77" t="s">
        <v>94</v>
      </c>
      <c r="AD322" s="79" t="s">
        <v>1704</v>
      </c>
    </row>
    <row r="323" spans="1:30" x14ac:dyDescent="0.4">
      <c r="A323" s="10" t="s">
        <v>1279</v>
      </c>
      <c r="B323" s="77" t="s">
        <v>95</v>
      </c>
      <c r="C323" s="77">
        <f>C322+(BudgetsTable[[#This Row],[lead]]&lt;&gt;K322)</f>
        <v>72</v>
      </c>
      <c r="D323" s="77">
        <f>D322*(BudgetsTable[[#This Row],[lead]]=K322)+(BudgetsTable[[#This Row],[prop_id]]&lt;&gt;A322)</f>
        <v>1</v>
      </c>
      <c r="E323" s="78">
        <v>43003.736805555556</v>
      </c>
      <c r="F323" s="79" t="s">
        <v>524</v>
      </c>
      <c r="G323" s="79" t="s">
        <v>477</v>
      </c>
      <c r="H323" s="79" t="s">
        <v>582</v>
      </c>
      <c r="I323" s="77" t="s">
        <v>654</v>
      </c>
      <c r="J323" s="77" t="s">
        <v>13</v>
      </c>
      <c r="K323" s="79" t="s">
        <v>1279</v>
      </c>
      <c r="L323" s="7" t="str">
        <f>IF(BudgetsTable[[#This Row],[pi_last_name]]=" ","",HYPERLINK("https://www.ejacket.nsf.gov/ej/showProposal.do?Continue=Y&amp;ID="&amp;BudgetsTable[[#This Row],[prop_id]],BudgetsTable[[#This Row],[prop_id]]))</f>
        <v/>
      </c>
      <c r="M323" s="15" t="str">
        <f>IF(BudgetsTable[[#This Row],[pi_last_name]]=" ","",HYPERLINK("https://www.ejacket.nsf.gov/ej/processReviewAnalysis.do?dispatch=add&amp;uniqId="&amp;BudgetsTable[[#This Row],[prop_id]]&amp;PO_id,"&gt;ra"))</f>
        <v/>
      </c>
      <c r="N323" s="79" t="s">
        <v>13</v>
      </c>
      <c r="O323" s="7" t="str">
        <f>IF(BudgetsTable[[#This Row],[pi_last_name]]=" ","",HYPERLINK("mailto:"&amp;BudgetsTable[[#This Row],[pi_email]]&amp;"&amp;subject=Your NSF Proposal:  "&amp;BudgetsTable[[#This Row],[prop_id]],BudgetsTable[[#This Row],[pi_email]]))</f>
        <v/>
      </c>
      <c r="P323" s="79" t="s">
        <v>13</v>
      </c>
      <c r="Q323" s="79">
        <v>3</v>
      </c>
      <c r="R323" s="79">
        <v>3.5</v>
      </c>
      <c r="S323" s="80">
        <v>0</v>
      </c>
      <c r="T323" s="80">
        <v>8435</v>
      </c>
      <c r="U323" s="80">
        <v>0</v>
      </c>
      <c r="V323" s="81">
        <v>326266</v>
      </c>
      <c r="W323" s="79">
        <v>0</v>
      </c>
      <c r="X323" s="79">
        <v>3</v>
      </c>
      <c r="Y323" s="11" t="str">
        <f ca="1">IF(ISBLANK(BudgetsTable[[#This Row],[budg_seq_yr]]),"FY"&amp;fiscalyear,"FY"&amp;fiscalyear-1+BudgetsTable[[#This Row],[budg_seq_yr]])</f>
        <v>FY20</v>
      </c>
      <c r="Z323" s="80">
        <v>326266</v>
      </c>
      <c r="AA323" s="79" t="s">
        <v>477</v>
      </c>
      <c r="AB323" s="79" t="s">
        <v>582</v>
      </c>
      <c r="AC323" s="77" t="s">
        <v>94</v>
      </c>
      <c r="AD323" s="79" t="s">
        <v>1704</v>
      </c>
    </row>
    <row r="324" spans="1:30" x14ac:dyDescent="0.4">
      <c r="A324" s="10" t="s">
        <v>1279</v>
      </c>
      <c r="B324" s="77" t="s">
        <v>95</v>
      </c>
      <c r="C324" s="77">
        <f>C323+(BudgetsTable[[#This Row],[lead]]&lt;&gt;K323)</f>
        <v>72</v>
      </c>
      <c r="D324" s="77">
        <f>D323*(BudgetsTable[[#This Row],[lead]]=K323)+(BudgetsTable[[#This Row],[prop_id]]&lt;&gt;A323)</f>
        <v>1</v>
      </c>
      <c r="E324" s="78">
        <v>43003.736805555556</v>
      </c>
      <c r="F324" s="79" t="s">
        <v>524</v>
      </c>
      <c r="G324" s="79" t="s">
        <v>477</v>
      </c>
      <c r="H324" s="79" t="s">
        <v>582</v>
      </c>
      <c r="I324" s="77" t="s">
        <v>654</v>
      </c>
      <c r="J324" s="77" t="s">
        <v>13</v>
      </c>
      <c r="K324" s="79" t="s">
        <v>1279</v>
      </c>
      <c r="L324" s="7" t="str">
        <f>IF(BudgetsTable[[#This Row],[pi_last_name]]=" ","",HYPERLINK("https://www.ejacket.nsf.gov/ej/showProposal.do?Continue=Y&amp;ID="&amp;BudgetsTable[[#This Row],[prop_id]],BudgetsTable[[#This Row],[prop_id]]))</f>
        <v/>
      </c>
      <c r="M324" s="15" t="str">
        <f>IF(BudgetsTable[[#This Row],[pi_last_name]]=" ","",HYPERLINK("https://www.ejacket.nsf.gov/ej/processReviewAnalysis.do?dispatch=add&amp;uniqId="&amp;BudgetsTable[[#This Row],[prop_id]]&amp;PO_id,"&gt;ra"))</f>
        <v/>
      </c>
      <c r="N324" s="79" t="s">
        <v>13</v>
      </c>
      <c r="O324" s="7" t="str">
        <f>IF(BudgetsTable[[#This Row],[pi_last_name]]=" ","",HYPERLINK("mailto:"&amp;BudgetsTable[[#This Row],[pi_email]]&amp;"&amp;subject=Your NSF Proposal:  "&amp;BudgetsTable[[#This Row],[prop_id]],BudgetsTable[[#This Row],[pi_email]]))</f>
        <v/>
      </c>
      <c r="P324" s="79" t="s">
        <v>13</v>
      </c>
      <c r="Q324" s="79">
        <v>3</v>
      </c>
      <c r="R324" s="79">
        <v>3.5</v>
      </c>
      <c r="S324" s="80">
        <v>0</v>
      </c>
      <c r="T324" s="80">
        <v>8690</v>
      </c>
      <c r="U324" s="80">
        <v>0</v>
      </c>
      <c r="V324" s="81">
        <v>336335</v>
      </c>
      <c r="W324" s="79">
        <v>0</v>
      </c>
      <c r="X324" s="79">
        <v>4</v>
      </c>
      <c r="Y324" s="11" t="str">
        <f ca="1">IF(ISBLANK(BudgetsTable[[#This Row],[budg_seq_yr]]),"FY"&amp;fiscalyear,"FY"&amp;fiscalyear-1+BudgetsTable[[#This Row],[budg_seq_yr]])</f>
        <v>FY21</v>
      </c>
      <c r="Z324" s="80">
        <v>336335</v>
      </c>
      <c r="AA324" s="79" t="s">
        <v>477</v>
      </c>
      <c r="AB324" s="79" t="s">
        <v>582</v>
      </c>
      <c r="AC324" s="77" t="s">
        <v>94</v>
      </c>
      <c r="AD324" s="79" t="s">
        <v>1704</v>
      </c>
    </row>
    <row r="325" spans="1:30" x14ac:dyDescent="0.4">
      <c r="A325" s="10" t="s">
        <v>1295</v>
      </c>
      <c r="B325" s="77" t="s">
        <v>491</v>
      </c>
      <c r="C325" s="77">
        <f>C324+(BudgetsTable[[#This Row],[lead]]&lt;&gt;K324)</f>
        <v>73</v>
      </c>
      <c r="D325" s="77">
        <f>D324*(BudgetsTable[[#This Row],[lead]]=K324)+(BudgetsTable[[#This Row],[prop_id]]&lt;&gt;A324)</f>
        <v>1</v>
      </c>
      <c r="E325" s="78">
        <v>43004.474999999999</v>
      </c>
      <c r="F325" s="79" t="s">
        <v>524</v>
      </c>
      <c r="G325" s="79" t="s">
        <v>477</v>
      </c>
      <c r="H325" s="79" t="s">
        <v>582</v>
      </c>
      <c r="I325" s="77" t="s">
        <v>611</v>
      </c>
      <c r="J325" s="77" t="s">
        <v>1716</v>
      </c>
      <c r="K325" s="79" t="s">
        <v>1295</v>
      </c>
      <c r="L325" s="7" t="str">
        <f>IF(BudgetsTable[[#This Row],[pi_last_name]]=" ","",HYPERLINK("https://www.ejacket.nsf.gov/ej/showProposal.do?Continue=Y&amp;ID="&amp;BudgetsTable[[#This Row],[prop_id]],BudgetsTable[[#This Row],[prop_id]]))</f>
        <v>1763307</v>
      </c>
      <c r="M325" s="15" t="e">
        <f>IF(BudgetsTable[[#This Row],[pi_last_name]]=" ","",HYPERLINK("https://www.ejacket.nsf.gov/ej/processReviewAnalysis.do?dispatch=add&amp;uniqId="&amp;BudgetsTable[[#This Row],[prop_id]]&amp;PO_id,"&gt;ra"))</f>
        <v>#REF!</v>
      </c>
      <c r="N325" s="79" t="s">
        <v>1296</v>
      </c>
      <c r="O325" s="7" t="str">
        <f>IF(BudgetsTable[[#This Row],[pi_last_name]]=" ","",HYPERLINK("mailto:"&amp;BudgetsTable[[#This Row],[pi_email]]&amp;"&amp;subject=Your NSF Proposal:  "&amp;BudgetsTable[[#This Row],[prop_id]],BudgetsTable[[#This Row],[pi_email]]))</f>
        <v>aaroth@cis.upenn.edu</v>
      </c>
      <c r="P325" s="79" t="s">
        <v>527</v>
      </c>
      <c r="Q325" s="79"/>
      <c r="R325" s="79"/>
      <c r="S325" s="80"/>
      <c r="T325" s="80"/>
      <c r="U325" s="80"/>
      <c r="V325" s="81"/>
      <c r="W325" s="79">
        <v>0</v>
      </c>
      <c r="X325" s="79"/>
      <c r="Y325" s="11" t="str">
        <f ca="1">IF(ISBLANK(BudgetsTable[[#This Row],[budg_seq_yr]]),"FY"&amp;fiscalyear,"FY"&amp;fiscalyear-1+BudgetsTable[[#This Row],[budg_seq_yr]])</f>
        <v>FY18</v>
      </c>
      <c r="Z325" s="80">
        <v>950000</v>
      </c>
      <c r="AA325" s="79" t="s">
        <v>477</v>
      </c>
      <c r="AB325" s="79" t="s">
        <v>582</v>
      </c>
      <c r="AC325" s="77" t="s">
        <v>94</v>
      </c>
      <c r="AD325" s="79" t="s">
        <v>1712</v>
      </c>
    </row>
    <row r="326" spans="1:30" x14ac:dyDescent="0.4">
      <c r="A326" s="10" t="s">
        <v>1295</v>
      </c>
      <c r="B326" s="77" t="s">
        <v>491</v>
      </c>
      <c r="C326" s="77">
        <f>C325+(BudgetsTable[[#This Row],[lead]]&lt;&gt;K325)</f>
        <v>73</v>
      </c>
      <c r="D326" s="77">
        <f>D325*(BudgetsTable[[#This Row],[lead]]=K325)+(BudgetsTable[[#This Row],[prop_id]]&lt;&gt;A325)</f>
        <v>1</v>
      </c>
      <c r="E326" s="78">
        <v>43004.474999999999</v>
      </c>
      <c r="F326" s="79" t="s">
        <v>524</v>
      </c>
      <c r="G326" s="79" t="s">
        <v>477</v>
      </c>
      <c r="H326" s="79" t="s">
        <v>582</v>
      </c>
      <c r="I326" s="77" t="s">
        <v>611</v>
      </c>
      <c r="J326" s="77" t="s">
        <v>13</v>
      </c>
      <c r="K326" s="79" t="s">
        <v>1295</v>
      </c>
      <c r="L326" s="7" t="str">
        <f>IF(BudgetsTable[[#This Row],[pi_last_name]]=" ","",HYPERLINK("https://www.ejacket.nsf.gov/ej/showProposal.do?Continue=Y&amp;ID="&amp;BudgetsTable[[#This Row],[prop_id]],BudgetsTable[[#This Row],[prop_id]]))</f>
        <v/>
      </c>
      <c r="M326" s="15" t="str">
        <f>IF(BudgetsTable[[#This Row],[pi_last_name]]=" ","",HYPERLINK("https://www.ejacket.nsf.gov/ej/processReviewAnalysis.do?dispatch=add&amp;uniqId="&amp;BudgetsTable[[#This Row],[prop_id]]&amp;PO_id,"&gt;ra"))</f>
        <v/>
      </c>
      <c r="N326" s="79" t="s">
        <v>13</v>
      </c>
      <c r="O326" s="7" t="str">
        <f>IF(BudgetsTable[[#This Row],[pi_last_name]]=" ","",HYPERLINK("mailto:"&amp;BudgetsTable[[#This Row],[pi_email]]&amp;"&amp;subject=Your NSF Proposal:  "&amp;BudgetsTable[[#This Row],[prop_id]],BudgetsTable[[#This Row],[pi_email]]))</f>
        <v/>
      </c>
      <c r="P326" s="79" t="s">
        <v>13</v>
      </c>
      <c r="Q326" s="79">
        <v>3</v>
      </c>
      <c r="R326" s="79">
        <v>1.75</v>
      </c>
      <c r="S326" s="80">
        <v>0</v>
      </c>
      <c r="T326" s="80">
        <v>0</v>
      </c>
      <c r="U326" s="80">
        <v>0</v>
      </c>
      <c r="V326" s="81">
        <v>181622</v>
      </c>
      <c r="W326" s="79">
        <v>0</v>
      </c>
      <c r="X326" s="79">
        <v>1</v>
      </c>
      <c r="Y326" s="11" t="str">
        <f ca="1">IF(ISBLANK(BudgetsTable[[#This Row],[budg_seq_yr]]),"FY"&amp;fiscalyear,"FY"&amp;fiscalyear-1+BudgetsTable[[#This Row],[budg_seq_yr]])</f>
        <v>FY18</v>
      </c>
      <c r="Z326" s="80">
        <v>181622</v>
      </c>
      <c r="AA326" s="79" t="s">
        <v>477</v>
      </c>
      <c r="AB326" s="79" t="s">
        <v>582</v>
      </c>
      <c r="AC326" s="77" t="s">
        <v>94</v>
      </c>
      <c r="AD326" s="79" t="s">
        <v>1712</v>
      </c>
    </row>
    <row r="327" spans="1:30" x14ac:dyDescent="0.4">
      <c r="A327" s="10" t="s">
        <v>1295</v>
      </c>
      <c r="B327" s="77" t="s">
        <v>491</v>
      </c>
      <c r="C327" s="77">
        <f>C326+(BudgetsTable[[#This Row],[lead]]&lt;&gt;K326)</f>
        <v>73</v>
      </c>
      <c r="D327" s="77">
        <f>D326*(BudgetsTable[[#This Row],[lead]]=K326)+(BudgetsTable[[#This Row],[prop_id]]&lt;&gt;A326)</f>
        <v>1</v>
      </c>
      <c r="E327" s="78">
        <v>43004.474999999999</v>
      </c>
      <c r="F327" s="79" t="s">
        <v>524</v>
      </c>
      <c r="G327" s="79" t="s">
        <v>477</v>
      </c>
      <c r="H327" s="79" t="s">
        <v>582</v>
      </c>
      <c r="I327" s="77" t="s">
        <v>611</v>
      </c>
      <c r="J327" s="77" t="s">
        <v>13</v>
      </c>
      <c r="K327" s="79" t="s">
        <v>1295</v>
      </c>
      <c r="L327" s="7" t="str">
        <f>IF(BudgetsTable[[#This Row],[pi_last_name]]=" ","",HYPERLINK("https://www.ejacket.nsf.gov/ej/showProposal.do?Continue=Y&amp;ID="&amp;BudgetsTable[[#This Row],[prop_id]],BudgetsTable[[#This Row],[prop_id]]))</f>
        <v/>
      </c>
      <c r="M327" s="15" t="str">
        <f>IF(BudgetsTable[[#This Row],[pi_last_name]]=" ","",HYPERLINK("https://www.ejacket.nsf.gov/ej/processReviewAnalysis.do?dispatch=add&amp;uniqId="&amp;BudgetsTable[[#This Row],[prop_id]]&amp;PO_id,"&gt;ra"))</f>
        <v/>
      </c>
      <c r="N327" s="79" t="s">
        <v>13</v>
      </c>
      <c r="O327" s="7" t="str">
        <f>IF(BudgetsTable[[#This Row],[pi_last_name]]=" ","",HYPERLINK("mailto:"&amp;BudgetsTable[[#This Row],[pi_email]]&amp;"&amp;subject=Your NSF Proposal:  "&amp;BudgetsTable[[#This Row],[prop_id]],BudgetsTable[[#This Row],[pi_email]]))</f>
        <v/>
      </c>
      <c r="P327" s="79" t="s">
        <v>13</v>
      </c>
      <c r="Q327" s="79">
        <v>3</v>
      </c>
      <c r="R327" s="79">
        <v>1.75</v>
      </c>
      <c r="S327" s="80">
        <v>0</v>
      </c>
      <c r="T327" s="80">
        <v>0</v>
      </c>
      <c r="U327" s="80">
        <v>0</v>
      </c>
      <c r="V327" s="81">
        <v>223997</v>
      </c>
      <c r="W327" s="79">
        <v>0</v>
      </c>
      <c r="X327" s="79">
        <v>2</v>
      </c>
      <c r="Y327" s="11" t="str">
        <f ca="1">IF(ISBLANK(BudgetsTable[[#This Row],[budg_seq_yr]]),"FY"&amp;fiscalyear,"FY"&amp;fiscalyear-1+BudgetsTable[[#This Row],[budg_seq_yr]])</f>
        <v>FY19</v>
      </c>
      <c r="Z327" s="80">
        <v>223997</v>
      </c>
      <c r="AA327" s="79" t="s">
        <v>477</v>
      </c>
      <c r="AB327" s="79" t="s">
        <v>582</v>
      </c>
      <c r="AC327" s="77" t="s">
        <v>94</v>
      </c>
      <c r="AD327" s="79" t="s">
        <v>1712</v>
      </c>
    </row>
    <row r="328" spans="1:30" x14ac:dyDescent="0.4">
      <c r="A328" s="10" t="s">
        <v>1295</v>
      </c>
      <c r="B328" s="77" t="s">
        <v>491</v>
      </c>
      <c r="C328" s="77">
        <f>C327+(BudgetsTable[[#This Row],[lead]]&lt;&gt;K327)</f>
        <v>73</v>
      </c>
      <c r="D328" s="77">
        <f>D327*(BudgetsTable[[#This Row],[lead]]=K327)+(BudgetsTable[[#This Row],[prop_id]]&lt;&gt;A327)</f>
        <v>1</v>
      </c>
      <c r="E328" s="78">
        <v>43004.474999999999</v>
      </c>
      <c r="F328" s="79" t="s">
        <v>524</v>
      </c>
      <c r="G328" s="79" t="s">
        <v>477</v>
      </c>
      <c r="H328" s="79" t="s">
        <v>582</v>
      </c>
      <c r="I328" s="77" t="s">
        <v>611</v>
      </c>
      <c r="J328" s="77" t="s">
        <v>13</v>
      </c>
      <c r="K328" s="79" t="s">
        <v>1295</v>
      </c>
      <c r="L328" s="7" t="str">
        <f>IF(BudgetsTable[[#This Row],[pi_last_name]]=" ","",HYPERLINK("https://www.ejacket.nsf.gov/ej/showProposal.do?Continue=Y&amp;ID="&amp;BudgetsTable[[#This Row],[prop_id]],BudgetsTable[[#This Row],[prop_id]]))</f>
        <v/>
      </c>
      <c r="M328" s="15" t="str">
        <f>IF(BudgetsTable[[#This Row],[pi_last_name]]=" ","",HYPERLINK("https://www.ejacket.nsf.gov/ej/processReviewAnalysis.do?dispatch=add&amp;uniqId="&amp;BudgetsTable[[#This Row],[prop_id]]&amp;PO_id,"&gt;ra"))</f>
        <v/>
      </c>
      <c r="N328" s="79" t="s">
        <v>13</v>
      </c>
      <c r="O328" s="7" t="str">
        <f>IF(BudgetsTable[[#This Row],[pi_last_name]]=" ","",HYPERLINK("mailto:"&amp;BudgetsTable[[#This Row],[pi_email]]&amp;"&amp;subject=Your NSF Proposal:  "&amp;BudgetsTable[[#This Row],[prop_id]],BudgetsTable[[#This Row],[pi_email]]))</f>
        <v/>
      </c>
      <c r="P328" s="79" t="s">
        <v>13</v>
      </c>
      <c r="Q328" s="79">
        <v>3</v>
      </c>
      <c r="R328" s="79">
        <v>1.75</v>
      </c>
      <c r="S328" s="80">
        <v>0</v>
      </c>
      <c r="T328" s="80">
        <v>0</v>
      </c>
      <c r="U328" s="80">
        <v>0</v>
      </c>
      <c r="V328" s="81">
        <v>267615</v>
      </c>
      <c r="W328" s="79">
        <v>0</v>
      </c>
      <c r="X328" s="79">
        <v>3</v>
      </c>
      <c r="Y328" s="11" t="str">
        <f ca="1">IF(ISBLANK(BudgetsTable[[#This Row],[budg_seq_yr]]),"FY"&amp;fiscalyear,"FY"&amp;fiscalyear-1+BudgetsTable[[#This Row],[budg_seq_yr]])</f>
        <v>FY20</v>
      </c>
      <c r="Z328" s="80">
        <v>267615</v>
      </c>
      <c r="AA328" s="79" t="s">
        <v>477</v>
      </c>
      <c r="AB328" s="79" t="s">
        <v>582</v>
      </c>
      <c r="AC328" s="77" t="s">
        <v>94</v>
      </c>
      <c r="AD328" s="79" t="s">
        <v>1712</v>
      </c>
    </row>
    <row r="329" spans="1:30" x14ac:dyDescent="0.4">
      <c r="A329" s="10" t="s">
        <v>1295</v>
      </c>
      <c r="B329" s="77" t="s">
        <v>491</v>
      </c>
      <c r="C329" s="77">
        <f>C328+(BudgetsTable[[#This Row],[lead]]&lt;&gt;K328)</f>
        <v>73</v>
      </c>
      <c r="D329" s="77">
        <f>D328*(BudgetsTable[[#This Row],[lead]]=K328)+(BudgetsTable[[#This Row],[prop_id]]&lt;&gt;A328)</f>
        <v>1</v>
      </c>
      <c r="E329" s="78">
        <v>43004.474999999999</v>
      </c>
      <c r="F329" s="79" t="s">
        <v>524</v>
      </c>
      <c r="G329" s="79" t="s">
        <v>477</v>
      </c>
      <c r="H329" s="79" t="s">
        <v>582</v>
      </c>
      <c r="I329" s="77" t="s">
        <v>611</v>
      </c>
      <c r="J329" s="77" t="s">
        <v>13</v>
      </c>
      <c r="K329" s="79" t="s">
        <v>1295</v>
      </c>
      <c r="L329" s="7" t="str">
        <f>IF(BudgetsTable[[#This Row],[pi_last_name]]=" ","",HYPERLINK("https://www.ejacket.nsf.gov/ej/showProposal.do?Continue=Y&amp;ID="&amp;BudgetsTable[[#This Row],[prop_id]],BudgetsTable[[#This Row],[prop_id]]))</f>
        <v/>
      </c>
      <c r="M329" s="15" t="str">
        <f>IF(BudgetsTable[[#This Row],[pi_last_name]]=" ","",HYPERLINK("https://www.ejacket.nsf.gov/ej/processReviewAnalysis.do?dispatch=add&amp;uniqId="&amp;BudgetsTable[[#This Row],[prop_id]]&amp;PO_id,"&gt;ra"))</f>
        <v/>
      </c>
      <c r="N329" s="79" t="s">
        <v>13</v>
      </c>
      <c r="O329" s="7" t="str">
        <f>IF(BudgetsTable[[#This Row],[pi_last_name]]=" ","",HYPERLINK("mailto:"&amp;BudgetsTable[[#This Row],[pi_email]]&amp;"&amp;subject=Your NSF Proposal:  "&amp;BudgetsTable[[#This Row],[prop_id]],BudgetsTable[[#This Row],[pi_email]]))</f>
        <v/>
      </c>
      <c r="P329" s="79" t="s">
        <v>13</v>
      </c>
      <c r="Q329" s="79">
        <v>3</v>
      </c>
      <c r="R329" s="79">
        <v>1.75</v>
      </c>
      <c r="S329" s="80">
        <v>0</v>
      </c>
      <c r="T329" s="80">
        <v>0</v>
      </c>
      <c r="U329" s="80">
        <v>0</v>
      </c>
      <c r="V329" s="81">
        <v>276766</v>
      </c>
      <c r="W329" s="79">
        <v>0</v>
      </c>
      <c r="X329" s="79">
        <v>4</v>
      </c>
      <c r="Y329" s="11" t="str">
        <f ca="1">IF(ISBLANK(BudgetsTable[[#This Row],[budg_seq_yr]]),"FY"&amp;fiscalyear,"FY"&amp;fiscalyear-1+BudgetsTable[[#This Row],[budg_seq_yr]])</f>
        <v>FY21</v>
      </c>
      <c r="Z329" s="80">
        <v>276766</v>
      </c>
      <c r="AA329" s="79" t="s">
        <v>477</v>
      </c>
      <c r="AB329" s="79" t="s">
        <v>582</v>
      </c>
      <c r="AC329" s="77" t="s">
        <v>94</v>
      </c>
      <c r="AD329" s="79" t="s">
        <v>1712</v>
      </c>
    </row>
    <row r="330" spans="1:30" x14ac:dyDescent="0.4">
      <c r="A330" s="10" t="s">
        <v>1717</v>
      </c>
      <c r="B330" s="77" t="s">
        <v>493</v>
      </c>
      <c r="C330" s="77">
        <f>C329+(BudgetsTable[[#This Row],[lead]]&lt;&gt;K329)</f>
        <v>73</v>
      </c>
      <c r="D330" s="77">
        <f>D329*(BudgetsTable[[#This Row],[lead]]=K329)+(BudgetsTable[[#This Row],[prop_id]]&lt;&gt;A329)</f>
        <v>2</v>
      </c>
      <c r="E330" s="78">
        <v>43004.605555555558</v>
      </c>
      <c r="F330" s="79" t="s">
        <v>524</v>
      </c>
      <c r="G330" s="79" t="s">
        <v>477</v>
      </c>
      <c r="H330" s="79" t="s">
        <v>582</v>
      </c>
      <c r="I330" s="77" t="s">
        <v>611</v>
      </c>
      <c r="J330" s="77" t="s">
        <v>1721</v>
      </c>
      <c r="K330" s="79" t="s">
        <v>1295</v>
      </c>
      <c r="L330" s="7" t="str">
        <f>IF(BudgetsTable[[#This Row],[pi_last_name]]=" ","",HYPERLINK("https://www.ejacket.nsf.gov/ej/showProposal.do?Continue=Y&amp;ID="&amp;BudgetsTable[[#This Row],[prop_id]],BudgetsTable[[#This Row],[prop_id]]))</f>
        <v>1763349</v>
      </c>
      <c r="M330" s="15" t="e">
        <f>IF(BudgetsTable[[#This Row],[pi_last_name]]=" ","",HYPERLINK("https://www.ejacket.nsf.gov/ej/processReviewAnalysis.do?dispatch=add&amp;uniqId="&amp;BudgetsTable[[#This Row],[prop_id]]&amp;PO_id,"&gt;ra"))</f>
        <v>#REF!</v>
      </c>
      <c r="N330" s="79" t="s">
        <v>1718</v>
      </c>
      <c r="O330" s="7" t="str">
        <f>IF(BudgetsTable[[#This Row],[pi_last_name]]=" ","",HYPERLINK("mailto:"&amp;BudgetsTable[[#This Row],[pi_email]]&amp;"&amp;subject=Your NSF Proposal:  "&amp;BudgetsTable[[#This Row],[prop_id]],BudgetsTable[[#This Row],[pi_email]]))</f>
        <v>Mallesh.Pai@rice.edu</v>
      </c>
      <c r="P330" s="79" t="s">
        <v>499</v>
      </c>
      <c r="Q330" s="79"/>
      <c r="R330" s="79"/>
      <c r="S330" s="80"/>
      <c r="T330" s="80"/>
      <c r="U330" s="80"/>
      <c r="V330" s="81"/>
      <c r="W330" s="79">
        <v>0</v>
      </c>
      <c r="X330" s="79"/>
      <c r="Y330" s="11" t="str">
        <f ca="1">IF(ISBLANK(BudgetsTable[[#This Row],[budg_seq_yr]]),"FY"&amp;fiscalyear,"FY"&amp;fiscalyear-1+BudgetsTable[[#This Row],[budg_seq_yr]])</f>
        <v>FY18</v>
      </c>
      <c r="Z330" s="80">
        <v>250000</v>
      </c>
      <c r="AA330" s="79" t="s">
        <v>477</v>
      </c>
      <c r="AB330" s="79" t="s">
        <v>582</v>
      </c>
      <c r="AC330" s="77" t="s">
        <v>94</v>
      </c>
      <c r="AD330" s="79" t="s">
        <v>1712</v>
      </c>
    </row>
    <row r="331" spans="1:30" x14ac:dyDescent="0.4">
      <c r="A331" s="10" t="s">
        <v>1717</v>
      </c>
      <c r="B331" s="77" t="s">
        <v>493</v>
      </c>
      <c r="C331" s="77">
        <f>C330+(BudgetsTable[[#This Row],[lead]]&lt;&gt;K330)</f>
        <v>73</v>
      </c>
      <c r="D331" s="77">
        <f>D330*(BudgetsTable[[#This Row],[lead]]=K330)+(BudgetsTable[[#This Row],[prop_id]]&lt;&gt;A330)</f>
        <v>2</v>
      </c>
      <c r="E331" s="78">
        <v>43004.605555555558</v>
      </c>
      <c r="F331" s="79" t="s">
        <v>524</v>
      </c>
      <c r="G331" s="79" t="s">
        <v>477</v>
      </c>
      <c r="H331" s="79" t="s">
        <v>582</v>
      </c>
      <c r="I331" s="77" t="s">
        <v>611</v>
      </c>
      <c r="J331" s="77" t="s">
        <v>13</v>
      </c>
      <c r="K331" s="79" t="s">
        <v>1295</v>
      </c>
      <c r="L331" s="7" t="str">
        <f>IF(BudgetsTable[[#This Row],[pi_last_name]]=" ","",HYPERLINK("https://www.ejacket.nsf.gov/ej/showProposal.do?Continue=Y&amp;ID="&amp;BudgetsTable[[#This Row],[prop_id]],BudgetsTable[[#This Row],[prop_id]]))</f>
        <v/>
      </c>
      <c r="M331" s="15" t="str">
        <f>IF(BudgetsTable[[#This Row],[pi_last_name]]=" ","",HYPERLINK("https://www.ejacket.nsf.gov/ej/processReviewAnalysis.do?dispatch=add&amp;uniqId="&amp;BudgetsTable[[#This Row],[prop_id]]&amp;PO_id,"&gt;ra"))</f>
        <v/>
      </c>
      <c r="N331" s="79" t="s">
        <v>13</v>
      </c>
      <c r="O331" s="7" t="str">
        <f>IF(BudgetsTable[[#This Row],[pi_last_name]]=" ","",HYPERLINK("mailto:"&amp;BudgetsTable[[#This Row],[pi_email]]&amp;"&amp;subject=Your NSF Proposal:  "&amp;BudgetsTable[[#This Row],[prop_id]],BudgetsTable[[#This Row],[pi_email]]))</f>
        <v/>
      </c>
      <c r="P331" s="79" t="s">
        <v>13</v>
      </c>
      <c r="Q331" s="79">
        <v>1</v>
      </c>
      <c r="R331" s="79">
        <v>0.5</v>
      </c>
      <c r="S331" s="80">
        <v>0</v>
      </c>
      <c r="T331" s="80">
        <v>0</v>
      </c>
      <c r="U331" s="80">
        <v>0</v>
      </c>
      <c r="V331" s="81">
        <v>63168</v>
      </c>
      <c r="W331" s="79">
        <v>0</v>
      </c>
      <c r="X331" s="79">
        <v>1</v>
      </c>
      <c r="Y331" s="11" t="str">
        <f ca="1">IF(ISBLANK(BudgetsTable[[#This Row],[budg_seq_yr]]),"FY"&amp;fiscalyear,"FY"&amp;fiscalyear-1+BudgetsTable[[#This Row],[budg_seq_yr]])</f>
        <v>FY18</v>
      </c>
      <c r="Z331" s="80">
        <v>63168</v>
      </c>
      <c r="AA331" s="79" t="s">
        <v>477</v>
      </c>
      <c r="AB331" s="79" t="s">
        <v>582</v>
      </c>
      <c r="AC331" s="77" t="s">
        <v>94</v>
      </c>
      <c r="AD331" s="79" t="s">
        <v>1712</v>
      </c>
    </row>
    <row r="332" spans="1:30" x14ac:dyDescent="0.4">
      <c r="A332" s="10" t="s">
        <v>1717</v>
      </c>
      <c r="B332" s="77" t="s">
        <v>493</v>
      </c>
      <c r="C332" s="77">
        <f>C331+(BudgetsTable[[#This Row],[lead]]&lt;&gt;K331)</f>
        <v>73</v>
      </c>
      <c r="D332" s="77">
        <f>D331*(BudgetsTable[[#This Row],[lead]]=K331)+(BudgetsTable[[#This Row],[prop_id]]&lt;&gt;A331)</f>
        <v>2</v>
      </c>
      <c r="E332" s="78">
        <v>43004.605555555558</v>
      </c>
      <c r="F332" s="79" t="s">
        <v>524</v>
      </c>
      <c r="G332" s="79" t="s">
        <v>477</v>
      </c>
      <c r="H332" s="79" t="s">
        <v>582</v>
      </c>
      <c r="I332" s="77" t="s">
        <v>611</v>
      </c>
      <c r="J332" s="77" t="s">
        <v>13</v>
      </c>
      <c r="K332" s="79" t="s">
        <v>1295</v>
      </c>
      <c r="L332" s="7" t="str">
        <f>IF(BudgetsTable[[#This Row],[pi_last_name]]=" ","",HYPERLINK("https://www.ejacket.nsf.gov/ej/showProposal.do?Continue=Y&amp;ID="&amp;BudgetsTable[[#This Row],[prop_id]],BudgetsTable[[#This Row],[prop_id]]))</f>
        <v/>
      </c>
      <c r="M332" s="15" t="str">
        <f>IF(BudgetsTable[[#This Row],[pi_last_name]]=" ","",HYPERLINK("https://www.ejacket.nsf.gov/ej/processReviewAnalysis.do?dispatch=add&amp;uniqId="&amp;BudgetsTable[[#This Row],[prop_id]]&amp;PO_id,"&gt;ra"))</f>
        <v/>
      </c>
      <c r="N332" s="79" t="s">
        <v>13</v>
      </c>
      <c r="O332" s="7" t="str">
        <f>IF(BudgetsTable[[#This Row],[pi_last_name]]=" ","",HYPERLINK("mailto:"&amp;BudgetsTable[[#This Row],[pi_email]]&amp;"&amp;subject=Your NSF Proposal:  "&amp;BudgetsTable[[#This Row],[prop_id]],BudgetsTable[[#This Row],[pi_email]]))</f>
        <v/>
      </c>
      <c r="P332" s="79" t="s">
        <v>13</v>
      </c>
      <c r="Q332" s="79">
        <v>1</v>
      </c>
      <c r="R332" s="79">
        <v>0.5</v>
      </c>
      <c r="S332" s="80">
        <v>0</v>
      </c>
      <c r="T332" s="80">
        <v>0</v>
      </c>
      <c r="U332" s="80">
        <v>0</v>
      </c>
      <c r="V332" s="81">
        <v>61902</v>
      </c>
      <c r="W332" s="79">
        <v>0</v>
      </c>
      <c r="X332" s="79">
        <v>2</v>
      </c>
      <c r="Y332" s="11" t="str">
        <f ca="1">IF(ISBLANK(BudgetsTable[[#This Row],[budg_seq_yr]]),"FY"&amp;fiscalyear,"FY"&amp;fiscalyear-1+BudgetsTable[[#This Row],[budg_seq_yr]])</f>
        <v>FY19</v>
      </c>
      <c r="Z332" s="80">
        <v>61902</v>
      </c>
      <c r="AA332" s="79" t="s">
        <v>477</v>
      </c>
      <c r="AB332" s="79" t="s">
        <v>582</v>
      </c>
      <c r="AC332" s="77" t="s">
        <v>94</v>
      </c>
      <c r="AD332" s="79" t="s">
        <v>1712</v>
      </c>
    </row>
    <row r="333" spans="1:30" x14ac:dyDescent="0.4">
      <c r="A333" s="10" t="s">
        <v>1717</v>
      </c>
      <c r="B333" s="77" t="s">
        <v>493</v>
      </c>
      <c r="C333" s="77">
        <f>C332+(BudgetsTable[[#This Row],[lead]]&lt;&gt;K332)</f>
        <v>73</v>
      </c>
      <c r="D333" s="77">
        <f>D332*(BudgetsTable[[#This Row],[lead]]=K332)+(BudgetsTable[[#This Row],[prop_id]]&lt;&gt;A332)</f>
        <v>2</v>
      </c>
      <c r="E333" s="78">
        <v>43004.605555555558</v>
      </c>
      <c r="F333" s="79" t="s">
        <v>524</v>
      </c>
      <c r="G333" s="79" t="s">
        <v>477</v>
      </c>
      <c r="H333" s="79" t="s">
        <v>582</v>
      </c>
      <c r="I333" s="77" t="s">
        <v>611</v>
      </c>
      <c r="J333" s="77" t="s">
        <v>13</v>
      </c>
      <c r="K333" s="79" t="s">
        <v>1295</v>
      </c>
      <c r="L333" s="7" t="str">
        <f>IF(BudgetsTable[[#This Row],[pi_last_name]]=" ","",HYPERLINK("https://www.ejacket.nsf.gov/ej/showProposal.do?Continue=Y&amp;ID="&amp;BudgetsTable[[#This Row],[prop_id]],BudgetsTable[[#This Row],[prop_id]]))</f>
        <v/>
      </c>
      <c r="M333" s="15" t="str">
        <f>IF(BudgetsTable[[#This Row],[pi_last_name]]=" ","",HYPERLINK("https://www.ejacket.nsf.gov/ej/processReviewAnalysis.do?dispatch=add&amp;uniqId="&amp;BudgetsTable[[#This Row],[prop_id]]&amp;PO_id,"&gt;ra"))</f>
        <v/>
      </c>
      <c r="N333" s="79" t="s">
        <v>13</v>
      </c>
      <c r="O333" s="7" t="str">
        <f>IF(BudgetsTable[[#This Row],[pi_last_name]]=" ","",HYPERLINK("mailto:"&amp;BudgetsTable[[#This Row],[pi_email]]&amp;"&amp;subject=Your NSF Proposal:  "&amp;BudgetsTable[[#This Row],[prop_id]],BudgetsTable[[#This Row],[pi_email]]))</f>
        <v/>
      </c>
      <c r="P333" s="79" t="s">
        <v>13</v>
      </c>
      <c r="Q333" s="79">
        <v>1</v>
      </c>
      <c r="R333" s="79">
        <v>0.5</v>
      </c>
      <c r="S333" s="80">
        <v>0</v>
      </c>
      <c r="T333" s="80">
        <v>0</v>
      </c>
      <c r="U333" s="80">
        <v>0</v>
      </c>
      <c r="V333" s="81">
        <v>62275</v>
      </c>
      <c r="W333" s="79">
        <v>0</v>
      </c>
      <c r="X333" s="79">
        <v>3</v>
      </c>
      <c r="Y333" s="11" t="str">
        <f ca="1">IF(ISBLANK(BudgetsTable[[#This Row],[budg_seq_yr]]),"FY"&amp;fiscalyear,"FY"&amp;fiscalyear-1+BudgetsTable[[#This Row],[budg_seq_yr]])</f>
        <v>FY20</v>
      </c>
      <c r="Z333" s="80">
        <v>62275</v>
      </c>
      <c r="AA333" s="79" t="s">
        <v>477</v>
      </c>
      <c r="AB333" s="79" t="s">
        <v>582</v>
      </c>
      <c r="AC333" s="77" t="s">
        <v>94</v>
      </c>
      <c r="AD333" s="79" t="s">
        <v>1712</v>
      </c>
    </row>
    <row r="334" spans="1:30" x14ac:dyDescent="0.4">
      <c r="A334" s="10" t="s">
        <v>1717</v>
      </c>
      <c r="B334" s="77" t="s">
        <v>493</v>
      </c>
      <c r="C334" s="77">
        <f>C333+(BudgetsTable[[#This Row],[lead]]&lt;&gt;K333)</f>
        <v>73</v>
      </c>
      <c r="D334" s="77">
        <f>D333*(BudgetsTable[[#This Row],[lead]]=K333)+(BudgetsTable[[#This Row],[prop_id]]&lt;&gt;A333)</f>
        <v>2</v>
      </c>
      <c r="E334" s="78">
        <v>43004.605555555558</v>
      </c>
      <c r="F334" s="79" t="s">
        <v>524</v>
      </c>
      <c r="G334" s="79" t="s">
        <v>477</v>
      </c>
      <c r="H334" s="79" t="s">
        <v>582</v>
      </c>
      <c r="I334" s="77" t="s">
        <v>611</v>
      </c>
      <c r="J334" s="77" t="s">
        <v>13</v>
      </c>
      <c r="K334" s="79" t="s">
        <v>1295</v>
      </c>
      <c r="L334" s="7" t="str">
        <f>IF(BudgetsTable[[#This Row],[pi_last_name]]=" ","",HYPERLINK("https://www.ejacket.nsf.gov/ej/showProposal.do?Continue=Y&amp;ID="&amp;BudgetsTable[[#This Row],[prop_id]],BudgetsTable[[#This Row],[prop_id]]))</f>
        <v/>
      </c>
      <c r="M334" s="15" t="str">
        <f>IF(BudgetsTable[[#This Row],[pi_last_name]]=" ","",HYPERLINK("https://www.ejacket.nsf.gov/ej/processReviewAnalysis.do?dispatch=add&amp;uniqId="&amp;BudgetsTable[[#This Row],[prop_id]]&amp;PO_id,"&gt;ra"))</f>
        <v/>
      </c>
      <c r="N334" s="79" t="s">
        <v>13</v>
      </c>
      <c r="O334" s="7" t="str">
        <f>IF(BudgetsTable[[#This Row],[pi_last_name]]=" ","",HYPERLINK("mailto:"&amp;BudgetsTable[[#This Row],[pi_email]]&amp;"&amp;subject=Your NSF Proposal:  "&amp;BudgetsTable[[#This Row],[prop_id]],BudgetsTable[[#This Row],[pi_email]]))</f>
        <v/>
      </c>
      <c r="P334" s="79" t="s">
        <v>13</v>
      </c>
      <c r="Q334" s="79">
        <v>1</v>
      </c>
      <c r="R334" s="79">
        <v>0.5</v>
      </c>
      <c r="S334" s="80">
        <v>0</v>
      </c>
      <c r="T334" s="80">
        <v>0</v>
      </c>
      <c r="U334" s="80">
        <v>0</v>
      </c>
      <c r="V334" s="81">
        <v>62655</v>
      </c>
      <c r="W334" s="79">
        <v>0</v>
      </c>
      <c r="X334" s="79">
        <v>4</v>
      </c>
      <c r="Y334" s="11" t="str">
        <f ca="1">IF(ISBLANK(BudgetsTable[[#This Row],[budg_seq_yr]]),"FY"&amp;fiscalyear,"FY"&amp;fiscalyear-1+BudgetsTable[[#This Row],[budg_seq_yr]])</f>
        <v>FY21</v>
      </c>
      <c r="Z334" s="80">
        <v>62655</v>
      </c>
      <c r="AA334" s="79" t="s">
        <v>477</v>
      </c>
      <c r="AB334" s="79" t="s">
        <v>582</v>
      </c>
      <c r="AC334" s="77" t="s">
        <v>94</v>
      </c>
      <c r="AD334" s="79" t="s">
        <v>1712</v>
      </c>
    </row>
    <row r="335" spans="1:30" x14ac:dyDescent="0.4">
      <c r="A335" s="10" t="s">
        <v>1305</v>
      </c>
      <c r="B335" s="77" t="s">
        <v>491</v>
      </c>
      <c r="C335" s="77">
        <f>C334+(BudgetsTable[[#This Row],[lead]]&lt;&gt;K334)</f>
        <v>74</v>
      </c>
      <c r="D335" s="77">
        <f>D334*(BudgetsTable[[#This Row],[lead]]=K334)+(BudgetsTable[[#This Row],[prop_id]]&lt;&gt;A334)</f>
        <v>1</v>
      </c>
      <c r="E335" s="78">
        <v>43004.490972222222</v>
      </c>
      <c r="F335" s="79" t="s">
        <v>524</v>
      </c>
      <c r="G335" s="79" t="s">
        <v>477</v>
      </c>
      <c r="H335" s="79" t="s">
        <v>582</v>
      </c>
      <c r="I335" s="77" t="s">
        <v>611</v>
      </c>
      <c r="J335" s="77" t="s">
        <v>1724</v>
      </c>
      <c r="K335" s="79" t="s">
        <v>1305</v>
      </c>
      <c r="L335" s="7" t="str">
        <f>IF(BudgetsTable[[#This Row],[pi_last_name]]=" ","",HYPERLINK("https://www.ejacket.nsf.gov/ej/showProposal.do?Continue=Y&amp;ID="&amp;BudgetsTable[[#This Row],[prop_id]],BudgetsTable[[#This Row],[prop_id]]))</f>
        <v>1763311</v>
      </c>
      <c r="M335" s="15" t="e">
        <f>IF(BudgetsTable[[#This Row],[pi_last_name]]=" ","",HYPERLINK("https://www.ejacket.nsf.gov/ej/processReviewAnalysis.do?dispatch=add&amp;uniqId="&amp;BudgetsTable[[#This Row],[prop_id]]&amp;PO_id,"&gt;ra"))</f>
        <v>#REF!</v>
      </c>
      <c r="N335" s="79" t="s">
        <v>1306</v>
      </c>
      <c r="O335" s="7" t="str">
        <f>IF(BudgetsTable[[#This Row],[pi_last_name]]=" ","",HYPERLINK("mailto:"&amp;BudgetsTable[[#This Row],[pi_email]]&amp;"&amp;subject=Your NSF Proposal:  "&amp;BudgetsTable[[#This Row],[prop_id]],BudgetsTable[[#This Row],[pi_email]]))</f>
        <v>omreing@stanford.edu</v>
      </c>
      <c r="P335" s="79" t="s">
        <v>1465</v>
      </c>
      <c r="Q335" s="79"/>
      <c r="R335" s="79"/>
      <c r="S335" s="80"/>
      <c r="T335" s="80"/>
      <c r="U335" s="80"/>
      <c r="V335" s="81"/>
      <c r="W335" s="79">
        <v>0</v>
      </c>
      <c r="X335" s="79"/>
      <c r="Y335" s="11" t="str">
        <f ca="1">IF(ISBLANK(BudgetsTable[[#This Row],[budg_seq_yr]]),"FY"&amp;fiscalyear,"FY"&amp;fiscalyear-1+BudgetsTable[[#This Row],[budg_seq_yr]])</f>
        <v>FY18</v>
      </c>
      <c r="Z335" s="80">
        <v>650000</v>
      </c>
      <c r="AA335" s="79" t="s">
        <v>477</v>
      </c>
      <c r="AB335" s="79" t="s">
        <v>582</v>
      </c>
      <c r="AC335" s="77" t="s">
        <v>94</v>
      </c>
      <c r="AD335" s="79" t="s">
        <v>1722</v>
      </c>
    </row>
    <row r="336" spans="1:30" x14ac:dyDescent="0.4">
      <c r="A336" s="10" t="s">
        <v>1305</v>
      </c>
      <c r="B336" s="77" t="s">
        <v>491</v>
      </c>
      <c r="C336" s="77">
        <f>C335+(BudgetsTable[[#This Row],[lead]]&lt;&gt;K335)</f>
        <v>74</v>
      </c>
      <c r="D336" s="77">
        <f>D335*(BudgetsTable[[#This Row],[lead]]=K335)+(BudgetsTable[[#This Row],[prop_id]]&lt;&gt;A335)</f>
        <v>1</v>
      </c>
      <c r="E336" s="78">
        <v>43004.490972222222</v>
      </c>
      <c r="F336" s="79" t="s">
        <v>524</v>
      </c>
      <c r="G336" s="79" t="s">
        <v>477</v>
      </c>
      <c r="H336" s="79" t="s">
        <v>582</v>
      </c>
      <c r="I336" s="77" t="s">
        <v>611</v>
      </c>
      <c r="J336" s="77" t="s">
        <v>13</v>
      </c>
      <c r="K336" s="79" t="s">
        <v>1305</v>
      </c>
      <c r="L336" s="7" t="str">
        <f>IF(BudgetsTable[[#This Row],[pi_last_name]]=" ","",HYPERLINK("https://www.ejacket.nsf.gov/ej/showProposal.do?Continue=Y&amp;ID="&amp;BudgetsTable[[#This Row],[prop_id]],BudgetsTable[[#This Row],[prop_id]]))</f>
        <v/>
      </c>
      <c r="M336" s="15" t="str">
        <f>IF(BudgetsTable[[#This Row],[pi_last_name]]=" ","",HYPERLINK("https://www.ejacket.nsf.gov/ej/processReviewAnalysis.do?dispatch=add&amp;uniqId="&amp;BudgetsTable[[#This Row],[prop_id]]&amp;PO_id,"&gt;ra"))</f>
        <v/>
      </c>
      <c r="N336" s="79" t="s">
        <v>13</v>
      </c>
      <c r="O336" s="7" t="str">
        <f>IF(BudgetsTable[[#This Row],[pi_last_name]]=" ","",HYPERLINK("mailto:"&amp;BudgetsTable[[#This Row],[pi_email]]&amp;"&amp;subject=Your NSF Proposal:  "&amp;BudgetsTable[[#This Row],[prop_id]],BudgetsTable[[#This Row],[pi_email]]))</f>
        <v/>
      </c>
      <c r="P336" s="79" t="s">
        <v>13</v>
      </c>
      <c r="Q336" s="79">
        <v>1</v>
      </c>
      <c r="R336" s="79">
        <v>1</v>
      </c>
      <c r="S336" s="80">
        <v>0</v>
      </c>
      <c r="T336" s="80">
        <v>3000</v>
      </c>
      <c r="U336" s="80">
        <v>0</v>
      </c>
      <c r="V336" s="81">
        <v>160167</v>
      </c>
      <c r="W336" s="79">
        <v>0</v>
      </c>
      <c r="X336" s="79">
        <v>1</v>
      </c>
      <c r="Y336" s="11" t="str">
        <f ca="1">IF(ISBLANK(BudgetsTable[[#This Row],[budg_seq_yr]]),"FY"&amp;fiscalyear,"FY"&amp;fiscalyear-1+BudgetsTable[[#This Row],[budg_seq_yr]])</f>
        <v>FY18</v>
      </c>
      <c r="Z336" s="80">
        <v>160167</v>
      </c>
      <c r="AA336" s="79" t="s">
        <v>477</v>
      </c>
      <c r="AB336" s="79" t="s">
        <v>582</v>
      </c>
      <c r="AC336" s="77" t="s">
        <v>94</v>
      </c>
      <c r="AD336" s="79" t="s">
        <v>1722</v>
      </c>
    </row>
    <row r="337" spans="1:30" x14ac:dyDescent="0.4">
      <c r="A337" s="10" t="s">
        <v>1305</v>
      </c>
      <c r="B337" s="77" t="s">
        <v>491</v>
      </c>
      <c r="C337" s="77">
        <f>C336+(BudgetsTable[[#This Row],[lead]]&lt;&gt;K336)</f>
        <v>74</v>
      </c>
      <c r="D337" s="77">
        <f>D336*(BudgetsTable[[#This Row],[lead]]=K336)+(BudgetsTable[[#This Row],[prop_id]]&lt;&gt;A336)</f>
        <v>1</v>
      </c>
      <c r="E337" s="78">
        <v>43004.490972222222</v>
      </c>
      <c r="F337" s="79" t="s">
        <v>524</v>
      </c>
      <c r="G337" s="79" t="s">
        <v>477</v>
      </c>
      <c r="H337" s="79" t="s">
        <v>582</v>
      </c>
      <c r="I337" s="77" t="s">
        <v>611</v>
      </c>
      <c r="J337" s="77" t="s">
        <v>13</v>
      </c>
      <c r="K337" s="79" t="s">
        <v>1305</v>
      </c>
      <c r="L337" s="7" t="str">
        <f>IF(BudgetsTable[[#This Row],[pi_last_name]]=" ","",HYPERLINK("https://www.ejacket.nsf.gov/ej/showProposal.do?Continue=Y&amp;ID="&amp;BudgetsTable[[#This Row],[prop_id]],BudgetsTable[[#This Row],[prop_id]]))</f>
        <v/>
      </c>
      <c r="M337" s="15" t="str">
        <f>IF(BudgetsTable[[#This Row],[pi_last_name]]=" ","",HYPERLINK("https://www.ejacket.nsf.gov/ej/processReviewAnalysis.do?dispatch=add&amp;uniqId="&amp;BudgetsTable[[#This Row],[prop_id]]&amp;PO_id,"&gt;ra"))</f>
        <v/>
      </c>
      <c r="N337" s="79" t="s">
        <v>13</v>
      </c>
      <c r="O337" s="7" t="str">
        <f>IF(BudgetsTable[[#This Row],[pi_last_name]]=" ","",HYPERLINK("mailto:"&amp;BudgetsTable[[#This Row],[pi_email]]&amp;"&amp;subject=Your NSF Proposal:  "&amp;BudgetsTable[[#This Row],[prop_id]],BudgetsTable[[#This Row],[pi_email]]))</f>
        <v/>
      </c>
      <c r="P337" s="79" t="s">
        <v>13</v>
      </c>
      <c r="Q337" s="79">
        <v>1</v>
      </c>
      <c r="R337" s="79">
        <v>1</v>
      </c>
      <c r="S337" s="80">
        <v>0</v>
      </c>
      <c r="T337" s="80">
        <v>3000</v>
      </c>
      <c r="U337" s="80">
        <v>0</v>
      </c>
      <c r="V337" s="81">
        <v>158647</v>
      </c>
      <c r="W337" s="79">
        <v>0</v>
      </c>
      <c r="X337" s="79">
        <v>2</v>
      </c>
      <c r="Y337" s="11" t="str">
        <f ca="1">IF(ISBLANK(BudgetsTable[[#This Row],[budg_seq_yr]]),"FY"&amp;fiscalyear,"FY"&amp;fiscalyear-1+BudgetsTable[[#This Row],[budg_seq_yr]])</f>
        <v>FY19</v>
      </c>
      <c r="Z337" s="80">
        <v>158647</v>
      </c>
      <c r="AA337" s="79" t="s">
        <v>477</v>
      </c>
      <c r="AB337" s="79" t="s">
        <v>582</v>
      </c>
      <c r="AC337" s="77" t="s">
        <v>94</v>
      </c>
      <c r="AD337" s="79" t="s">
        <v>1722</v>
      </c>
    </row>
    <row r="338" spans="1:30" x14ac:dyDescent="0.4">
      <c r="A338" s="10" t="s">
        <v>1305</v>
      </c>
      <c r="B338" s="77" t="s">
        <v>491</v>
      </c>
      <c r="C338" s="77">
        <f>C337+(BudgetsTable[[#This Row],[lead]]&lt;&gt;K337)</f>
        <v>74</v>
      </c>
      <c r="D338" s="77">
        <f>D337*(BudgetsTable[[#This Row],[lead]]=K337)+(BudgetsTable[[#This Row],[prop_id]]&lt;&gt;A337)</f>
        <v>1</v>
      </c>
      <c r="E338" s="78">
        <v>43004.490972222222</v>
      </c>
      <c r="F338" s="79" t="s">
        <v>524</v>
      </c>
      <c r="G338" s="79" t="s">
        <v>477</v>
      </c>
      <c r="H338" s="79" t="s">
        <v>582</v>
      </c>
      <c r="I338" s="77" t="s">
        <v>611</v>
      </c>
      <c r="J338" s="77" t="s">
        <v>13</v>
      </c>
      <c r="K338" s="79" t="s">
        <v>1305</v>
      </c>
      <c r="L338" s="7" t="str">
        <f>IF(BudgetsTable[[#This Row],[pi_last_name]]=" ","",HYPERLINK("https://www.ejacket.nsf.gov/ej/showProposal.do?Continue=Y&amp;ID="&amp;BudgetsTable[[#This Row],[prop_id]],BudgetsTable[[#This Row],[prop_id]]))</f>
        <v/>
      </c>
      <c r="M338" s="15" t="str">
        <f>IF(BudgetsTable[[#This Row],[pi_last_name]]=" ","",HYPERLINK("https://www.ejacket.nsf.gov/ej/processReviewAnalysis.do?dispatch=add&amp;uniqId="&amp;BudgetsTable[[#This Row],[prop_id]]&amp;PO_id,"&gt;ra"))</f>
        <v/>
      </c>
      <c r="N338" s="79" t="s">
        <v>13</v>
      </c>
      <c r="O338" s="7" t="str">
        <f>IF(BudgetsTable[[#This Row],[pi_last_name]]=" ","",HYPERLINK("mailto:"&amp;BudgetsTable[[#This Row],[pi_email]]&amp;"&amp;subject=Your NSF Proposal:  "&amp;BudgetsTable[[#This Row],[prop_id]],BudgetsTable[[#This Row],[pi_email]]))</f>
        <v/>
      </c>
      <c r="P338" s="79" t="s">
        <v>13</v>
      </c>
      <c r="Q338" s="79">
        <v>1</v>
      </c>
      <c r="R338" s="79">
        <v>1</v>
      </c>
      <c r="S338" s="80">
        <v>0</v>
      </c>
      <c r="T338" s="80">
        <v>3000</v>
      </c>
      <c r="U338" s="80">
        <v>0</v>
      </c>
      <c r="V338" s="81">
        <v>163230</v>
      </c>
      <c r="W338" s="79">
        <v>0</v>
      </c>
      <c r="X338" s="79">
        <v>3</v>
      </c>
      <c r="Y338" s="11" t="str">
        <f ca="1">IF(ISBLANK(BudgetsTable[[#This Row],[budg_seq_yr]]),"FY"&amp;fiscalyear,"FY"&amp;fiscalyear-1+BudgetsTable[[#This Row],[budg_seq_yr]])</f>
        <v>FY20</v>
      </c>
      <c r="Z338" s="80">
        <v>163230</v>
      </c>
      <c r="AA338" s="79" t="s">
        <v>477</v>
      </c>
      <c r="AB338" s="79" t="s">
        <v>582</v>
      </c>
      <c r="AC338" s="77" t="s">
        <v>94</v>
      </c>
      <c r="AD338" s="79" t="s">
        <v>1722</v>
      </c>
    </row>
    <row r="339" spans="1:30" x14ac:dyDescent="0.4">
      <c r="A339" s="10" t="s">
        <v>1305</v>
      </c>
      <c r="B339" s="77" t="s">
        <v>491</v>
      </c>
      <c r="C339" s="77">
        <f>C338+(BudgetsTable[[#This Row],[lead]]&lt;&gt;K338)</f>
        <v>74</v>
      </c>
      <c r="D339" s="77">
        <f>D338*(BudgetsTable[[#This Row],[lead]]=K338)+(BudgetsTable[[#This Row],[prop_id]]&lt;&gt;A338)</f>
        <v>1</v>
      </c>
      <c r="E339" s="78">
        <v>43004.490972222222</v>
      </c>
      <c r="F339" s="79" t="s">
        <v>524</v>
      </c>
      <c r="G339" s="79" t="s">
        <v>477</v>
      </c>
      <c r="H339" s="79" t="s">
        <v>582</v>
      </c>
      <c r="I339" s="77" t="s">
        <v>611</v>
      </c>
      <c r="J339" s="77" t="s">
        <v>13</v>
      </c>
      <c r="K339" s="79" t="s">
        <v>1305</v>
      </c>
      <c r="L339" s="7" t="str">
        <f>IF(BudgetsTable[[#This Row],[pi_last_name]]=" ","",HYPERLINK("https://www.ejacket.nsf.gov/ej/showProposal.do?Continue=Y&amp;ID="&amp;BudgetsTable[[#This Row],[prop_id]],BudgetsTable[[#This Row],[prop_id]]))</f>
        <v/>
      </c>
      <c r="M339" s="15" t="str">
        <f>IF(BudgetsTable[[#This Row],[pi_last_name]]=" ","",HYPERLINK("https://www.ejacket.nsf.gov/ej/processReviewAnalysis.do?dispatch=add&amp;uniqId="&amp;BudgetsTable[[#This Row],[prop_id]]&amp;PO_id,"&gt;ra"))</f>
        <v/>
      </c>
      <c r="N339" s="79" t="s">
        <v>13</v>
      </c>
      <c r="O339" s="7" t="str">
        <f>IF(BudgetsTable[[#This Row],[pi_last_name]]=" ","",HYPERLINK("mailto:"&amp;BudgetsTable[[#This Row],[pi_email]]&amp;"&amp;subject=Your NSF Proposal:  "&amp;BudgetsTable[[#This Row],[prop_id]],BudgetsTable[[#This Row],[pi_email]]))</f>
        <v/>
      </c>
      <c r="P339" s="79" t="s">
        <v>13</v>
      </c>
      <c r="Q339" s="79">
        <v>1</v>
      </c>
      <c r="R339" s="79">
        <v>1</v>
      </c>
      <c r="S339" s="80">
        <v>0</v>
      </c>
      <c r="T339" s="80">
        <v>3000</v>
      </c>
      <c r="U339" s="80">
        <v>0</v>
      </c>
      <c r="V339" s="81">
        <v>167956</v>
      </c>
      <c r="W339" s="79">
        <v>0</v>
      </c>
      <c r="X339" s="79">
        <v>4</v>
      </c>
      <c r="Y339" s="11" t="str">
        <f ca="1">IF(ISBLANK(BudgetsTable[[#This Row],[budg_seq_yr]]),"FY"&amp;fiscalyear,"FY"&amp;fiscalyear-1+BudgetsTable[[#This Row],[budg_seq_yr]])</f>
        <v>FY21</v>
      </c>
      <c r="Z339" s="80">
        <v>167956</v>
      </c>
      <c r="AA339" s="79" t="s">
        <v>477</v>
      </c>
      <c r="AB339" s="79" t="s">
        <v>582</v>
      </c>
      <c r="AC339" s="77" t="s">
        <v>94</v>
      </c>
      <c r="AD339" s="79" t="s">
        <v>1722</v>
      </c>
    </row>
    <row r="340" spans="1:30" x14ac:dyDescent="0.4">
      <c r="A340" s="10" t="s">
        <v>1725</v>
      </c>
      <c r="B340" s="77" t="s">
        <v>493</v>
      </c>
      <c r="C340" s="77">
        <f>C339+(BudgetsTable[[#This Row],[lead]]&lt;&gt;K339)</f>
        <v>74</v>
      </c>
      <c r="D340" s="77">
        <f>D339*(BudgetsTable[[#This Row],[lead]]=K339)+(BudgetsTable[[#This Row],[prop_id]]&lt;&gt;A339)</f>
        <v>2</v>
      </c>
      <c r="E340" s="78">
        <v>43004.444444444445</v>
      </c>
      <c r="F340" s="79" t="s">
        <v>524</v>
      </c>
      <c r="G340" s="79" t="s">
        <v>477</v>
      </c>
      <c r="H340" s="79" t="s">
        <v>582</v>
      </c>
      <c r="I340" s="77" t="s">
        <v>611</v>
      </c>
      <c r="J340" s="77" t="s">
        <v>1730</v>
      </c>
      <c r="K340" s="79" t="s">
        <v>1305</v>
      </c>
      <c r="L340" s="7" t="str">
        <f>IF(BudgetsTable[[#This Row],[pi_last_name]]=" ","",HYPERLINK("https://www.ejacket.nsf.gov/ej/showProposal.do?Continue=Y&amp;ID="&amp;BudgetsTable[[#This Row],[prop_id]],BudgetsTable[[#This Row],[prop_id]]))</f>
        <v>1763299</v>
      </c>
      <c r="M340" s="15" t="e">
        <f>IF(BudgetsTable[[#This Row],[pi_last_name]]=" ","",HYPERLINK("https://www.ejacket.nsf.gov/ej/processReviewAnalysis.do?dispatch=add&amp;uniqId="&amp;BudgetsTable[[#This Row],[prop_id]]&amp;PO_id,"&gt;ra"))</f>
        <v>#REF!</v>
      </c>
      <c r="N340" s="79" t="s">
        <v>1726</v>
      </c>
      <c r="O340" s="7" t="str">
        <f>IF(BudgetsTable[[#This Row],[pi_last_name]]=" ","",HYPERLINK("mailto:"&amp;BudgetsTable[[#This Row],[pi_email]]&amp;"&amp;subject=Your NSF Proposal:  "&amp;BudgetsTable[[#This Row],[prop_id]],BudgetsTable[[#This Row],[pi_email]]))</f>
        <v>salil_vadhan@harvard.edu</v>
      </c>
      <c r="P340" s="79" t="s">
        <v>1728</v>
      </c>
      <c r="Q340" s="79"/>
      <c r="R340" s="79"/>
      <c r="S340" s="80"/>
      <c r="T340" s="80"/>
      <c r="U340" s="80"/>
      <c r="V340" s="81"/>
      <c r="W340" s="79">
        <v>0</v>
      </c>
      <c r="X340" s="79"/>
      <c r="Y340" s="11" t="str">
        <f ca="1">IF(ISBLANK(BudgetsTable[[#This Row],[budg_seq_yr]]),"FY"&amp;fiscalyear,"FY"&amp;fiscalyear-1+BudgetsTable[[#This Row],[budg_seq_yr]])</f>
        <v>FY18</v>
      </c>
      <c r="Z340" s="80">
        <v>550000</v>
      </c>
      <c r="AA340" s="79" t="s">
        <v>477</v>
      </c>
      <c r="AB340" s="79" t="s">
        <v>582</v>
      </c>
      <c r="AC340" s="77" t="s">
        <v>94</v>
      </c>
      <c r="AD340" s="79" t="s">
        <v>1722</v>
      </c>
    </row>
    <row r="341" spans="1:30" x14ac:dyDescent="0.4">
      <c r="A341" s="10" t="s">
        <v>1725</v>
      </c>
      <c r="B341" s="77" t="s">
        <v>493</v>
      </c>
      <c r="C341" s="77">
        <f>C340+(BudgetsTable[[#This Row],[lead]]&lt;&gt;K340)</f>
        <v>74</v>
      </c>
      <c r="D341" s="77">
        <f>D340*(BudgetsTable[[#This Row],[lead]]=K340)+(BudgetsTable[[#This Row],[prop_id]]&lt;&gt;A340)</f>
        <v>2</v>
      </c>
      <c r="E341" s="78">
        <v>43004.444444444445</v>
      </c>
      <c r="F341" s="79" t="s">
        <v>524</v>
      </c>
      <c r="G341" s="79" t="s">
        <v>477</v>
      </c>
      <c r="H341" s="79" t="s">
        <v>582</v>
      </c>
      <c r="I341" s="77" t="s">
        <v>611</v>
      </c>
      <c r="J341" s="77" t="s">
        <v>13</v>
      </c>
      <c r="K341" s="79" t="s">
        <v>1305</v>
      </c>
      <c r="L341" s="7" t="str">
        <f>IF(BudgetsTable[[#This Row],[pi_last_name]]=" ","",HYPERLINK("https://www.ejacket.nsf.gov/ej/showProposal.do?Continue=Y&amp;ID="&amp;BudgetsTable[[#This Row],[prop_id]],BudgetsTable[[#This Row],[prop_id]]))</f>
        <v/>
      </c>
      <c r="M341" s="15" t="str">
        <f>IF(BudgetsTable[[#This Row],[pi_last_name]]=" ","",HYPERLINK("https://www.ejacket.nsf.gov/ej/processReviewAnalysis.do?dispatch=add&amp;uniqId="&amp;BudgetsTable[[#This Row],[prop_id]]&amp;PO_id,"&gt;ra"))</f>
        <v/>
      </c>
      <c r="N341" s="79" t="s">
        <v>13</v>
      </c>
      <c r="O341" s="7" t="str">
        <f>IF(BudgetsTable[[#This Row],[pi_last_name]]=" ","",HYPERLINK("mailto:"&amp;BudgetsTable[[#This Row],[pi_email]]&amp;"&amp;subject=Your NSF Proposal:  "&amp;BudgetsTable[[#This Row],[prop_id]],BudgetsTable[[#This Row],[pi_email]]))</f>
        <v/>
      </c>
      <c r="P341" s="79" t="s">
        <v>13</v>
      </c>
      <c r="Q341" s="79">
        <v>1</v>
      </c>
      <c r="R341" s="79">
        <v>0</v>
      </c>
      <c r="S341" s="80">
        <v>0</v>
      </c>
      <c r="T341" s="80">
        <v>3550</v>
      </c>
      <c r="U341" s="80">
        <v>0</v>
      </c>
      <c r="V341" s="81">
        <v>172252</v>
      </c>
      <c r="W341" s="79">
        <v>0</v>
      </c>
      <c r="X341" s="79">
        <v>1</v>
      </c>
      <c r="Y341" s="11" t="str">
        <f ca="1">IF(ISBLANK(BudgetsTable[[#This Row],[budg_seq_yr]]),"FY"&amp;fiscalyear,"FY"&amp;fiscalyear-1+BudgetsTable[[#This Row],[budg_seq_yr]])</f>
        <v>FY18</v>
      </c>
      <c r="Z341" s="80">
        <v>172252</v>
      </c>
      <c r="AA341" s="79" t="s">
        <v>477</v>
      </c>
      <c r="AB341" s="79" t="s">
        <v>582</v>
      </c>
      <c r="AC341" s="77" t="s">
        <v>94</v>
      </c>
      <c r="AD341" s="79" t="s">
        <v>1722</v>
      </c>
    </row>
    <row r="342" spans="1:30" x14ac:dyDescent="0.4">
      <c r="A342" s="10" t="s">
        <v>1725</v>
      </c>
      <c r="B342" s="77" t="s">
        <v>493</v>
      </c>
      <c r="C342" s="77">
        <f>C341+(BudgetsTable[[#This Row],[lead]]&lt;&gt;K341)</f>
        <v>74</v>
      </c>
      <c r="D342" s="77">
        <f>D341*(BudgetsTable[[#This Row],[lead]]=K341)+(BudgetsTable[[#This Row],[prop_id]]&lt;&gt;A341)</f>
        <v>2</v>
      </c>
      <c r="E342" s="78">
        <v>43004.444444444445</v>
      </c>
      <c r="F342" s="79" t="s">
        <v>524</v>
      </c>
      <c r="G342" s="79" t="s">
        <v>477</v>
      </c>
      <c r="H342" s="79" t="s">
        <v>582</v>
      </c>
      <c r="I342" s="77" t="s">
        <v>611</v>
      </c>
      <c r="J342" s="77" t="s">
        <v>13</v>
      </c>
      <c r="K342" s="79" t="s">
        <v>1305</v>
      </c>
      <c r="L342" s="7" t="str">
        <f>IF(BudgetsTable[[#This Row],[pi_last_name]]=" ","",HYPERLINK("https://www.ejacket.nsf.gov/ej/showProposal.do?Continue=Y&amp;ID="&amp;BudgetsTable[[#This Row],[prop_id]],BudgetsTable[[#This Row],[prop_id]]))</f>
        <v/>
      </c>
      <c r="M342" s="15" t="str">
        <f>IF(BudgetsTable[[#This Row],[pi_last_name]]=" ","",HYPERLINK("https://www.ejacket.nsf.gov/ej/processReviewAnalysis.do?dispatch=add&amp;uniqId="&amp;BudgetsTable[[#This Row],[prop_id]]&amp;PO_id,"&gt;ra"))</f>
        <v/>
      </c>
      <c r="N342" s="79" t="s">
        <v>13</v>
      </c>
      <c r="O342" s="7" t="str">
        <f>IF(BudgetsTable[[#This Row],[pi_last_name]]=" ","",HYPERLINK("mailto:"&amp;BudgetsTable[[#This Row],[pi_email]]&amp;"&amp;subject=Your NSF Proposal:  "&amp;BudgetsTable[[#This Row],[prop_id]],BudgetsTable[[#This Row],[pi_email]]))</f>
        <v/>
      </c>
      <c r="P342" s="79" t="s">
        <v>13</v>
      </c>
      <c r="Q342" s="79">
        <v>1</v>
      </c>
      <c r="R342" s="79">
        <v>0</v>
      </c>
      <c r="S342" s="80">
        <v>0</v>
      </c>
      <c r="T342" s="80">
        <v>3550</v>
      </c>
      <c r="U342" s="80">
        <v>0</v>
      </c>
      <c r="V342" s="81">
        <v>137080</v>
      </c>
      <c r="W342" s="79">
        <v>0</v>
      </c>
      <c r="X342" s="79">
        <v>2</v>
      </c>
      <c r="Y342" s="11" t="str">
        <f ca="1">IF(ISBLANK(BudgetsTable[[#This Row],[budg_seq_yr]]),"FY"&amp;fiscalyear,"FY"&amp;fiscalyear-1+BudgetsTable[[#This Row],[budg_seq_yr]])</f>
        <v>FY19</v>
      </c>
      <c r="Z342" s="80">
        <v>137080</v>
      </c>
      <c r="AA342" s="79" t="s">
        <v>477</v>
      </c>
      <c r="AB342" s="79" t="s">
        <v>582</v>
      </c>
      <c r="AC342" s="77" t="s">
        <v>94</v>
      </c>
      <c r="AD342" s="79" t="s">
        <v>1722</v>
      </c>
    </row>
    <row r="343" spans="1:30" x14ac:dyDescent="0.4">
      <c r="A343" s="10" t="s">
        <v>1725</v>
      </c>
      <c r="B343" s="77" t="s">
        <v>493</v>
      </c>
      <c r="C343" s="77">
        <f>C342+(BudgetsTable[[#This Row],[lead]]&lt;&gt;K342)</f>
        <v>74</v>
      </c>
      <c r="D343" s="77">
        <f>D342*(BudgetsTable[[#This Row],[lead]]=K342)+(BudgetsTable[[#This Row],[prop_id]]&lt;&gt;A342)</f>
        <v>2</v>
      </c>
      <c r="E343" s="78">
        <v>43004.444444444445</v>
      </c>
      <c r="F343" s="79" t="s">
        <v>524</v>
      </c>
      <c r="G343" s="79" t="s">
        <v>477</v>
      </c>
      <c r="H343" s="79" t="s">
        <v>582</v>
      </c>
      <c r="I343" s="77" t="s">
        <v>611</v>
      </c>
      <c r="J343" s="77" t="s">
        <v>13</v>
      </c>
      <c r="K343" s="79" t="s">
        <v>1305</v>
      </c>
      <c r="L343" s="7" t="str">
        <f>IF(BudgetsTable[[#This Row],[pi_last_name]]=" ","",HYPERLINK("https://www.ejacket.nsf.gov/ej/showProposal.do?Continue=Y&amp;ID="&amp;BudgetsTable[[#This Row],[prop_id]],BudgetsTable[[#This Row],[prop_id]]))</f>
        <v/>
      </c>
      <c r="M343" s="15" t="str">
        <f>IF(BudgetsTable[[#This Row],[pi_last_name]]=" ","",HYPERLINK("https://www.ejacket.nsf.gov/ej/processReviewAnalysis.do?dispatch=add&amp;uniqId="&amp;BudgetsTable[[#This Row],[prop_id]]&amp;PO_id,"&gt;ra"))</f>
        <v/>
      </c>
      <c r="N343" s="79" t="s">
        <v>13</v>
      </c>
      <c r="O343" s="7" t="str">
        <f>IF(BudgetsTable[[#This Row],[pi_last_name]]=" ","",HYPERLINK("mailto:"&amp;BudgetsTable[[#This Row],[pi_email]]&amp;"&amp;subject=Your NSF Proposal:  "&amp;BudgetsTable[[#This Row],[prop_id]],BudgetsTable[[#This Row],[pi_email]]))</f>
        <v/>
      </c>
      <c r="P343" s="79" t="s">
        <v>13</v>
      </c>
      <c r="Q343" s="79">
        <v>1</v>
      </c>
      <c r="R343" s="79">
        <v>0</v>
      </c>
      <c r="S343" s="80">
        <v>0</v>
      </c>
      <c r="T343" s="80">
        <v>3550</v>
      </c>
      <c r="U343" s="80">
        <v>0</v>
      </c>
      <c r="V343" s="81">
        <v>87395</v>
      </c>
      <c r="W343" s="79">
        <v>0</v>
      </c>
      <c r="X343" s="79">
        <v>3</v>
      </c>
      <c r="Y343" s="11" t="str">
        <f ca="1">IF(ISBLANK(BudgetsTable[[#This Row],[budg_seq_yr]]),"FY"&amp;fiscalyear,"FY"&amp;fiscalyear-1+BudgetsTable[[#This Row],[budg_seq_yr]])</f>
        <v>FY20</v>
      </c>
      <c r="Z343" s="80">
        <v>87395</v>
      </c>
      <c r="AA343" s="79" t="s">
        <v>477</v>
      </c>
      <c r="AB343" s="79" t="s">
        <v>582</v>
      </c>
      <c r="AC343" s="77" t="s">
        <v>94</v>
      </c>
      <c r="AD343" s="79" t="s">
        <v>1722</v>
      </c>
    </row>
    <row r="344" spans="1:30" x14ac:dyDescent="0.4">
      <c r="A344" s="10" t="s">
        <v>1725</v>
      </c>
      <c r="B344" s="77" t="s">
        <v>493</v>
      </c>
      <c r="C344" s="77">
        <f>C343+(BudgetsTable[[#This Row],[lead]]&lt;&gt;K343)</f>
        <v>74</v>
      </c>
      <c r="D344" s="77">
        <f>D343*(BudgetsTable[[#This Row],[lead]]=K343)+(BudgetsTable[[#This Row],[prop_id]]&lt;&gt;A343)</f>
        <v>2</v>
      </c>
      <c r="E344" s="78">
        <v>43004.444444444445</v>
      </c>
      <c r="F344" s="79" t="s">
        <v>524</v>
      </c>
      <c r="G344" s="79" t="s">
        <v>477</v>
      </c>
      <c r="H344" s="79" t="s">
        <v>582</v>
      </c>
      <c r="I344" s="77" t="s">
        <v>611</v>
      </c>
      <c r="J344" s="77" t="s">
        <v>13</v>
      </c>
      <c r="K344" s="79" t="s">
        <v>1305</v>
      </c>
      <c r="L344" s="7" t="str">
        <f>IF(BudgetsTable[[#This Row],[pi_last_name]]=" ","",HYPERLINK("https://www.ejacket.nsf.gov/ej/showProposal.do?Continue=Y&amp;ID="&amp;BudgetsTable[[#This Row],[prop_id]],BudgetsTable[[#This Row],[prop_id]]))</f>
        <v/>
      </c>
      <c r="M344" s="15" t="str">
        <f>IF(BudgetsTable[[#This Row],[pi_last_name]]=" ","",HYPERLINK("https://www.ejacket.nsf.gov/ej/processReviewAnalysis.do?dispatch=add&amp;uniqId="&amp;BudgetsTable[[#This Row],[prop_id]]&amp;PO_id,"&gt;ra"))</f>
        <v/>
      </c>
      <c r="N344" s="79" t="s">
        <v>13</v>
      </c>
      <c r="O344" s="7" t="str">
        <f>IF(BudgetsTable[[#This Row],[pi_last_name]]=" ","",HYPERLINK("mailto:"&amp;BudgetsTable[[#This Row],[pi_email]]&amp;"&amp;subject=Your NSF Proposal:  "&amp;BudgetsTable[[#This Row],[prop_id]],BudgetsTable[[#This Row],[pi_email]]))</f>
        <v/>
      </c>
      <c r="P344" s="79" t="s">
        <v>13</v>
      </c>
      <c r="Q344" s="79">
        <v>1</v>
      </c>
      <c r="R344" s="79">
        <v>0</v>
      </c>
      <c r="S344" s="80">
        <v>0</v>
      </c>
      <c r="T344" s="80">
        <v>3550</v>
      </c>
      <c r="U344" s="80">
        <v>0</v>
      </c>
      <c r="V344" s="81">
        <v>153273</v>
      </c>
      <c r="W344" s="79">
        <v>0</v>
      </c>
      <c r="X344" s="79">
        <v>4</v>
      </c>
      <c r="Y344" s="11" t="str">
        <f ca="1">IF(ISBLANK(BudgetsTable[[#This Row],[budg_seq_yr]]),"FY"&amp;fiscalyear,"FY"&amp;fiscalyear-1+BudgetsTable[[#This Row],[budg_seq_yr]])</f>
        <v>FY21</v>
      </c>
      <c r="Z344" s="80">
        <v>153273</v>
      </c>
      <c r="AA344" s="79" t="s">
        <v>477</v>
      </c>
      <c r="AB344" s="79" t="s">
        <v>582</v>
      </c>
      <c r="AC344" s="77" t="s">
        <v>94</v>
      </c>
      <c r="AD344" s="79" t="s">
        <v>1722</v>
      </c>
    </row>
    <row r="345" spans="1:30" x14ac:dyDescent="0.4">
      <c r="A345" s="10" t="s">
        <v>1315</v>
      </c>
      <c r="B345" s="77" t="s">
        <v>491</v>
      </c>
      <c r="C345" s="77">
        <f>C344+(BudgetsTable[[#This Row],[lead]]&lt;&gt;K344)</f>
        <v>75</v>
      </c>
      <c r="D345" s="77">
        <f>D344*(BudgetsTable[[#This Row],[lead]]=K344)+(BudgetsTable[[#This Row],[prop_id]]&lt;&gt;A344)</f>
        <v>1</v>
      </c>
      <c r="E345" s="78">
        <v>43004.497916666667</v>
      </c>
      <c r="F345" s="79" t="s">
        <v>524</v>
      </c>
      <c r="G345" s="79" t="s">
        <v>477</v>
      </c>
      <c r="H345" s="79" t="s">
        <v>582</v>
      </c>
      <c r="I345" s="77" t="s">
        <v>611</v>
      </c>
      <c r="J345" s="77" t="s">
        <v>1716</v>
      </c>
      <c r="K345" s="79" t="s">
        <v>1315</v>
      </c>
      <c r="L345" s="7" t="str">
        <f>IF(BudgetsTable[[#This Row],[pi_last_name]]=" ","",HYPERLINK("https://www.ejacket.nsf.gov/ej/showProposal.do?Continue=Y&amp;ID="&amp;BudgetsTable[[#This Row],[prop_id]],BudgetsTable[[#This Row],[prop_id]]))</f>
        <v>1763314</v>
      </c>
      <c r="M345" s="15" t="e">
        <f>IF(BudgetsTable[[#This Row],[pi_last_name]]=" ","",HYPERLINK("https://www.ejacket.nsf.gov/ej/processReviewAnalysis.do?dispatch=add&amp;uniqId="&amp;BudgetsTable[[#This Row],[prop_id]]&amp;PO_id,"&gt;ra"))</f>
        <v>#REF!</v>
      </c>
      <c r="N345" s="79" t="s">
        <v>1296</v>
      </c>
      <c r="O345" s="7" t="str">
        <f>IF(BudgetsTable[[#This Row],[pi_last_name]]=" ","",HYPERLINK("mailto:"&amp;BudgetsTable[[#This Row],[pi_email]]&amp;"&amp;subject=Your NSF Proposal:  "&amp;BudgetsTable[[#This Row],[prop_id]],BudgetsTable[[#This Row],[pi_email]]))</f>
        <v>aaroth@cis.upenn.edu</v>
      </c>
      <c r="P345" s="79" t="s">
        <v>527</v>
      </c>
      <c r="Q345" s="79"/>
      <c r="R345" s="79"/>
      <c r="S345" s="80"/>
      <c r="T345" s="80"/>
      <c r="U345" s="80"/>
      <c r="V345" s="81"/>
      <c r="W345" s="79">
        <v>0</v>
      </c>
      <c r="X345" s="79"/>
      <c r="Y345" s="11" t="str">
        <f ca="1">IF(ISBLANK(BudgetsTable[[#This Row],[budg_seq_yr]]),"FY"&amp;fiscalyear,"FY"&amp;fiscalyear-1+BudgetsTable[[#This Row],[budg_seq_yr]])</f>
        <v>FY18</v>
      </c>
      <c r="Z345" s="80">
        <v>378000</v>
      </c>
      <c r="AA345" s="79" t="s">
        <v>477</v>
      </c>
      <c r="AB345" s="79" t="s">
        <v>582</v>
      </c>
      <c r="AC345" s="77" t="s">
        <v>94</v>
      </c>
      <c r="AD345" s="79" t="s">
        <v>1704</v>
      </c>
    </row>
    <row r="346" spans="1:30" x14ac:dyDescent="0.4">
      <c r="A346" s="10" t="s">
        <v>1315</v>
      </c>
      <c r="B346" s="77" t="s">
        <v>491</v>
      </c>
      <c r="C346" s="77">
        <f>C345+(BudgetsTable[[#This Row],[lead]]&lt;&gt;K345)</f>
        <v>75</v>
      </c>
      <c r="D346" s="77">
        <f>D345*(BudgetsTable[[#This Row],[lead]]=K345)+(BudgetsTable[[#This Row],[prop_id]]&lt;&gt;A345)</f>
        <v>1</v>
      </c>
      <c r="E346" s="78">
        <v>43004.497916666667</v>
      </c>
      <c r="F346" s="79" t="s">
        <v>524</v>
      </c>
      <c r="G346" s="79" t="s">
        <v>477</v>
      </c>
      <c r="H346" s="79" t="s">
        <v>582</v>
      </c>
      <c r="I346" s="77" t="s">
        <v>611</v>
      </c>
      <c r="J346" s="77" t="s">
        <v>13</v>
      </c>
      <c r="K346" s="79" t="s">
        <v>1315</v>
      </c>
      <c r="L346" s="7" t="str">
        <f>IF(BudgetsTable[[#This Row],[pi_last_name]]=" ","",HYPERLINK("https://www.ejacket.nsf.gov/ej/showProposal.do?Continue=Y&amp;ID="&amp;BudgetsTable[[#This Row],[prop_id]],BudgetsTable[[#This Row],[prop_id]]))</f>
        <v/>
      </c>
      <c r="M346" s="15" t="str">
        <f>IF(BudgetsTable[[#This Row],[pi_last_name]]=" ","",HYPERLINK("https://www.ejacket.nsf.gov/ej/processReviewAnalysis.do?dispatch=add&amp;uniqId="&amp;BudgetsTable[[#This Row],[prop_id]]&amp;PO_id,"&gt;ra"))</f>
        <v/>
      </c>
      <c r="N346" s="79" t="s">
        <v>13</v>
      </c>
      <c r="O346" s="7" t="str">
        <f>IF(BudgetsTable[[#This Row],[pi_last_name]]=" ","",HYPERLINK("mailto:"&amp;BudgetsTable[[#This Row],[pi_email]]&amp;"&amp;subject=Your NSF Proposal:  "&amp;BudgetsTable[[#This Row],[prop_id]],BudgetsTable[[#This Row],[pi_email]]))</f>
        <v/>
      </c>
      <c r="P346" s="79" t="s">
        <v>13</v>
      </c>
      <c r="Q346" s="79">
        <v>2</v>
      </c>
      <c r="R346" s="79">
        <v>1.31</v>
      </c>
      <c r="S346" s="80">
        <v>0</v>
      </c>
      <c r="T346" s="80">
        <v>0</v>
      </c>
      <c r="U346" s="80">
        <v>0</v>
      </c>
      <c r="V346" s="81">
        <v>123490</v>
      </c>
      <c r="W346" s="79">
        <v>0</v>
      </c>
      <c r="X346" s="79">
        <v>1</v>
      </c>
      <c r="Y346" s="11" t="str">
        <f ca="1">IF(ISBLANK(BudgetsTable[[#This Row],[budg_seq_yr]]),"FY"&amp;fiscalyear,"FY"&amp;fiscalyear-1+BudgetsTable[[#This Row],[budg_seq_yr]])</f>
        <v>FY18</v>
      </c>
      <c r="Z346" s="80">
        <v>123490</v>
      </c>
      <c r="AA346" s="79" t="s">
        <v>477</v>
      </c>
      <c r="AB346" s="79" t="s">
        <v>582</v>
      </c>
      <c r="AC346" s="77" t="s">
        <v>94</v>
      </c>
      <c r="AD346" s="79" t="s">
        <v>1704</v>
      </c>
    </row>
    <row r="347" spans="1:30" x14ac:dyDescent="0.4">
      <c r="A347" s="10" t="s">
        <v>1315</v>
      </c>
      <c r="B347" s="77" t="s">
        <v>491</v>
      </c>
      <c r="C347" s="77">
        <f>C346+(BudgetsTable[[#This Row],[lead]]&lt;&gt;K346)</f>
        <v>75</v>
      </c>
      <c r="D347" s="77">
        <f>D346*(BudgetsTable[[#This Row],[lead]]=K346)+(BudgetsTable[[#This Row],[prop_id]]&lt;&gt;A346)</f>
        <v>1</v>
      </c>
      <c r="E347" s="78">
        <v>43004.497916666667</v>
      </c>
      <c r="F347" s="79" t="s">
        <v>524</v>
      </c>
      <c r="G347" s="79" t="s">
        <v>477</v>
      </c>
      <c r="H347" s="79" t="s">
        <v>582</v>
      </c>
      <c r="I347" s="77" t="s">
        <v>611</v>
      </c>
      <c r="J347" s="77" t="s">
        <v>13</v>
      </c>
      <c r="K347" s="79" t="s">
        <v>1315</v>
      </c>
      <c r="L347" s="7" t="str">
        <f>IF(BudgetsTable[[#This Row],[pi_last_name]]=" ","",HYPERLINK("https://www.ejacket.nsf.gov/ej/showProposal.do?Continue=Y&amp;ID="&amp;BudgetsTable[[#This Row],[prop_id]],BudgetsTable[[#This Row],[prop_id]]))</f>
        <v/>
      </c>
      <c r="M347" s="15" t="str">
        <f>IF(BudgetsTable[[#This Row],[pi_last_name]]=" ","",HYPERLINK("https://www.ejacket.nsf.gov/ej/processReviewAnalysis.do?dispatch=add&amp;uniqId="&amp;BudgetsTable[[#This Row],[prop_id]]&amp;PO_id,"&gt;ra"))</f>
        <v/>
      </c>
      <c r="N347" s="79" t="s">
        <v>13</v>
      </c>
      <c r="O347" s="7" t="str">
        <f>IF(BudgetsTable[[#This Row],[pi_last_name]]=" ","",HYPERLINK("mailto:"&amp;BudgetsTable[[#This Row],[pi_email]]&amp;"&amp;subject=Your NSF Proposal:  "&amp;BudgetsTable[[#This Row],[prop_id]],BudgetsTable[[#This Row],[pi_email]]))</f>
        <v/>
      </c>
      <c r="P347" s="79" t="s">
        <v>13</v>
      </c>
      <c r="Q347" s="79">
        <v>2</v>
      </c>
      <c r="R347" s="79">
        <v>1.31</v>
      </c>
      <c r="S347" s="80">
        <v>0</v>
      </c>
      <c r="T347" s="80">
        <v>0</v>
      </c>
      <c r="U347" s="80">
        <v>0</v>
      </c>
      <c r="V347" s="81">
        <v>125809</v>
      </c>
      <c r="W347" s="79">
        <v>0</v>
      </c>
      <c r="X347" s="79">
        <v>2</v>
      </c>
      <c r="Y347" s="11" t="str">
        <f ca="1">IF(ISBLANK(BudgetsTable[[#This Row],[budg_seq_yr]]),"FY"&amp;fiscalyear,"FY"&amp;fiscalyear-1+BudgetsTable[[#This Row],[budg_seq_yr]])</f>
        <v>FY19</v>
      </c>
      <c r="Z347" s="80">
        <v>125809</v>
      </c>
      <c r="AA347" s="79" t="s">
        <v>477</v>
      </c>
      <c r="AB347" s="79" t="s">
        <v>582</v>
      </c>
      <c r="AC347" s="77" t="s">
        <v>94</v>
      </c>
      <c r="AD347" s="79" t="s">
        <v>1704</v>
      </c>
    </row>
    <row r="348" spans="1:30" x14ac:dyDescent="0.4">
      <c r="A348" s="10" t="s">
        <v>1315</v>
      </c>
      <c r="B348" s="77" t="s">
        <v>491</v>
      </c>
      <c r="C348" s="77">
        <f>C347+(BudgetsTable[[#This Row],[lead]]&lt;&gt;K347)</f>
        <v>75</v>
      </c>
      <c r="D348" s="77">
        <f>D347*(BudgetsTable[[#This Row],[lead]]=K347)+(BudgetsTable[[#This Row],[prop_id]]&lt;&gt;A347)</f>
        <v>1</v>
      </c>
      <c r="E348" s="78">
        <v>43004.497916666667</v>
      </c>
      <c r="F348" s="79" t="s">
        <v>524</v>
      </c>
      <c r="G348" s="79" t="s">
        <v>477</v>
      </c>
      <c r="H348" s="79" t="s">
        <v>582</v>
      </c>
      <c r="I348" s="77" t="s">
        <v>611</v>
      </c>
      <c r="J348" s="77" t="s">
        <v>13</v>
      </c>
      <c r="K348" s="79" t="s">
        <v>1315</v>
      </c>
      <c r="L348" s="7" t="str">
        <f>IF(BudgetsTable[[#This Row],[pi_last_name]]=" ","",HYPERLINK("https://www.ejacket.nsf.gov/ej/showProposal.do?Continue=Y&amp;ID="&amp;BudgetsTable[[#This Row],[prop_id]],BudgetsTable[[#This Row],[prop_id]]))</f>
        <v/>
      </c>
      <c r="M348" s="15" t="str">
        <f>IF(BudgetsTable[[#This Row],[pi_last_name]]=" ","",HYPERLINK("https://www.ejacket.nsf.gov/ej/processReviewAnalysis.do?dispatch=add&amp;uniqId="&amp;BudgetsTable[[#This Row],[prop_id]]&amp;PO_id,"&gt;ra"))</f>
        <v/>
      </c>
      <c r="N348" s="79" t="s">
        <v>13</v>
      </c>
      <c r="O348" s="7" t="str">
        <f>IF(BudgetsTable[[#This Row],[pi_last_name]]=" ","",HYPERLINK("mailto:"&amp;BudgetsTable[[#This Row],[pi_email]]&amp;"&amp;subject=Your NSF Proposal:  "&amp;BudgetsTable[[#This Row],[prop_id]],BudgetsTable[[#This Row],[pi_email]]))</f>
        <v/>
      </c>
      <c r="P348" s="79" t="s">
        <v>13</v>
      </c>
      <c r="Q348" s="79">
        <v>2</v>
      </c>
      <c r="R348" s="79">
        <v>1.31</v>
      </c>
      <c r="S348" s="80">
        <v>0</v>
      </c>
      <c r="T348" s="80">
        <v>0</v>
      </c>
      <c r="U348" s="80">
        <v>0</v>
      </c>
      <c r="V348" s="81">
        <v>128701</v>
      </c>
      <c r="W348" s="79">
        <v>0</v>
      </c>
      <c r="X348" s="79">
        <v>3</v>
      </c>
      <c r="Y348" s="11" t="str">
        <f ca="1">IF(ISBLANK(BudgetsTable[[#This Row],[budg_seq_yr]]),"FY"&amp;fiscalyear,"FY"&amp;fiscalyear-1+BudgetsTable[[#This Row],[budg_seq_yr]])</f>
        <v>FY20</v>
      </c>
      <c r="Z348" s="80">
        <v>128701</v>
      </c>
      <c r="AA348" s="79" t="s">
        <v>477</v>
      </c>
      <c r="AB348" s="79" t="s">
        <v>582</v>
      </c>
      <c r="AC348" s="77" t="s">
        <v>94</v>
      </c>
      <c r="AD348" s="79" t="s">
        <v>1704</v>
      </c>
    </row>
    <row r="349" spans="1:30" x14ac:dyDescent="0.4">
      <c r="A349" s="10" t="s">
        <v>1733</v>
      </c>
      <c r="B349" s="77" t="s">
        <v>493</v>
      </c>
      <c r="C349" s="77">
        <f>C348+(BudgetsTable[[#This Row],[lead]]&lt;&gt;K348)</f>
        <v>75</v>
      </c>
      <c r="D349" s="77">
        <f>D348*(BudgetsTable[[#This Row],[lead]]=K348)+(BudgetsTable[[#This Row],[prop_id]]&lt;&gt;A348)</f>
        <v>2</v>
      </c>
      <c r="E349" s="78">
        <v>43003.538194444445</v>
      </c>
      <c r="F349" s="79" t="s">
        <v>524</v>
      </c>
      <c r="G349" s="79" t="s">
        <v>477</v>
      </c>
      <c r="H349" s="79" t="s">
        <v>582</v>
      </c>
      <c r="I349" s="77" t="s">
        <v>611</v>
      </c>
      <c r="J349" s="77" t="s">
        <v>1736</v>
      </c>
      <c r="K349" s="79" t="s">
        <v>1315</v>
      </c>
      <c r="L349" s="7" t="str">
        <f>IF(BudgetsTable[[#This Row],[pi_last_name]]=" ","",HYPERLINK("https://www.ejacket.nsf.gov/ej/showProposal.do?Continue=Y&amp;ID="&amp;BudgetsTable[[#This Row],[prop_id]],BudgetsTable[[#This Row],[prop_id]]))</f>
        <v>1763191</v>
      </c>
      <c r="M349" s="15" t="e">
        <f>IF(BudgetsTable[[#This Row],[pi_last_name]]=" ","",HYPERLINK("https://www.ejacket.nsf.gov/ej/processReviewAnalysis.do?dispatch=add&amp;uniqId="&amp;BudgetsTable[[#This Row],[prop_id]]&amp;PO_id,"&gt;ra"))</f>
        <v>#REF!</v>
      </c>
      <c r="N349" s="79" t="s">
        <v>1734</v>
      </c>
      <c r="O349" s="7" t="str">
        <f>IF(BudgetsTable[[#This Row],[pi_last_name]]=" ","",HYPERLINK("mailto:"&amp;BudgetsTable[[#This Row],[pi_email]]&amp;"&amp;subject=Your NSF Proposal:  "&amp;BudgetsTable[[#This Row],[prop_id]],BudgetsTable[[#This Row],[pi_email]]))</f>
        <v>jamesz@stanford.edu</v>
      </c>
      <c r="P349" s="79" t="s">
        <v>1465</v>
      </c>
      <c r="Q349" s="79"/>
      <c r="R349" s="79"/>
      <c r="S349" s="80"/>
      <c r="T349" s="80"/>
      <c r="U349" s="80"/>
      <c r="V349" s="81"/>
      <c r="W349" s="79">
        <v>0</v>
      </c>
      <c r="X349" s="79"/>
      <c r="Y349" s="11" t="str">
        <f ca="1">IF(ISBLANK(BudgetsTable[[#This Row],[budg_seq_yr]]),"FY"&amp;fiscalyear,"FY"&amp;fiscalyear-1+BudgetsTable[[#This Row],[budg_seq_yr]])</f>
        <v>FY18</v>
      </c>
      <c r="Z349" s="80">
        <v>276000</v>
      </c>
      <c r="AA349" s="79" t="s">
        <v>477</v>
      </c>
      <c r="AB349" s="79" t="s">
        <v>582</v>
      </c>
      <c r="AC349" s="77" t="s">
        <v>94</v>
      </c>
      <c r="AD349" s="79" t="s">
        <v>1704</v>
      </c>
    </row>
    <row r="350" spans="1:30" x14ac:dyDescent="0.4">
      <c r="A350" s="10" t="s">
        <v>1733</v>
      </c>
      <c r="B350" s="77" t="s">
        <v>493</v>
      </c>
      <c r="C350" s="77">
        <f>C349+(BudgetsTable[[#This Row],[lead]]&lt;&gt;K349)</f>
        <v>75</v>
      </c>
      <c r="D350" s="77">
        <f>D349*(BudgetsTable[[#This Row],[lead]]=K349)+(BudgetsTable[[#This Row],[prop_id]]&lt;&gt;A349)</f>
        <v>2</v>
      </c>
      <c r="E350" s="78">
        <v>43003.538194444445</v>
      </c>
      <c r="F350" s="79" t="s">
        <v>524</v>
      </c>
      <c r="G350" s="79" t="s">
        <v>477</v>
      </c>
      <c r="H350" s="79" t="s">
        <v>582</v>
      </c>
      <c r="I350" s="77" t="s">
        <v>611</v>
      </c>
      <c r="J350" s="77" t="s">
        <v>13</v>
      </c>
      <c r="K350" s="79" t="s">
        <v>1315</v>
      </c>
      <c r="L350" s="7" t="str">
        <f>IF(BudgetsTable[[#This Row],[pi_last_name]]=" ","",HYPERLINK("https://www.ejacket.nsf.gov/ej/showProposal.do?Continue=Y&amp;ID="&amp;BudgetsTable[[#This Row],[prop_id]],BudgetsTable[[#This Row],[prop_id]]))</f>
        <v/>
      </c>
      <c r="M350" s="15" t="str">
        <f>IF(BudgetsTable[[#This Row],[pi_last_name]]=" ","",HYPERLINK("https://www.ejacket.nsf.gov/ej/processReviewAnalysis.do?dispatch=add&amp;uniqId="&amp;BudgetsTable[[#This Row],[prop_id]]&amp;PO_id,"&gt;ra"))</f>
        <v/>
      </c>
      <c r="N350" s="79" t="s">
        <v>13</v>
      </c>
      <c r="O350" s="7" t="str">
        <f>IF(BudgetsTable[[#This Row],[pi_last_name]]=" ","",HYPERLINK("mailto:"&amp;BudgetsTable[[#This Row],[pi_email]]&amp;"&amp;subject=Your NSF Proposal:  "&amp;BudgetsTable[[#This Row],[prop_id]],BudgetsTable[[#This Row],[pi_email]]))</f>
        <v/>
      </c>
      <c r="P350" s="79" t="s">
        <v>13</v>
      </c>
      <c r="Q350" s="79">
        <v>1</v>
      </c>
      <c r="R350" s="79">
        <v>0</v>
      </c>
      <c r="S350" s="80">
        <v>0</v>
      </c>
      <c r="T350" s="80">
        <v>0</v>
      </c>
      <c r="U350" s="80">
        <v>0</v>
      </c>
      <c r="V350" s="81">
        <v>89310</v>
      </c>
      <c r="W350" s="79">
        <v>0</v>
      </c>
      <c r="X350" s="79">
        <v>1</v>
      </c>
      <c r="Y350" s="11" t="str">
        <f ca="1">IF(ISBLANK(BudgetsTable[[#This Row],[budg_seq_yr]]),"FY"&amp;fiscalyear,"FY"&amp;fiscalyear-1+BudgetsTable[[#This Row],[budg_seq_yr]])</f>
        <v>FY18</v>
      </c>
      <c r="Z350" s="80">
        <v>89310</v>
      </c>
      <c r="AA350" s="79" t="s">
        <v>477</v>
      </c>
      <c r="AB350" s="79" t="s">
        <v>582</v>
      </c>
      <c r="AC350" s="77" t="s">
        <v>94</v>
      </c>
      <c r="AD350" s="79" t="s">
        <v>1704</v>
      </c>
    </row>
    <row r="351" spans="1:30" x14ac:dyDescent="0.4">
      <c r="A351" s="10" t="s">
        <v>1733</v>
      </c>
      <c r="B351" s="77" t="s">
        <v>493</v>
      </c>
      <c r="C351" s="77">
        <f>C350+(BudgetsTable[[#This Row],[lead]]&lt;&gt;K350)</f>
        <v>75</v>
      </c>
      <c r="D351" s="77">
        <f>D350*(BudgetsTable[[#This Row],[lead]]=K350)+(BudgetsTable[[#This Row],[prop_id]]&lt;&gt;A350)</f>
        <v>2</v>
      </c>
      <c r="E351" s="78">
        <v>43003.538194444445</v>
      </c>
      <c r="F351" s="79" t="s">
        <v>524</v>
      </c>
      <c r="G351" s="79" t="s">
        <v>477</v>
      </c>
      <c r="H351" s="79" t="s">
        <v>582</v>
      </c>
      <c r="I351" s="77" t="s">
        <v>611</v>
      </c>
      <c r="J351" s="77" t="s">
        <v>13</v>
      </c>
      <c r="K351" s="79" t="s">
        <v>1315</v>
      </c>
      <c r="L351" s="7" t="str">
        <f>IF(BudgetsTable[[#This Row],[pi_last_name]]=" ","",HYPERLINK("https://www.ejacket.nsf.gov/ej/showProposal.do?Continue=Y&amp;ID="&amp;BudgetsTable[[#This Row],[prop_id]],BudgetsTable[[#This Row],[prop_id]]))</f>
        <v/>
      </c>
      <c r="M351" s="15" t="str">
        <f>IF(BudgetsTable[[#This Row],[pi_last_name]]=" ","",HYPERLINK("https://www.ejacket.nsf.gov/ej/processReviewAnalysis.do?dispatch=add&amp;uniqId="&amp;BudgetsTable[[#This Row],[prop_id]]&amp;PO_id,"&gt;ra"))</f>
        <v/>
      </c>
      <c r="N351" s="79" t="s">
        <v>13</v>
      </c>
      <c r="O351" s="7" t="str">
        <f>IF(BudgetsTable[[#This Row],[pi_last_name]]=" ","",HYPERLINK("mailto:"&amp;BudgetsTable[[#This Row],[pi_email]]&amp;"&amp;subject=Your NSF Proposal:  "&amp;BudgetsTable[[#This Row],[prop_id]],BudgetsTable[[#This Row],[pi_email]]))</f>
        <v/>
      </c>
      <c r="P351" s="79" t="s">
        <v>13</v>
      </c>
      <c r="Q351" s="79">
        <v>1</v>
      </c>
      <c r="R351" s="79">
        <v>0</v>
      </c>
      <c r="S351" s="80">
        <v>0</v>
      </c>
      <c r="T351" s="80">
        <v>0</v>
      </c>
      <c r="U351" s="80">
        <v>0</v>
      </c>
      <c r="V351" s="81">
        <v>91970</v>
      </c>
      <c r="W351" s="79">
        <v>0</v>
      </c>
      <c r="X351" s="79">
        <v>2</v>
      </c>
      <c r="Y351" s="11" t="str">
        <f ca="1">IF(ISBLANK(BudgetsTable[[#This Row],[budg_seq_yr]]),"FY"&amp;fiscalyear,"FY"&amp;fiscalyear-1+BudgetsTable[[#This Row],[budg_seq_yr]])</f>
        <v>FY19</v>
      </c>
      <c r="Z351" s="80">
        <v>91970</v>
      </c>
      <c r="AA351" s="79" t="s">
        <v>477</v>
      </c>
      <c r="AB351" s="79" t="s">
        <v>582</v>
      </c>
      <c r="AC351" s="77" t="s">
        <v>94</v>
      </c>
      <c r="AD351" s="79" t="s">
        <v>1704</v>
      </c>
    </row>
    <row r="352" spans="1:30" x14ac:dyDescent="0.4">
      <c r="A352" s="10" t="s">
        <v>1733</v>
      </c>
      <c r="B352" s="77" t="s">
        <v>493</v>
      </c>
      <c r="C352" s="77">
        <f>C351+(BudgetsTable[[#This Row],[lead]]&lt;&gt;K351)</f>
        <v>75</v>
      </c>
      <c r="D352" s="77">
        <f>D351*(BudgetsTable[[#This Row],[lead]]=K351)+(BudgetsTable[[#This Row],[prop_id]]&lt;&gt;A351)</f>
        <v>2</v>
      </c>
      <c r="E352" s="78">
        <v>43003.538194444445</v>
      </c>
      <c r="F352" s="79" t="s">
        <v>524</v>
      </c>
      <c r="G352" s="79" t="s">
        <v>477</v>
      </c>
      <c r="H352" s="79" t="s">
        <v>582</v>
      </c>
      <c r="I352" s="77" t="s">
        <v>611</v>
      </c>
      <c r="J352" s="77" t="s">
        <v>13</v>
      </c>
      <c r="K352" s="79" t="s">
        <v>1315</v>
      </c>
      <c r="L352" s="7" t="str">
        <f>IF(BudgetsTable[[#This Row],[pi_last_name]]=" ","",HYPERLINK("https://www.ejacket.nsf.gov/ej/showProposal.do?Continue=Y&amp;ID="&amp;BudgetsTable[[#This Row],[prop_id]],BudgetsTable[[#This Row],[prop_id]]))</f>
        <v/>
      </c>
      <c r="M352" s="15" t="str">
        <f>IF(BudgetsTable[[#This Row],[pi_last_name]]=" ","",HYPERLINK("https://www.ejacket.nsf.gov/ej/processReviewAnalysis.do?dispatch=add&amp;uniqId="&amp;BudgetsTable[[#This Row],[prop_id]]&amp;PO_id,"&gt;ra"))</f>
        <v/>
      </c>
      <c r="N352" s="79" t="s">
        <v>13</v>
      </c>
      <c r="O352" s="7" t="str">
        <f>IF(BudgetsTable[[#This Row],[pi_last_name]]=" ","",HYPERLINK("mailto:"&amp;BudgetsTable[[#This Row],[pi_email]]&amp;"&amp;subject=Your NSF Proposal:  "&amp;BudgetsTable[[#This Row],[prop_id]],BudgetsTable[[#This Row],[pi_email]]))</f>
        <v/>
      </c>
      <c r="P352" s="79" t="s">
        <v>13</v>
      </c>
      <c r="Q352" s="79">
        <v>1</v>
      </c>
      <c r="R352" s="79">
        <v>0</v>
      </c>
      <c r="S352" s="80">
        <v>0</v>
      </c>
      <c r="T352" s="80">
        <v>0</v>
      </c>
      <c r="U352" s="80">
        <v>0</v>
      </c>
      <c r="V352" s="81">
        <v>94720</v>
      </c>
      <c r="W352" s="79">
        <v>0</v>
      </c>
      <c r="X352" s="79">
        <v>3</v>
      </c>
      <c r="Y352" s="11" t="str">
        <f ca="1">IF(ISBLANK(BudgetsTable[[#This Row],[budg_seq_yr]]),"FY"&amp;fiscalyear,"FY"&amp;fiscalyear-1+BudgetsTable[[#This Row],[budg_seq_yr]])</f>
        <v>FY20</v>
      </c>
      <c r="Z352" s="80">
        <v>94720</v>
      </c>
      <c r="AA352" s="79" t="s">
        <v>477</v>
      </c>
      <c r="AB352" s="79" t="s">
        <v>582</v>
      </c>
      <c r="AC352" s="77" t="s">
        <v>94</v>
      </c>
      <c r="AD352" s="79" t="s">
        <v>1704</v>
      </c>
    </row>
    <row r="353" spans="1:30" x14ac:dyDescent="0.4">
      <c r="A353" s="10" t="s">
        <v>1737</v>
      </c>
      <c r="B353" s="77" t="s">
        <v>493</v>
      </c>
      <c r="C353" s="77">
        <f>C352+(BudgetsTable[[#This Row],[lead]]&lt;&gt;K352)</f>
        <v>75</v>
      </c>
      <c r="D353" s="77">
        <f>D352*(BudgetsTable[[#This Row],[lead]]=K352)+(BudgetsTable[[#This Row],[prop_id]]&lt;&gt;A352)</f>
        <v>3</v>
      </c>
      <c r="E353" s="78">
        <v>43005.559027777781</v>
      </c>
      <c r="F353" s="79" t="s">
        <v>524</v>
      </c>
      <c r="G353" s="79" t="s">
        <v>477</v>
      </c>
      <c r="H353" s="79" t="s">
        <v>582</v>
      </c>
      <c r="I353" s="77" t="s">
        <v>611</v>
      </c>
      <c r="J353" s="77" t="s">
        <v>1741</v>
      </c>
      <c r="K353" s="79" t="s">
        <v>1315</v>
      </c>
      <c r="L353" s="7" t="str">
        <f>IF(BudgetsTable[[#This Row],[pi_last_name]]=" ","",HYPERLINK("https://www.ejacket.nsf.gov/ej/showProposal.do?Continue=Y&amp;ID="&amp;BudgetsTable[[#This Row],[prop_id]],BudgetsTable[[#This Row],[prop_id]]))</f>
        <v>1763665</v>
      </c>
      <c r="M353" s="15" t="e">
        <f>IF(BudgetsTable[[#This Row],[pi_last_name]]=" ","",HYPERLINK("https://www.ejacket.nsf.gov/ej/processReviewAnalysis.do?dispatch=add&amp;uniqId="&amp;BudgetsTable[[#This Row],[prop_id]]&amp;PO_id,"&gt;ra"))</f>
        <v>#REF!</v>
      </c>
      <c r="N353" s="79" t="s">
        <v>1738</v>
      </c>
      <c r="O353" s="7" t="str">
        <f>IF(BudgetsTable[[#This Row],[pi_last_name]]=" ","",HYPERLINK("mailto:"&amp;BudgetsTable[[#This Row],[pi_email]]&amp;"&amp;subject=Your NSF Proposal:  "&amp;BudgetsTable[[#This Row],[prop_id]],BudgetsTable[[#This Row],[pi_email]]))</f>
        <v>dwork@seas.harvard.edu</v>
      </c>
      <c r="P353" s="79" t="s">
        <v>1728</v>
      </c>
      <c r="Q353" s="79"/>
      <c r="R353" s="79"/>
      <c r="S353" s="80"/>
      <c r="T353" s="80"/>
      <c r="U353" s="80"/>
      <c r="V353" s="81"/>
      <c r="W353" s="79">
        <v>0</v>
      </c>
      <c r="X353" s="79"/>
      <c r="Y353" s="11" t="str">
        <f ca="1">IF(ISBLANK(BudgetsTable[[#This Row],[budg_seq_yr]]),"FY"&amp;fiscalyear,"FY"&amp;fiscalyear-1+BudgetsTable[[#This Row],[budg_seq_yr]])</f>
        <v>FY18</v>
      </c>
      <c r="Z353" s="80">
        <v>286000</v>
      </c>
      <c r="AA353" s="79" t="s">
        <v>477</v>
      </c>
      <c r="AB353" s="79" t="s">
        <v>582</v>
      </c>
      <c r="AC353" s="77" t="s">
        <v>94</v>
      </c>
      <c r="AD353" s="79" t="s">
        <v>1704</v>
      </c>
    </row>
    <row r="354" spans="1:30" x14ac:dyDescent="0.4">
      <c r="A354" s="10" t="s">
        <v>1737</v>
      </c>
      <c r="B354" s="77" t="s">
        <v>493</v>
      </c>
      <c r="C354" s="77">
        <f>C353+(BudgetsTable[[#This Row],[lead]]&lt;&gt;K353)</f>
        <v>75</v>
      </c>
      <c r="D354" s="77">
        <f>D353*(BudgetsTable[[#This Row],[lead]]=K353)+(BudgetsTable[[#This Row],[prop_id]]&lt;&gt;A353)</f>
        <v>3</v>
      </c>
      <c r="E354" s="78">
        <v>43005.559027777781</v>
      </c>
      <c r="F354" s="79" t="s">
        <v>524</v>
      </c>
      <c r="G354" s="79" t="s">
        <v>477</v>
      </c>
      <c r="H354" s="79" t="s">
        <v>582</v>
      </c>
      <c r="I354" s="77" t="s">
        <v>611</v>
      </c>
      <c r="J354" s="77" t="s">
        <v>13</v>
      </c>
      <c r="K354" s="79" t="s">
        <v>1315</v>
      </c>
      <c r="L354" s="7" t="str">
        <f>IF(BudgetsTable[[#This Row],[pi_last_name]]=" ","",HYPERLINK("https://www.ejacket.nsf.gov/ej/showProposal.do?Continue=Y&amp;ID="&amp;BudgetsTable[[#This Row],[prop_id]],BudgetsTable[[#This Row],[prop_id]]))</f>
        <v/>
      </c>
      <c r="M354" s="15" t="str">
        <f>IF(BudgetsTable[[#This Row],[pi_last_name]]=" ","",HYPERLINK("https://www.ejacket.nsf.gov/ej/processReviewAnalysis.do?dispatch=add&amp;uniqId="&amp;BudgetsTable[[#This Row],[prop_id]]&amp;PO_id,"&gt;ra"))</f>
        <v/>
      </c>
      <c r="N354" s="79" t="s">
        <v>13</v>
      </c>
      <c r="O354" s="7" t="str">
        <f>IF(BudgetsTable[[#This Row],[pi_last_name]]=" ","",HYPERLINK("mailto:"&amp;BudgetsTable[[#This Row],[pi_email]]&amp;"&amp;subject=Your NSF Proposal:  "&amp;BudgetsTable[[#This Row],[prop_id]],BudgetsTable[[#This Row],[pi_email]]))</f>
        <v/>
      </c>
      <c r="P354" s="79" t="s">
        <v>13</v>
      </c>
      <c r="Q354" s="79">
        <v>1</v>
      </c>
      <c r="R354" s="79">
        <v>0</v>
      </c>
      <c r="S354" s="80">
        <v>0</v>
      </c>
      <c r="T354" s="80">
        <v>0</v>
      </c>
      <c r="U354" s="80">
        <v>0</v>
      </c>
      <c r="V354" s="81">
        <v>109142</v>
      </c>
      <c r="W354" s="79">
        <v>0</v>
      </c>
      <c r="X354" s="79">
        <v>1</v>
      </c>
      <c r="Y354" s="11" t="str">
        <f ca="1">IF(ISBLANK(BudgetsTable[[#This Row],[budg_seq_yr]]),"FY"&amp;fiscalyear,"FY"&amp;fiscalyear-1+BudgetsTable[[#This Row],[budg_seq_yr]])</f>
        <v>FY18</v>
      </c>
      <c r="Z354" s="80">
        <v>109142</v>
      </c>
      <c r="AA354" s="79" t="s">
        <v>477</v>
      </c>
      <c r="AB354" s="79" t="s">
        <v>582</v>
      </c>
      <c r="AC354" s="77" t="s">
        <v>94</v>
      </c>
      <c r="AD354" s="79" t="s">
        <v>1704</v>
      </c>
    </row>
    <row r="355" spans="1:30" x14ac:dyDescent="0.4">
      <c r="A355" s="10" t="s">
        <v>1737</v>
      </c>
      <c r="B355" s="77" t="s">
        <v>493</v>
      </c>
      <c r="C355" s="77">
        <f>C354+(BudgetsTable[[#This Row],[lead]]&lt;&gt;K354)</f>
        <v>75</v>
      </c>
      <c r="D355" s="77">
        <f>D354*(BudgetsTable[[#This Row],[lead]]=K354)+(BudgetsTable[[#This Row],[prop_id]]&lt;&gt;A354)</f>
        <v>3</v>
      </c>
      <c r="E355" s="78">
        <v>43005.559027777781</v>
      </c>
      <c r="F355" s="79" t="s">
        <v>524</v>
      </c>
      <c r="G355" s="79" t="s">
        <v>477</v>
      </c>
      <c r="H355" s="79" t="s">
        <v>582</v>
      </c>
      <c r="I355" s="77" t="s">
        <v>611</v>
      </c>
      <c r="J355" s="77" t="s">
        <v>13</v>
      </c>
      <c r="K355" s="79" t="s">
        <v>1315</v>
      </c>
      <c r="L355" s="7" t="str">
        <f>IF(BudgetsTable[[#This Row],[pi_last_name]]=" ","",HYPERLINK("https://www.ejacket.nsf.gov/ej/showProposal.do?Continue=Y&amp;ID="&amp;BudgetsTable[[#This Row],[prop_id]],BudgetsTable[[#This Row],[prop_id]]))</f>
        <v/>
      </c>
      <c r="M355" s="15" t="str">
        <f>IF(BudgetsTable[[#This Row],[pi_last_name]]=" ","",HYPERLINK("https://www.ejacket.nsf.gov/ej/processReviewAnalysis.do?dispatch=add&amp;uniqId="&amp;BudgetsTable[[#This Row],[prop_id]]&amp;PO_id,"&gt;ra"))</f>
        <v/>
      </c>
      <c r="N355" s="79" t="s">
        <v>13</v>
      </c>
      <c r="O355" s="7" t="str">
        <f>IF(BudgetsTable[[#This Row],[pi_last_name]]=" ","",HYPERLINK("mailto:"&amp;BudgetsTable[[#This Row],[pi_email]]&amp;"&amp;subject=Your NSF Proposal:  "&amp;BudgetsTable[[#This Row],[prop_id]],BudgetsTable[[#This Row],[pi_email]]))</f>
        <v/>
      </c>
      <c r="P355" s="79" t="s">
        <v>13</v>
      </c>
      <c r="Q355" s="79">
        <v>1</v>
      </c>
      <c r="R355" s="79">
        <v>0</v>
      </c>
      <c r="S355" s="80">
        <v>0</v>
      </c>
      <c r="T355" s="80">
        <v>0</v>
      </c>
      <c r="U355" s="80">
        <v>0</v>
      </c>
      <c r="V355" s="81">
        <v>87720</v>
      </c>
      <c r="W355" s="79">
        <v>0</v>
      </c>
      <c r="X355" s="79">
        <v>2</v>
      </c>
      <c r="Y355" s="11" t="str">
        <f ca="1">IF(ISBLANK(BudgetsTable[[#This Row],[budg_seq_yr]]),"FY"&amp;fiscalyear,"FY"&amp;fiscalyear-1+BudgetsTable[[#This Row],[budg_seq_yr]])</f>
        <v>FY19</v>
      </c>
      <c r="Z355" s="80">
        <v>87720</v>
      </c>
      <c r="AA355" s="79" t="s">
        <v>477</v>
      </c>
      <c r="AB355" s="79" t="s">
        <v>582</v>
      </c>
      <c r="AC355" s="77" t="s">
        <v>94</v>
      </c>
      <c r="AD355" s="79" t="s">
        <v>1704</v>
      </c>
    </row>
    <row r="356" spans="1:30" x14ac:dyDescent="0.4">
      <c r="A356" s="10" t="s">
        <v>1737</v>
      </c>
      <c r="B356" s="77" t="s">
        <v>493</v>
      </c>
      <c r="C356" s="77">
        <f>C355+(BudgetsTable[[#This Row],[lead]]&lt;&gt;K355)</f>
        <v>75</v>
      </c>
      <c r="D356" s="77">
        <f>D355*(BudgetsTable[[#This Row],[lead]]=K355)+(BudgetsTable[[#This Row],[prop_id]]&lt;&gt;A355)</f>
        <v>3</v>
      </c>
      <c r="E356" s="78">
        <v>43005.559027777781</v>
      </c>
      <c r="F356" s="79" t="s">
        <v>524</v>
      </c>
      <c r="G356" s="79" t="s">
        <v>477</v>
      </c>
      <c r="H356" s="79" t="s">
        <v>582</v>
      </c>
      <c r="I356" s="77" t="s">
        <v>611</v>
      </c>
      <c r="J356" s="77" t="s">
        <v>13</v>
      </c>
      <c r="K356" s="79" t="s">
        <v>1315</v>
      </c>
      <c r="L356" s="7" t="str">
        <f>IF(BudgetsTable[[#This Row],[pi_last_name]]=" ","",HYPERLINK("https://www.ejacket.nsf.gov/ej/showProposal.do?Continue=Y&amp;ID="&amp;BudgetsTable[[#This Row],[prop_id]],BudgetsTable[[#This Row],[prop_id]]))</f>
        <v/>
      </c>
      <c r="M356" s="15" t="str">
        <f>IF(BudgetsTable[[#This Row],[pi_last_name]]=" ","",HYPERLINK("https://www.ejacket.nsf.gov/ej/processReviewAnalysis.do?dispatch=add&amp;uniqId="&amp;BudgetsTable[[#This Row],[prop_id]]&amp;PO_id,"&gt;ra"))</f>
        <v/>
      </c>
      <c r="N356" s="79" t="s">
        <v>13</v>
      </c>
      <c r="O356" s="7" t="str">
        <f>IF(BudgetsTable[[#This Row],[pi_last_name]]=" ","",HYPERLINK("mailto:"&amp;BudgetsTable[[#This Row],[pi_email]]&amp;"&amp;subject=Your NSF Proposal:  "&amp;BudgetsTable[[#This Row],[prop_id]],BudgetsTable[[#This Row],[pi_email]]))</f>
        <v/>
      </c>
      <c r="P356" s="79" t="s">
        <v>13</v>
      </c>
      <c r="Q356" s="79">
        <v>1</v>
      </c>
      <c r="R356" s="79">
        <v>0</v>
      </c>
      <c r="S356" s="80">
        <v>0</v>
      </c>
      <c r="T356" s="80">
        <v>0</v>
      </c>
      <c r="U356" s="80">
        <v>0</v>
      </c>
      <c r="V356" s="81">
        <v>89138</v>
      </c>
      <c r="W356" s="79">
        <v>0</v>
      </c>
      <c r="X356" s="79">
        <v>3</v>
      </c>
      <c r="Y356" s="11" t="str">
        <f ca="1">IF(ISBLANK(BudgetsTable[[#This Row],[budg_seq_yr]]),"FY"&amp;fiscalyear,"FY"&amp;fiscalyear-1+BudgetsTable[[#This Row],[budg_seq_yr]])</f>
        <v>FY20</v>
      </c>
      <c r="Z356" s="80">
        <v>89138</v>
      </c>
      <c r="AA356" s="79" t="s">
        <v>477</v>
      </c>
      <c r="AB356" s="79" t="s">
        <v>582</v>
      </c>
      <c r="AC356" s="77" t="s">
        <v>94</v>
      </c>
      <c r="AD356" s="79" t="s">
        <v>1704</v>
      </c>
    </row>
    <row r="357" spans="1:30" x14ac:dyDescent="0.4">
      <c r="A357" s="10" t="s">
        <v>1742</v>
      </c>
      <c r="B357" s="77" t="s">
        <v>493</v>
      </c>
      <c r="C357" s="77">
        <f>C356+(BudgetsTable[[#This Row],[lead]]&lt;&gt;K356)</f>
        <v>75</v>
      </c>
      <c r="D357" s="77">
        <f>D356*(BudgetsTable[[#This Row],[lead]]=K356)+(BudgetsTable[[#This Row],[prop_id]]&lt;&gt;A356)</f>
        <v>4</v>
      </c>
      <c r="E357" s="78">
        <v>43005.611111111109</v>
      </c>
      <c r="F357" s="79" t="s">
        <v>524</v>
      </c>
      <c r="G357" s="79" t="s">
        <v>477</v>
      </c>
      <c r="H357" s="79" t="s">
        <v>582</v>
      </c>
      <c r="I357" s="77" t="s">
        <v>611</v>
      </c>
      <c r="J357" s="77" t="s">
        <v>1746</v>
      </c>
      <c r="K357" s="79" t="s">
        <v>1315</v>
      </c>
      <c r="L357" s="7" t="str">
        <f>IF(BudgetsTable[[#This Row],[pi_last_name]]=" ","",HYPERLINK("https://www.ejacket.nsf.gov/ej/showProposal.do?Continue=Y&amp;ID="&amp;BudgetsTable[[#This Row],[prop_id]],BudgetsTable[[#This Row],[prop_id]]))</f>
        <v>1763786</v>
      </c>
      <c r="M357" s="15" t="e">
        <f>IF(BudgetsTable[[#This Row],[pi_last_name]]=" ","",HYPERLINK("https://www.ejacket.nsf.gov/ej/processReviewAnalysis.do?dispatch=add&amp;uniqId="&amp;BudgetsTable[[#This Row],[prop_id]]&amp;PO_id,"&gt;ra"))</f>
        <v>#REF!</v>
      </c>
      <c r="N357" s="79" t="s">
        <v>1743</v>
      </c>
      <c r="O357" s="7" t="str">
        <f>IF(BudgetsTable[[#This Row],[pi_last_name]]=" ","",HYPERLINK("mailto:"&amp;BudgetsTable[[#This Row],[pi_email]]&amp;"&amp;subject=Your NSF Proposal:  "&amp;BudgetsTable[[#This Row],[prop_id]],BudgetsTable[[#This Row],[pi_email]]))</f>
        <v>ads22@bu.edu</v>
      </c>
      <c r="P357" s="79" t="s">
        <v>1529</v>
      </c>
      <c r="Q357" s="79"/>
      <c r="R357" s="79"/>
      <c r="S357" s="80"/>
      <c r="T357" s="80"/>
      <c r="U357" s="80"/>
      <c r="V357" s="81"/>
      <c r="W357" s="79">
        <v>0</v>
      </c>
      <c r="X357" s="79"/>
      <c r="Y357" s="11" t="str">
        <f ca="1">IF(ISBLANK(BudgetsTable[[#This Row],[budg_seq_yr]]),"FY"&amp;fiscalyear,"FY"&amp;fiscalyear-1+BudgetsTable[[#This Row],[budg_seq_yr]])</f>
        <v>FY18</v>
      </c>
      <c r="Z357" s="80">
        <v>260000</v>
      </c>
      <c r="AA357" s="79" t="s">
        <v>477</v>
      </c>
      <c r="AB357" s="79" t="s">
        <v>582</v>
      </c>
      <c r="AC357" s="77" t="s">
        <v>94</v>
      </c>
      <c r="AD357" s="79" t="s">
        <v>1704</v>
      </c>
    </row>
    <row r="358" spans="1:30" x14ac:dyDescent="0.4">
      <c r="A358" s="10" t="s">
        <v>1742</v>
      </c>
      <c r="B358" s="77" t="s">
        <v>493</v>
      </c>
      <c r="C358" s="77">
        <f>C357+(BudgetsTable[[#This Row],[lead]]&lt;&gt;K357)</f>
        <v>75</v>
      </c>
      <c r="D358" s="77">
        <f>D357*(BudgetsTable[[#This Row],[lead]]=K357)+(BudgetsTable[[#This Row],[prop_id]]&lt;&gt;A357)</f>
        <v>4</v>
      </c>
      <c r="E358" s="78">
        <v>43005.611111111109</v>
      </c>
      <c r="F358" s="79" t="s">
        <v>524</v>
      </c>
      <c r="G358" s="79" t="s">
        <v>477</v>
      </c>
      <c r="H358" s="79" t="s">
        <v>582</v>
      </c>
      <c r="I358" s="77" t="s">
        <v>611</v>
      </c>
      <c r="J358" s="77" t="s">
        <v>13</v>
      </c>
      <c r="K358" s="79" t="s">
        <v>1315</v>
      </c>
      <c r="L358" s="7" t="str">
        <f>IF(BudgetsTable[[#This Row],[pi_last_name]]=" ","",HYPERLINK("https://www.ejacket.nsf.gov/ej/showProposal.do?Continue=Y&amp;ID="&amp;BudgetsTable[[#This Row],[prop_id]],BudgetsTable[[#This Row],[prop_id]]))</f>
        <v/>
      </c>
      <c r="M358" s="15" t="str">
        <f>IF(BudgetsTable[[#This Row],[pi_last_name]]=" ","",HYPERLINK("https://www.ejacket.nsf.gov/ej/processReviewAnalysis.do?dispatch=add&amp;uniqId="&amp;BudgetsTable[[#This Row],[prop_id]]&amp;PO_id,"&gt;ra"))</f>
        <v/>
      </c>
      <c r="N358" s="79" t="s">
        <v>13</v>
      </c>
      <c r="O358" s="7" t="str">
        <f>IF(BudgetsTable[[#This Row],[pi_last_name]]=" ","",HYPERLINK("mailto:"&amp;BudgetsTable[[#This Row],[pi_email]]&amp;"&amp;subject=Your NSF Proposal:  "&amp;BudgetsTable[[#This Row],[prop_id]],BudgetsTable[[#This Row],[pi_email]]))</f>
        <v/>
      </c>
      <c r="P358" s="79" t="s">
        <v>13</v>
      </c>
      <c r="Q358" s="79">
        <v>1</v>
      </c>
      <c r="R358" s="79">
        <v>0.55000000000000004</v>
      </c>
      <c r="S358" s="80">
        <v>0</v>
      </c>
      <c r="T358" s="80">
        <v>0</v>
      </c>
      <c r="U358" s="80">
        <v>0</v>
      </c>
      <c r="V358" s="81">
        <v>86913</v>
      </c>
      <c r="W358" s="79">
        <v>0</v>
      </c>
      <c r="X358" s="79">
        <v>1</v>
      </c>
      <c r="Y358" s="11" t="str">
        <f ca="1">IF(ISBLANK(BudgetsTable[[#This Row],[budg_seq_yr]]),"FY"&amp;fiscalyear,"FY"&amp;fiscalyear-1+BudgetsTable[[#This Row],[budg_seq_yr]])</f>
        <v>FY18</v>
      </c>
      <c r="Z358" s="80">
        <v>86913</v>
      </c>
      <c r="AA358" s="79" t="s">
        <v>477</v>
      </c>
      <c r="AB358" s="79" t="s">
        <v>582</v>
      </c>
      <c r="AC358" s="77" t="s">
        <v>94</v>
      </c>
      <c r="AD358" s="79" t="s">
        <v>1704</v>
      </c>
    </row>
    <row r="359" spans="1:30" x14ac:dyDescent="0.4">
      <c r="A359" s="10" t="s">
        <v>1742</v>
      </c>
      <c r="B359" s="77" t="s">
        <v>493</v>
      </c>
      <c r="C359" s="77">
        <f>C358+(BudgetsTable[[#This Row],[lead]]&lt;&gt;K358)</f>
        <v>75</v>
      </c>
      <c r="D359" s="77">
        <f>D358*(BudgetsTable[[#This Row],[lead]]=K358)+(BudgetsTable[[#This Row],[prop_id]]&lt;&gt;A358)</f>
        <v>4</v>
      </c>
      <c r="E359" s="78">
        <v>43005.611111111109</v>
      </c>
      <c r="F359" s="79" t="s">
        <v>524</v>
      </c>
      <c r="G359" s="79" t="s">
        <v>477</v>
      </c>
      <c r="H359" s="79" t="s">
        <v>582</v>
      </c>
      <c r="I359" s="77" t="s">
        <v>611</v>
      </c>
      <c r="J359" s="77" t="s">
        <v>13</v>
      </c>
      <c r="K359" s="79" t="s">
        <v>1315</v>
      </c>
      <c r="L359" s="7" t="str">
        <f>IF(BudgetsTable[[#This Row],[pi_last_name]]=" ","",HYPERLINK("https://www.ejacket.nsf.gov/ej/showProposal.do?Continue=Y&amp;ID="&amp;BudgetsTable[[#This Row],[prop_id]],BudgetsTable[[#This Row],[prop_id]]))</f>
        <v/>
      </c>
      <c r="M359" s="15" t="str">
        <f>IF(BudgetsTable[[#This Row],[pi_last_name]]=" ","",HYPERLINK("https://www.ejacket.nsf.gov/ej/processReviewAnalysis.do?dispatch=add&amp;uniqId="&amp;BudgetsTable[[#This Row],[prop_id]]&amp;PO_id,"&gt;ra"))</f>
        <v/>
      </c>
      <c r="N359" s="79" t="s">
        <v>13</v>
      </c>
      <c r="O359" s="7" t="str">
        <f>IF(BudgetsTable[[#This Row],[pi_last_name]]=" ","",HYPERLINK("mailto:"&amp;BudgetsTable[[#This Row],[pi_email]]&amp;"&amp;subject=Your NSF Proposal:  "&amp;BudgetsTable[[#This Row],[prop_id]],BudgetsTable[[#This Row],[pi_email]]))</f>
        <v/>
      </c>
      <c r="P359" s="79" t="s">
        <v>13</v>
      </c>
      <c r="Q359" s="79">
        <v>1</v>
      </c>
      <c r="R359" s="79">
        <v>0.55000000000000004</v>
      </c>
      <c r="S359" s="80">
        <v>0</v>
      </c>
      <c r="T359" s="80">
        <v>0</v>
      </c>
      <c r="U359" s="80">
        <v>0</v>
      </c>
      <c r="V359" s="81">
        <v>85338</v>
      </c>
      <c r="W359" s="79">
        <v>0</v>
      </c>
      <c r="X359" s="79">
        <v>2</v>
      </c>
      <c r="Y359" s="11" t="str">
        <f ca="1">IF(ISBLANK(BudgetsTable[[#This Row],[budg_seq_yr]]),"FY"&amp;fiscalyear,"FY"&amp;fiscalyear-1+BudgetsTable[[#This Row],[budg_seq_yr]])</f>
        <v>FY19</v>
      </c>
      <c r="Z359" s="80">
        <v>85338</v>
      </c>
      <c r="AA359" s="79" t="s">
        <v>477</v>
      </c>
      <c r="AB359" s="79" t="s">
        <v>582</v>
      </c>
      <c r="AC359" s="77" t="s">
        <v>94</v>
      </c>
      <c r="AD359" s="79" t="s">
        <v>1704</v>
      </c>
    </row>
    <row r="360" spans="1:30" x14ac:dyDescent="0.4">
      <c r="A360" s="10" t="s">
        <v>1742</v>
      </c>
      <c r="B360" s="77" t="s">
        <v>493</v>
      </c>
      <c r="C360" s="77">
        <f>C359+(BudgetsTable[[#This Row],[lead]]&lt;&gt;K359)</f>
        <v>75</v>
      </c>
      <c r="D360" s="77">
        <f>D359*(BudgetsTable[[#This Row],[lead]]=K359)+(BudgetsTable[[#This Row],[prop_id]]&lt;&gt;A359)</f>
        <v>4</v>
      </c>
      <c r="E360" s="78">
        <v>43005.611111111109</v>
      </c>
      <c r="F360" s="79" t="s">
        <v>524</v>
      </c>
      <c r="G360" s="79" t="s">
        <v>477</v>
      </c>
      <c r="H360" s="79" t="s">
        <v>582</v>
      </c>
      <c r="I360" s="77" t="s">
        <v>611</v>
      </c>
      <c r="J360" s="77" t="s">
        <v>13</v>
      </c>
      <c r="K360" s="79" t="s">
        <v>1315</v>
      </c>
      <c r="L360" s="7" t="str">
        <f>IF(BudgetsTable[[#This Row],[pi_last_name]]=" ","",HYPERLINK("https://www.ejacket.nsf.gov/ej/showProposal.do?Continue=Y&amp;ID="&amp;BudgetsTable[[#This Row],[prop_id]],BudgetsTable[[#This Row],[prop_id]]))</f>
        <v/>
      </c>
      <c r="M360" s="15" t="str">
        <f>IF(BudgetsTable[[#This Row],[pi_last_name]]=" ","",HYPERLINK("https://www.ejacket.nsf.gov/ej/processReviewAnalysis.do?dispatch=add&amp;uniqId="&amp;BudgetsTable[[#This Row],[prop_id]]&amp;PO_id,"&gt;ra"))</f>
        <v/>
      </c>
      <c r="N360" s="79" t="s">
        <v>13</v>
      </c>
      <c r="O360" s="7" t="str">
        <f>IF(BudgetsTable[[#This Row],[pi_last_name]]=" ","",HYPERLINK("mailto:"&amp;BudgetsTable[[#This Row],[pi_email]]&amp;"&amp;subject=Your NSF Proposal:  "&amp;BudgetsTable[[#This Row],[prop_id]],BudgetsTable[[#This Row],[pi_email]]))</f>
        <v/>
      </c>
      <c r="P360" s="79" t="s">
        <v>13</v>
      </c>
      <c r="Q360" s="79">
        <v>1</v>
      </c>
      <c r="R360" s="79">
        <v>0.55000000000000004</v>
      </c>
      <c r="S360" s="80">
        <v>0</v>
      </c>
      <c r="T360" s="80">
        <v>0</v>
      </c>
      <c r="U360" s="80">
        <v>0</v>
      </c>
      <c r="V360" s="81">
        <v>87749</v>
      </c>
      <c r="W360" s="79">
        <v>0</v>
      </c>
      <c r="X360" s="79">
        <v>3</v>
      </c>
      <c r="Y360" s="11" t="str">
        <f ca="1">IF(ISBLANK(BudgetsTable[[#This Row],[budg_seq_yr]]),"FY"&amp;fiscalyear,"FY"&amp;fiscalyear-1+BudgetsTable[[#This Row],[budg_seq_yr]])</f>
        <v>FY20</v>
      </c>
      <c r="Z360" s="80">
        <v>87749</v>
      </c>
      <c r="AA360" s="79" t="s">
        <v>477</v>
      </c>
      <c r="AB360" s="79" t="s">
        <v>582</v>
      </c>
      <c r="AC360" s="77" t="s">
        <v>94</v>
      </c>
      <c r="AD360" s="79" t="s">
        <v>1704</v>
      </c>
    </row>
    <row r="361" spans="1:30" x14ac:dyDescent="0.4">
      <c r="A361" s="10" t="s">
        <v>1322</v>
      </c>
      <c r="B361" s="77" t="s">
        <v>491</v>
      </c>
      <c r="C361" s="77">
        <f>C360+(BudgetsTable[[#This Row],[lead]]&lt;&gt;K360)</f>
        <v>76</v>
      </c>
      <c r="D361" s="77">
        <f>D360*(BudgetsTable[[#This Row],[lead]]=K360)+(BudgetsTable[[#This Row],[prop_id]]&lt;&gt;A360)</f>
        <v>1</v>
      </c>
      <c r="E361" s="78">
        <v>43004.525694444441</v>
      </c>
      <c r="F361" s="79" t="s">
        <v>524</v>
      </c>
      <c r="G361" s="79" t="s">
        <v>477</v>
      </c>
      <c r="H361" s="79" t="s">
        <v>582</v>
      </c>
      <c r="I361" s="77" t="s">
        <v>611</v>
      </c>
      <c r="J361" s="77" t="s">
        <v>1750</v>
      </c>
      <c r="K361" s="79" t="s">
        <v>1322</v>
      </c>
      <c r="L361" s="7" t="str">
        <f>IF(BudgetsTable[[#This Row],[pi_last_name]]=" ","",HYPERLINK("https://www.ejacket.nsf.gov/ej/showProposal.do?Continue=Y&amp;ID="&amp;BudgetsTable[[#This Row],[prop_id]],BudgetsTable[[#This Row],[prop_id]]))</f>
        <v>1763320</v>
      </c>
      <c r="M361" s="15" t="e">
        <f>IF(BudgetsTable[[#This Row],[pi_last_name]]=" ","",HYPERLINK("https://www.ejacket.nsf.gov/ej/processReviewAnalysis.do?dispatch=add&amp;uniqId="&amp;BudgetsTable[[#This Row],[prop_id]]&amp;PO_id,"&gt;ra"))</f>
        <v>#REF!</v>
      </c>
      <c r="N361" s="79" t="s">
        <v>1323</v>
      </c>
      <c r="O361" s="7" t="str">
        <f>IF(BudgetsTable[[#This Row],[pi_last_name]]=" ","",HYPERLINK("mailto:"&amp;BudgetsTable[[#This Row],[pi_email]]&amp;"&amp;subject=Your NSF Proposal:  "&amp;BudgetsTable[[#This Row],[prop_id]],BudgetsTable[[#This Row],[pi_email]]))</f>
        <v>kamesh@cs.duke.edu</v>
      </c>
      <c r="P361" s="79" t="s">
        <v>1520</v>
      </c>
      <c r="Q361" s="79"/>
      <c r="R361" s="79"/>
      <c r="S361" s="80"/>
      <c r="T361" s="80"/>
      <c r="U361" s="80"/>
      <c r="V361" s="81"/>
      <c r="W361" s="79">
        <v>0</v>
      </c>
      <c r="X361" s="79"/>
      <c r="Y361" s="11" t="str">
        <f ca="1">IF(ISBLANK(BudgetsTable[[#This Row],[budg_seq_yr]]),"FY"&amp;fiscalyear,"FY"&amp;fiscalyear-1+BudgetsTable[[#This Row],[budg_seq_yr]])</f>
        <v>FY18</v>
      </c>
      <c r="Z361" s="80">
        <v>599974</v>
      </c>
      <c r="AA361" s="79" t="s">
        <v>477</v>
      </c>
      <c r="AB361" s="79" t="s">
        <v>582</v>
      </c>
      <c r="AC361" s="77" t="s">
        <v>94</v>
      </c>
      <c r="AD361" s="79" t="s">
        <v>1712</v>
      </c>
    </row>
    <row r="362" spans="1:30" x14ac:dyDescent="0.4">
      <c r="A362" s="10" t="s">
        <v>1322</v>
      </c>
      <c r="B362" s="77" t="s">
        <v>491</v>
      </c>
      <c r="C362" s="77">
        <f>C361+(BudgetsTable[[#This Row],[lead]]&lt;&gt;K361)</f>
        <v>76</v>
      </c>
      <c r="D362" s="77">
        <f>D361*(BudgetsTable[[#This Row],[lead]]=K361)+(BudgetsTable[[#This Row],[prop_id]]&lt;&gt;A361)</f>
        <v>1</v>
      </c>
      <c r="E362" s="78">
        <v>43004.525694444441</v>
      </c>
      <c r="F362" s="79" t="s">
        <v>524</v>
      </c>
      <c r="G362" s="79" t="s">
        <v>477</v>
      </c>
      <c r="H362" s="79" t="s">
        <v>582</v>
      </c>
      <c r="I362" s="77" t="s">
        <v>611</v>
      </c>
      <c r="J362" s="77" t="s">
        <v>13</v>
      </c>
      <c r="K362" s="79" t="s">
        <v>1322</v>
      </c>
      <c r="L362" s="7" t="str">
        <f>IF(BudgetsTable[[#This Row],[pi_last_name]]=" ","",HYPERLINK("https://www.ejacket.nsf.gov/ej/showProposal.do?Continue=Y&amp;ID="&amp;BudgetsTable[[#This Row],[prop_id]],BudgetsTable[[#This Row],[prop_id]]))</f>
        <v/>
      </c>
      <c r="M362" s="15" t="str">
        <f>IF(BudgetsTable[[#This Row],[pi_last_name]]=" ","",HYPERLINK("https://www.ejacket.nsf.gov/ej/processReviewAnalysis.do?dispatch=add&amp;uniqId="&amp;BudgetsTable[[#This Row],[prop_id]]&amp;PO_id,"&gt;ra"))</f>
        <v/>
      </c>
      <c r="N362" s="79" t="s">
        <v>13</v>
      </c>
      <c r="O362" s="7" t="str">
        <f>IF(BudgetsTable[[#This Row],[pi_last_name]]=" ","",HYPERLINK("mailto:"&amp;BudgetsTable[[#This Row],[pi_email]]&amp;"&amp;subject=Your NSF Proposal:  "&amp;BudgetsTable[[#This Row],[prop_id]],BudgetsTable[[#This Row],[pi_email]]))</f>
        <v/>
      </c>
      <c r="P362" s="79" t="s">
        <v>13</v>
      </c>
      <c r="Q362" s="79">
        <v>1</v>
      </c>
      <c r="R362" s="79">
        <v>1</v>
      </c>
      <c r="S362" s="80">
        <v>0</v>
      </c>
      <c r="T362" s="80">
        <v>3350</v>
      </c>
      <c r="U362" s="80">
        <v>0</v>
      </c>
      <c r="V362" s="81">
        <v>108561</v>
      </c>
      <c r="W362" s="79">
        <v>0</v>
      </c>
      <c r="X362" s="79">
        <v>1</v>
      </c>
      <c r="Y362" s="11" t="str">
        <f ca="1">IF(ISBLANK(BudgetsTable[[#This Row],[budg_seq_yr]]),"FY"&amp;fiscalyear,"FY"&amp;fiscalyear-1+BudgetsTable[[#This Row],[budg_seq_yr]])</f>
        <v>FY18</v>
      </c>
      <c r="Z362" s="80">
        <v>108561</v>
      </c>
      <c r="AA362" s="79" t="s">
        <v>477</v>
      </c>
      <c r="AB362" s="79" t="s">
        <v>582</v>
      </c>
      <c r="AC362" s="77" t="s">
        <v>94</v>
      </c>
      <c r="AD362" s="79" t="s">
        <v>1712</v>
      </c>
    </row>
    <row r="363" spans="1:30" x14ac:dyDescent="0.4">
      <c r="A363" s="10" t="s">
        <v>1322</v>
      </c>
      <c r="B363" s="77" t="s">
        <v>491</v>
      </c>
      <c r="C363" s="77">
        <f>C362+(BudgetsTable[[#This Row],[lead]]&lt;&gt;K362)</f>
        <v>76</v>
      </c>
      <c r="D363" s="77">
        <f>D362*(BudgetsTable[[#This Row],[lead]]=K362)+(BudgetsTable[[#This Row],[prop_id]]&lt;&gt;A362)</f>
        <v>1</v>
      </c>
      <c r="E363" s="78">
        <v>43004.525694444441</v>
      </c>
      <c r="F363" s="79" t="s">
        <v>524</v>
      </c>
      <c r="G363" s="79" t="s">
        <v>477</v>
      </c>
      <c r="H363" s="79" t="s">
        <v>582</v>
      </c>
      <c r="I363" s="77" t="s">
        <v>611</v>
      </c>
      <c r="J363" s="77" t="s">
        <v>13</v>
      </c>
      <c r="K363" s="79" t="s">
        <v>1322</v>
      </c>
      <c r="L363" s="7" t="str">
        <f>IF(BudgetsTable[[#This Row],[pi_last_name]]=" ","",HYPERLINK("https://www.ejacket.nsf.gov/ej/showProposal.do?Continue=Y&amp;ID="&amp;BudgetsTable[[#This Row],[prop_id]],BudgetsTable[[#This Row],[prop_id]]))</f>
        <v/>
      </c>
      <c r="M363" s="15" t="str">
        <f>IF(BudgetsTable[[#This Row],[pi_last_name]]=" ","",HYPERLINK("https://www.ejacket.nsf.gov/ej/processReviewAnalysis.do?dispatch=add&amp;uniqId="&amp;BudgetsTable[[#This Row],[prop_id]]&amp;PO_id,"&gt;ra"))</f>
        <v/>
      </c>
      <c r="N363" s="79" t="s">
        <v>13</v>
      </c>
      <c r="O363" s="7" t="str">
        <f>IF(BudgetsTable[[#This Row],[pi_last_name]]=" ","",HYPERLINK("mailto:"&amp;BudgetsTable[[#This Row],[pi_email]]&amp;"&amp;subject=Your NSF Proposal:  "&amp;BudgetsTable[[#This Row],[prop_id]],BudgetsTable[[#This Row],[pi_email]]))</f>
        <v/>
      </c>
      <c r="P363" s="79" t="s">
        <v>13</v>
      </c>
      <c r="Q363" s="79">
        <v>1</v>
      </c>
      <c r="R363" s="79">
        <v>2</v>
      </c>
      <c r="S363" s="80">
        <v>0</v>
      </c>
      <c r="T363" s="80">
        <v>3434</v>
      </c>
      <c r="U363" s="80">
        <v>0</v>
      </c>
      <c r="V363" s="81">
        <v>141852</v>
      </c>
      <c r="W363" s="79">
        <v>0</v>
      </c>
      <c r="X363" s="79">
        <v>2</v>
      </c>
      <c r="Y363" s="11" t="str">
        <f ca="1">IF(ISBLANK(BudgetsTable[[#This Row],[budg_seq_yr]]),"FY"&amp;fiscalyear,"FY"&amp;fiscalyear-1+BudgetsTable[[#This Row],[budg_seq_yr]])</f>
        <v>FY19</v>
      </c>
      <c r="Z363" s="80">
        <v>141852</v>
      </c>
      <c r="AA363" s="79" t="s">
        <v>477</v>
      </c>
      <c r="AB363" s="79" t="s">
        <v>582</v>
      </c>
      <c r="AC363" s="77" t="s">
        <v>94</v>
      </c>
      <c r="AD363" s="79" t="s">
        <v>1712</v>
      </c>
    </row>
    <row r="364" spans="1:30" x14ac:dyDescent="0.4">
      <c r="A364" s="10" t="s">
        <v>1322</v>
      </c>
      <c r="B364" s="77" t="s">
        <v>491</v>
      </c>
      <c r="C364" s="77">
        <f>C363+(BudgetsTable[[#This Row],[lead]]&lt;&gt;K363)</f>
        <v>76</v>
      </c>
      <c r="D364" s="77">
        <f>D363*(BudgetsTable[[#This Row],[lead]]=K363)+(BudgetsTable[[#This Row],[prop_id]]&lt;&gt;A363)</f>
        <v>1</v>
      </c>
      <c r="E364" s="78">
        <v>43004.525694444441</v>
      </c>
      <c r="F364" s="79" t="s">
        <v>524</v>
      </c>
      <c r="G364" s="79" t="s">
        <v>477</v>
      </c>
      <c r="H364" s="79" t="s">
        <v>582</v>
      </c>
      <c r="I364" s="77" t="s">
        <v>611</v>
      </c>
      <c r="J364" s="77" t="s">
        <v>13</v>
      </c>
      <c r="K364" s="79" t="s">
        <v>1322</v>
      </c>
      <c r="L364" s="7" t="str">
        <f>IF(BudgetsTable[[#This Row],[pi_last_name]]=" ","",HYPERLINK("https://www.ejacket.nsf.gov/ej/showProposal.do?Continue=Y&amp;ID="&amp;BudgetsTable[[#This Row],[prop_id]],BudgetsTable[[#This Row],[prop_id]]))</f>
        <v/>
      </c>
      <c r="M364" s="15" t="str">
        <f>IF(BudgetsTable[[#This Row],[pi_last_name]]=" ","",HYPERLINK("https://www.ejacket.nsf.gov/ej/processReviewAnalysis.do?dispatch=add&amp;uniqId="&amp;BudgetsTable[[#This Row],[prop_id]]&amp;PO_id,"&gt;ra"))</f>
        <v/>
      </c>
      <c r="N364" s="79" t="s">
        <v>13</v>
      </c>
      <c r="O364" s="7" t="str">
        <f>IF(BudgetsTable[[#This Row],[pi_last_name]]=" ","",HYPERLINK("mailto:"&amp;BudgetsTable[[#This Row],[pi_email]]&amp;"&amp;subject=Your NSF Proposal:  "&amp;BudgetsTable[[#This Row],[prop_id]],BudgetsTable[[#This Row],[pi_email]]))</f>
        <v/>
      </c>
      <c r="P364" s="79" t="s">
        <v>13</v>
      </c>
      <c r="Q364" s="79">
        <v>1</v>
      </c>
      <c r="R364" s="79">
        <v>2</v>
      </c>
      <c r="S364" s="80">
        <v>0</v>
      </c>
      <c r="T364" s="80">
        <v>3520</v>
      </c>
      <c r="U364" s="80">
        <v>0</v>
      </c>
      <c r="V364" s="81">
        <v>145589</v>
      </c>
      <c r="W364" s="79">
        <v>0</v>
      </c>
      <c r="X364" s="79">
        <v>3</v>
      </c>
      <c r="Y364" s="11" t="str">
        <f ca="1">IF(ISBLANK(BudgetsTable[[#This Row],[budg_seq_yr]]),"FY"&amp;fiscalyear,"FY"&amp;fiscalyear-1+BudgetsTable[[#This Row],[budg_seq_yr]])</f>
        <v>FY20</v>
      </c>
      <c r="Z364" s="80">
        <v>145589</v>
      </c>
      <c r="AA364" s="79" t="s">
        <v>477</v>
      </c>
      <c r="AB364" s="79" t="s">
        <v>582</v>
      </c>
      <c r="AC364" s="77" t="s">
        <v>94</v>
      </c>
      <c r="AD364" s="79" t="s">
        <v>1712</v>
      </c>
    </row>
    <row r="365" spans="1:30" x14ac:dyDescent="0.4">
      <c r="A365" s="10" t="s">
        <v>1322</v>
      </c>
      <c r="B365" s="77" t="s">
        <v>491</v>
      </c>
      <c r="C365" s="77">
        <f>C364+(BudgetsTable[[#This Row],[lead]]&lt;&gt;K364)</f>
        <v>76</v>
      </c>
      <c r="D365" s="77">
        <f>D364*(BudgetsTable[[#This Row],[lead]]=K364)+(BudgetsTable[[#This Row],[prop_id]]&lt;&gt;A364)</f>
        <v>1</v>
      </c>
      <c r="E365" s="78">
        <v>43004.525694444441</v>
      </c>
      <c r="F365" s="79" t="s">
        <v>524</v>
      </c>
      <c r="G365" s="79" t="s">
        <v>477</v>
      </c>
      <c r="H365" s="79" t="s">
        <v>582</v>
      </c>
      <c r="I365" s="77" t="s">
        <v>611</v>
      </c>
      <c r="J365" s="77" t="s">
        <v>13</v>
      </c>
      <c r="K365" s="79" t="s">
        <v>1322</v>
      </c>
      <c r="L365" s="7" t="str">
        <f>IF(BudgetsTable[[#This Row],[pi_last_name]]=" ","",HYPERLINK("https://www.ejacket.nsf.gov/ej/showProposal.do?Continue=Y&amp;ID="&amp;BudgetsTable[[#This Row],[prop_id]],BudgetsTable[[#This Row],[prop_id]]))</f>
        <v/>
      </c>
      <c r="M365" s="15" t="str">
        <f>IF(BudgetsTable[[#This Row],[pi_last_name]]=" ","",HYPERLINK("https://www.ejacket.nsf.gov/ej/processReviewAnalysis.do?dispatch=add&amp;uniqId="&amp;BudgetsTable[[#This Row],[prop_id]]&amp;PO_id,"&gt;ra"))</f>
        <v/>
      </c>
      <c r="N365" s="79" t="s">
        <v>13</v>
      </c>
      <c r="O365" s="7" t="str">
        <f>IF(BudgetsTable[[#This Row],[pi_last_name]]=" ","",HYPERLINK("mailto:"&amp;BudgetsTable[[#This Row],[pi_email]]&amp;"&amp;subject=Your NSF Proposal:  "&amp;BudgetsTable[[#This Row],[prop_id]],BudgetsTable[[#This Row],[pi_email]]))</f>
        <v/>
      </c>
      <c r="P365" s="79" t="s">
        <v>13</v>
      </c>
      <c r="Q365" s="79">
        <v>1</v>
      </c>
      <c r="R365" s="79">
        <v>2</v>
      </c>
      <c r="S365" s="80">
        <v>0</v>
      </c>
      <c r="T365" s="80">
        <v>3608</v>
      </c>
      <c r="U365" s="80">
        <v>0</v>
      </c>
      <c r="V365" s="81">
        <v>203972</v>
      </c>
      <c r="W365" s="79">
        <v>0</v>
      </c>
      <c r="X365" s="79">
        <v>4</v>
      </c>
      <c r="Y365" s="11" t="str">
        <f ca="1">IF(ISBLANK(BudgetsTable[[#This Row],[budg_seq_yr]]),"FY"&amp;fiscalyear,"FY"&amp;fiscalyear-1+BudgetsTable[[#This Row],[budg_seq_yr]])</f>
        <v>FY21</v>
      </c>
      <c r="Z365" s="80">
        <v>203972</v>
      </c>
      <c r="AA365" s="79" t="s">
        <v>477</v>
      </c>
      <c r="AB365" s="79" t="s">
        <v>582</v>
      </c>
      <c r="AC365" s="77" t="s">
        <v>94</v>
      </c>
      <c r="AD365" s="79" t="s">
        <v>1712</v>
      </c>
    </row>
    <row r="366" spans="1:30" x14ac:dyDescent="0.4">
      <c r="A366" s="10" t="s">
        <v>1751</v>
      </c>
      <c r="B366" s="77" t="s">
        <v>493</v>
      </c>
      <c r="C366" s="77">
        <f>C365+(BudgetsTable[[#This Row],[lead]]&lt;&gt;K365)</f>
        <v>76</v>
      </c>
      <c r="D366" s="77">
        <f>D365*(BudgetsTable[[#This Row],[lead]]=K365)+(BudgetsTable[[#This Row],[prop_id]]&lt;&gt;A365)</f>
        <v>2</v>
      </c>
      <c r="E366" s="78">
        <v>43004.724999999999</v>
      </c>
      <c r="F366" s="79" t="s">
        <v>524</v>
      </c>
      <c r="G366" s="79" t="s">
        <v>477</v>
      </c>
      <c r="H366" s="79" t="s">
        <v>582</v>
      </c>
      <c r="I366" s="77" t="s">
        <v>611</v>
      </c>
      <c r="J366" s="77" t="s">
        <v>1755</v>
      </c>
      <c r="K366" s="79" t="s">
        <v>1322</v>
      </c>
      <c r="L366" s="7" t="str">
        <f>IF(BudgetsTable[[#This Row],[pi_last_name]]=" ","",HYPERLINK("https://www.ejacket.nsf.gov/ej/showProposal.do?Continue=Y&amp;ID="&amp;BudgetsTable[[#This Row],[prop_id]],BudgetsTable[[#This Row],[prop_id]]))</f>
        <v>1763417</v>
      </c>
      <c r="M366" s="15" t="e">
        <f>IF(BudgetsTable[[#This Row],[pi_last_name]]=" ","",HYPERLINK("https://www.ejacket.nsf.gov/ej/processReviewAnalysis.do?dispatch=add&amp;uniqId="&amp;BudgetsTable[[#This Row],[prop_id]]&amp;PO_id,"&gt;ra"))</f>
        <v>#REF!</v>
      </c>
      <c r="N366" s="79" t="s">
        <v>1752</v>
      </c>
      <c r="O366" s="7" t="str">
        <f>IF(BudgetsTable[[#This Row],[pi_last_name]]=" ","",HYPERLINK("mailto:"&amp;BudgetsTable[[#This Row],[pi_email]]&amp;"&amp;subject=Your NSF Proposal:  "&amp;BudgetsTable[[#This Row],[prop_id]],BudgetsTable[[#This Row],[pi_email]]))</f>
        <v>sbanerjee@cornell.edu</v>
      </c>
      <c r="P366" s="79" t="s">
        <v>1754</v>
      </c>
      <c r="Q366" s="79"/>
      <c r="R366" s="79"/>
      <c r="S366" s="80"/>
      <c r="T366" s="80"/>
      <c r="U366" s="80"/>
      <c r="V366" s="81"/>
      <c r="W366" s="79">
        <v>0</v>
      </c>
      <c r="X366" s="79"/>
      <c r="Y366" s="11" t="str">
        <f ca="1">IF(ISBLANK(BudgetsTable[[#This Row],[budg_seq_yr]]),"FY"&amp;fiscalyear,"FY"&amp;fiscalyear-1+BudgetsTable[[#This Row],[budg_seq_yr]])</f>
        <v>FY18</v>
      </c>
      <c r="Z366" s="80">
        <v>599070</v>
      </c>
      <c r="AA366" s="79" t="s">
        <v>477</v>
      </c>
      <c r="AB366" s="79" t="s">
        <v>582</v>
      </c>
      <c r="AC366" s="77" t="s">
        <v>94</v>
      </c>
      <c r="AD366" s="79" t="s">
        <v>1712</v>
      </c>
    </row>
    <row r="367" spans="1:30" x14ac:dyDescent="0.4">
      <c r="A367" s="10" t="s">
        <v>1751</v>
      </c>
      <c r="B367" s="77" t="s">
        <v>493</v>
      </c>
      <c r="C367" s="77">
        <f>C366+(BudgetsTable[[#This Row],[lead]]&lt;&gt;K366)</f>
        <v>76</v>
      </c>
      <c r="D367" s="77">
        <f>D366*(BudgetsTable[[#This Row],[lead]]=K366)+(BudgetsTable[[#This Row],[prop_id]]&lt;&gt;A366)</f>
        <v>2</v>
      </c>
      <c r="E367" s="78">
        <v>43004.724999999999</v>
      </c>
      <c r="F367" s="79" t="s">
        <v>524</v>
      </c>
      <c r="G367" s="79" t="s">
        <v>477</v>
      </c>
      <c r="H367" s="79" t="s">
        <v>582</v>
      </c>
      <c r="I367" s="77" t="s">
        <v>611</v>
      </c>
      <c r="J367" s="77" t="s">
        <v>13</v>
      </c>
      <c r="K367" s="79" t="s">
        <v>1322</v>
      </c>
      <c r="L367" s="7" t="str">
        <f>IF(BudgetsTable[[#This Row],[pi_last_name]]=" ","",HYPERLINK("https://www.ejacket.nsf.gov/ej/showProposal.do?Continue=Y&amp;ID="&amp;BudgetsTable[[#This Row],[prop_id]],BudgetsTable[[#This Row],[prop_id]]))</f>
        <v/>
      </c>
      <c r="M367" s="15" t="str">
        <f>IF(BudgetsTable[[#This Row],[pi_last_name]]=" ","",HYPERLINK("https://www.ejacket.nsf.gov/ej/processReviewAnalysis.do?dispatch=add&amp;uniqId="&amp;BudgetsTable[[#This Row],[prop_id]]&amp;PO_id,"&gt;ra"))</f>
        <v/>
      </c>
      <c r="N367" s="79" t="s">
        <v>13</v>
      </c>
      <c r="O367" s="7" t="str">
        <f>IF(BudgetsTable[[#This Row],[pi_last_name]]=" ","",HYPERLINK("mailto:"&amp;BudgetsTable[[#This Row],[pi_email]]&amp;"&amp;subject=Your NSF Proposal:  "&amp;BudgetsTable[[#This Row],[prop_id]],BudgetsTable[[#This Row],[pi_email]]))</f>
        <v/>
      </c>
      <c r="P367" s="79" t="s">
        <v>13</v>
      </c>
      <c r="Q367" s="79">
        <v>1</v>
      </c>
      <c r="R367" s="79">
        <v>1.5</v>
      </c>
      <c r="S367" s="80">
        <v>0</v>
      </c>
      <c r="T367" s="80">
        <v>6000</v>
      </c>
      <c r="U367" s="80">
        <v>0</v>
      </c>
      <c r="V367" s="81">
        <v>145986</v>
      </c>
      <c r="W367" s="79">
        <v>0</v>
      </c>
      <c r="X367" s="79">
        <v>1</v>
      </c>
      <c r="Y367" s="11" t="str">
        <f ca="1">IF(ISBLANK(BudgetsTable[[#This Row],[budg_seq_yr]]),"FY"&amp;fiscalyear,"FY"&amp;fiscalyear-1+BudgetsTable[[#This Row],[budg_seq_yr]])</f>
        <v>FY18</v>
      </c>
      <c r="Z367" s="80">
        <v>145986</v>
      </c>
      <c r="AA367" s="79" t="s">
        <v>477</v>
      </c>
      <c r="AB367" s="79" t="s">
        <v>582</v>
      </c>
      <c r="AC367" s="77" t="s">
        <v>94</v>
      </c>
      <c r="AD367" s="79" t="s">
        <v>1712</v>
      </c>
    </row>
    <row r="368" spans="1:30" x14ac:dyDescent="0.4">
      <c r="A368" s="10" t="s">
        <v>1751</v>
      </c>
      <c r="B368" s="77" t="s">
        <v>493</v>
      </c>
      <c r="C368" s="77">
        <f>C367+(BudgetsTable[[#This Row],[lead]]&lt;&gt;K367)</f>
        <v>76</v>
      </c>
      <c r="D368" s="77">
        <f>D367*(BudgetsTable[[#This Row],[lead]]=K367)+(BudgetsTable[[#This Row],[prop_id]]&lt;&gt;A367)</f>
        <v>2</v>
      </c>
      <c r="E368" s="78">
        <v>43004.724999999999</v>
      </c>
      <c r="F368" s="79" t="s">
        <v>524</v>
      </c>
      <c r="G368" s="79" t="s">
        <v>477</v>
      </c>
      <c r="H368" s="79" t="s">
        <v>582</v>
      </c>
      <c r="I368" s="77" t="s">
        <v>611</v>
      </c>
      <c r="J368" s="77" t="s">
        <v>13</v>
      </c>
      <c r="K368" s="79" t="s">
        <v>1322</v>
      </c>
      <c r="L368" s="7" t="str">
        <f>IF(BudgetsTable[[#This Row],[pi_last_name]]=" ","",HYPERLINK("https://www.ejacket.nsf.gov/ej/showProposal.do?Continue=Y&amp;ID="&amp;BudgetsTable[[#This Row],[prop_id]],BudgetsTable[[#This Row],[prop_id]]))</f>
        <v/>
      </c>
      <c r="M368" s="15" t="str">
        <f>IF(BudgetsTable[[#This Row],[pi_last_name]]=" ","",HYPERLINK("https://www.ejacket.nsf.gov/ej/processReviewAnalysis.do?dispatch=add&amp;uniqId="&amp;BudgetsTable[[#This Row],[prop_id]]&amp;PO_id,"&gt;ra"))</f>
        <v/>
      </c>
      <c r="N368" s="79" t="s">
        <v>13</v>
      </c>
      <c r="O368" s="7" t="str">
        <f>IF(BudgetsTable[[#This Row],[pi_last_name]]=" ","",HYPERLINK("mailto:"&amp;BudgetsTable[[#This Row],[pi_email]]&amp;"&amp;subject=Your NSF Proposal:  "&amp;BudgetsTable[[#This Row],[prop_id]],BudgetsTable[[#This Row],[pi_email]]))</f>
        <v/>
      </c>
      <c r="P368" s="79" t="s">
        <v>13</v>
      </c>
      <c r="Q368" s="79">
        <v>1</v>
      </c>
      <c r="R368" s="79">
        <v>1.5</v>
      </c>
      <c r="S368" s="80">
        <v>0</v>
      </c>
      <c r="T368" s="80">
        <v>6000</v>
      </c>
      <c r="U368" s="80">
        <v>0</v>
      </c>
      <c r="V368" s="81">
        <v>147607</v>
      </c>
      <c r="W368" s="79">
        <v>0</v>
      </c>
      <c r="X368" s="79">
        <v>2</v>
      </c>
      <c r="Y368" s="11" t="str">
        <f ca="1">IF(ISBLANK(BudgetsTable[[#This Row],[budg_seq_yr]]),"FY"&amp;fiscalyear,"FY"&amp;fiscalyear-1+BudgetsTable[[#This Row],[budg_seq_yr]])</f>
        <v>FY19</v>
      </c>
      <c r="Z368" s="80">
        <v>147607</v>
      </c>
      <c r="AA368" s="79" t="s">
        <v>477</v>
      </c>
      <c r="AB368" s="79" t="s">
        <v>582</v>
      </c>
      <c r="AC368" s="77" t="s">
        <v>94</v>
      </c>
      <c r="AD368" s="79" t="s">
        <v>1712</v>
      </c>
    </row>
    <row r="369" spans="1:30" x14ac:dyDescent="0.4">
      <c r="A369" s="10" t="s">
        <v>1751</v>
      </c>
      <c r="B369" s="77" t="s">
        <v>493</v>
      </c>
      <c r="C369" s="77">
        <f>C368+(BudgetsTable[[#This Row],[lead]]&lt;&gt;K368)</f>
        <v>76</v>
      </c>
      <c r="D369" s="77">
        <f>D368*(BudgetsTable[[#This Row],[lead]]=K368)+(BudgetsTable[[#This Row],[prop_id]]&lt;&gt;A368)</f>
        <v>2</v>
      </c>
      <c r="E369" s="78">
        <v>43004.724999999999</v>
      </c>
      <c r="F369" s="79" t="s">
        <v>524</v>
      </c>
      <c r="G369" s="79" t="s">
        <v>477</v>
      </c>
      <c r="H369" s="79" t="s">
        <v>582</v>
      </c>
      <c r="I369" s="77" t="s">
        <v>611</v>
      </c>
      <c r="J369" s="77" t="s">
        <v>13</v>
      </c>
      <c r="K369" s="79" t="s">
        <v>1322</v>
      </c>
      <c r="L369" s="7" t="str">
        <f>IF(BudgetsTable[[#This Row],[pi_last_name]]=" ","",HYPERLINK("https://www.ejacket.nsf.gov/ej/showProposal.do?Continue=Y&amp;ID="&amp;BudgetsTable[[#This Row],[prop_id]],BudgetsTable[[#This Row],[prop_id]]))</f>
        <v/>
      </c>
      <c r="M369" s="15" t="str">
        <f>IF(BudgetsTable[[#This Row],[pi_last_name]]=" ","",HYPERLINK("https://www.ejacket.nsf.gov/ej/processReviewAnalysis.do?dispatch=add&amp;uniqId="&amp;BudgetsTable[[#This Row],[prop_id]]&amp;PO_id,"&gt;ra"))</f>
        <v/>
      </c>
      <c r="N369" s="79" t="s">
        <v>13</v>
      </c>
      <c r="O369" s="7" t="str">
        <f>IF(BudgetsTable[[#This Row],[pi_last_name]]=" ","",HYPERLINK("mailto:"&amp;BudgetsTable[[#This Row],[pi_email]]&amp;"&amp;subject=Your NSF Proposal:  "&amp;BudgetsTable[[#This Row],[prop_id]],BudgetsTable[[#This Row],[pi_email]]))</f>
        <v/>
      </c>
      <c r="P369" s="79" t="s">
        <v>13</v>
      </c>
      <c r="Q369" s="79">
        <v>1</v>
      </c>
      <c r="R369" s="79">
        <v>1.5</v>
      </c>
      <c r="S369" s="80">
        <v>0</v>
      </c>
      <c r="T369" s="80">
        <v>6000</v>
      </c>
      <c r="U369" s="80">
        <v>0</v>
      </c>
      <c r="V369" s="81">
        <v>150987</v>
      </c>
      <c r="W369" s="79">
        <v>0</v>
      </c>
      <c r="X369" s="79">
        <v>3</v>
      </c>
      <c r="Y369" s="11" t="str">
        <f ca="1">IF(ISBLANK(BudgetsTable[[#This Row],[budg_seq_yr]]),"FY"&amp;fiscalyear,"FY"&amp;fiscalyear-1+BudgetsTable[[#This Row],[budg_seq_yr]])</f>
        <v>FY20</v>
      </c>
      <c r="Z369" s="80">
        <v>150987</v>
      </c>
      <c r="AA369" s="79" t="s">
        <v>477</v>
      </c>
      <c r="AB369" s="79" t="s">
        <v>582</v>
      </c>
      <c r="AC369" s="77" t="s">
        <v>94</v>
      </c>
      <c r="AD369" s="79" t="s">
        <v>1712</v>
      </c>
    </row>
    <row r="370" spans="1:30" x14ac:dyDescent="0.4">
      <c r="A370" s="10" t="s">
        <v>1751</v>
      </c>
      <c r="B370" s="77" t="s">
        <v>493</v>
      </c>
      <c r="C370" s="77">
        <f>C369+(BudgetsTable[[#This Row],[lead]]&lt;&gt;K369)</f>
        <v>76</v>
      </c>
      <c r="D370" s="77">
        <f>D369*(BudgetsTable[[#This Row],[lead]]=K369)+(BudgetsTable[[#This Row],[prop_id]]&lt;&gt;A369)</f>
        <v>2</v>
      </c>
      <c r="E370" s="78">
        <v>43004.724999999999</v>
      </c>
      <c r="F370" s="79" t="s">
        <v>524</v>
      </c>
      <c r="G370" s="79" t="s">
        <v>477</v>
      </c>
      <c r="H370" s="79" t="s">
        <v>582</v>
      </c>
      <c r="I370" s="77" t="s">
        <v>611</v>
      </c>
      <c r="J370" s="77" t="s">
        <v>13</v>
      </c>
      <c r="K370" s="79" t="s">
        <v>1322</v>
      </c>
      <c r="L370" s="7" t="str">
        <f>IF(BudgetsTable[[#This Row],[pi_last_name]]=" ","",HYPERLINK("https://www.ejacket.nsf.gov/ej/showProposal.do?Continue=Y&amp;ID="&amp;BudgetsTable[[#This Row],[prop_id]],BudgetsTable[[#This Row],[prop_id]]))</f>
        <v/>
      </c>
      <c r="M370" s="15" t="str">
        <f>IF(BudgetsTable[[#This Row],[pi_last_name]]=" ","",HYPERLINK("https://www.ejacket.nsf.gov/ej/processReviewAnalysis.do?dispatch=add&amp;uniqId="&amp;BudgetsTable[[#This Row],[prop_id]]&amp;PO_id,"&gt;ra"))</f>
        <v/>
      </c>
      <c r="N370" s="79" t="s">
        <v>13</v>
      </c>
      <c r="O370" s="7" t="str">
        <f>IF(BudgetsTable[[#This Row],[pi_last_name]]=" ","",HYPERLINK("mailto:"&amp;BudgetsTable[[#This Row],[pi_email]]&amp;"&amp;subject=Your NSF Proposal:  "&amp;BudgetsTable[[#This Row],[prop_id]],BudgetsTable[[#This Row],[pi_email]]))</f>
        <v/>
      </c>
      <c r="P370" s="79" t="s">
        <v>13</v>
      </c>
      <c r="Q370" s="79">
        <v>1</v>
      </c>
      <c r="R370" s="79">
        <v>1.5</v>
      </c>
      <c r="S370" s="80">
        <v>0</v>
      </c>
      <c r="T370" s="80">
        <v>6000</v>
      </c>
      <c r="U370" s="80">
        <v>0</v>
      </c>
      <c r="V370" s="81">
        <v>154490</v>
      </c>
      <c r="W370" s="79">
        <v>0</v>
      </c>
      <c r="X370" s="79">
        <v>4</v>
      </c>
      <c r="Y370" s="11" t="str">
        <f ca="1">IF(ISBLANK(BudgetsTable[[#This Row],[budg_seq_yr]]),"FY"&amp;fiscalyear,"FY"&amp;fiscalyear-1+BudgetsTable[[#This Row],[budg_seq_yr]])</f>
        <v>FY21</v>
      </c>
      <c r="Z370" s="80">
        <v>154490</v>
      </c>
      <c r="AA370" s="79" t="s">
        <v>477</v>
      </c>
      <c r="AB370" s="79" t="s">
        <v>582</v>
      </c>
      <c r="AC370" s="77" t="s">
        <v>94</v>
      </c>
      <c r="AD370" s="79" t="s">
        <v>1712</v>
      </c>
    </row>
    <row r="371" spans="1:30" x14ac:dyDescent="0.4">
      <c r="A371" s="10" t="s">
        <v>1334</v>
      </c>
      <c r="B371" s="77" t="s">
        <v>491</v>
      </c>
      <c r="C371" s="77">
        <f>C370+(BudgetsTable[[#This Row],[lead]]&lt;&gt;K370)</f>
        <v>77</v>
      </c>
      <c r="D371" s="77">
        <f>D370*(BudgetsTable[[#This Row],[lead]]=K370)+(BudgetsTable[[#This Row],[prop_id]]&lt;&gt;A370)</f>
        <v>1</v>
      </c>
      <c r="E371" s="78">
        <v>43005.413194444445</v>
      </c>
      <c r="F371" s="79" t="s">
        <v>524</v>
      </c>
      <c r="G371" s="79" t="s">
        <v>477</v>
      </c>
      <c r="H371" s="79" t="s">
        <v>582</v>
      </c>
      <c r="I371" s="77" t="s">
        <v>654</v>
      </c>
      <c r="J371" s="77" t="s">
        <v>1759</v>
      </c>
      <c r="K371" s="79" t="s">
        <v>1334</v>
      </c>
      <c r="L371" s="7" t="str">
        <f>IF(BudgetsTable[[#This Row],[pi_last_name]]=" ","",HYPERLINK("https://www.ejacket.nsf.gov/ej/showProposal.do?Continue=Y&amp;ID="&amp;BudgetsTable[[#This Row],[prop_id]],BudgetsTable[[#This Row],[prop_id]]))</f>
        <v>1763481</v>
      </c>
      <c r="M371" s="15" t="e">
        <f>IF(BudgetsTable[[#This Row],[pi_last_name]]=" ","",HYPERLINK("https://www.ejacket.nsf.gov/ej/processReviewAnalysis.do?dispatch=add&amp;uniqId="&amp;BudgetsTable[[#This Row],[prop_id]]&amp;PO_id,"&gt;ra"))</f>
        <v>#REF!</v>
      </c>
      <c r="N371" s="79" t="s">
        <v>1335</v>
      </c>
      <c r="O371" s="7" t="str">
        <f>IF(BudgetsTable[[#This Row],[pi_last_name]]=" ","",HYPERLINK("mailto:"&amp;BudgetsTable[[#This Row],[pi_email]]&amp;"&amp;subject=Your NSF Proposal:  "&amp;BudgetsTable[[#This Row],[prop_id]],BudgetsTable[[#This Row],[pi_email]]))</f>
        <v>atri@buffalo.edu</v>
      </c>
      <c r="P371" s="79" t="s">
        <v>1512</v>
      </c>
      <c r="Q371" s="79"/>
      <c r="R371" s="79"/>
      <c r="S371" s="80"/>
      <c r="T371" s="80"/>
      <c r="U371" s="80"/>
      <c r="V371" s="81"/>
      <c r="W371" s="79">
        <v>0</v>
      </c>
      <c r="X371" s="79"/>
      <c r="Y371" s="11" t="str">
        <f ca="1">IF(ISBLANK(BudgetsTable[[#This Row],[budg_seq_yr]]),"FY"&amp;fiscalyear,"FY"&amp;fiscalyear-1+BudgetsTable[[#This Row],[budg_seq_yr]])</f>
        <v>FY18</v>
      </c>
      <c r="Z371" s="80">
        <v>645322</v>
      </c>
      <c r="AA371" s="79" t="s">
        <v>477</v>
      </c>
      <c r="AB371" s="79" t="s">
        <v>582</v>
      </c>
      <c r="AC371" s="77" t="s">
        <v>94</v>
      </c>
      <c r="AD371" s="79" t="s">
        <v>1704</v>
      </c>
    </row>
    <row r="372" spans="1:30" x14ac:dyDescent="0.4">
      <c r="A372" s="10" t="s">
        <v>1334</v>
      </c>
      <c r="B372" s="77" t="s">
        <v>491</v>
      </c>
      <c r="C372" s="77">
        <f>C371+(BudgetsTable[[#This Row],[lead]]&lt;&gt;K371)</f>
        <v>77</v>
      </c>
      <c r="D372" s="77">
        <f>D371*(BudgetsTable[[#This Row],[lead]]=K371)+(BudgetsTable[[#This Row],[prop_id]]&lt;&gt;A371)</f>
        <v>1</v>
      </c>
      <c r="E372" s="78">
        <v>43005.413194444445</v>
      </c>
      <c r="F372" s="79" t="s">
        <v>524</v>
      </c>
      <c r="G372" s="79" t="s">
        <v>477</v>
      </c>
      <c r="H372" s="79" t="s">
        <v>582</v>
      </c>
      <c r="I372" s="77" t="s">
        <v>654</v>
      </c>
      <c r="J372" s="77" t="s">
        <v>13</v>
      </c>
      <c r="K372" s="79" t="s">
        <v>1334</v>
      </c>
      <c r="L372" s="7" t="str">
        <f>IF(BudgetsTable[[#This Row],[pi_last_name]]=" ","",HYPERLINK("https://www.ejacket.nsf.gov/ej/showProposal.do?Continue=Y&amp;ID="&amp;BudgetsTable[[#This Row],[prop_id]],BudgetsTable[[#This Row],[prop_id]]))</f>
        <v/>
      </c>
      <c r="M372" s="15" t="str">
        <f>IF(BudgetsTable[[#This Row],[pi_last_name]]=" ","",HYPERLINK("https://www.ejacket.nsf.gov/ej/processReviewAnalysis.do?dispatch=add&amp;uniqId="&amp;BudgetsTable[[#This Row],[prop_id]]&amp;PO_id,"&gt;ra"))</f>
        <v/>
      </c>
      <c r="N372" s="79" t="s">
        <v>13</v>
      </c>
      <c r="O372" s="7" t="str">
        <f>IF(BudgetsTable[[#This Row],[pi_last_name]]=" ","",HYPERLINK("mailto:"&amp;BudgetsTable[[#This Row],[pi_email]]&amp;"&amp;subject=Your NSF Proposal:  "&amp;BudgetsTable[[#This Row],[prop_id]],BudgetsTable[[#This Row],[pi_email]]))</f>
        <v/>
      </c>
      <c r="P372" s="79" t="s">
        <v>13</v>
      </c>
      <c r="Q372" s="79">
        <v>1</v>
      </c>
      <c r="R372" s="79">
        <v>1</v>
      </c>
      <c r="S372" s="80">
        <v>0</v>
      </c>
      <c r="T372" s="80">
        <v>5000</v>
      </c>
      <c r="U372" s="80">
        <v>0</v>
      </c>
      <c r="V372" s="81">
        <v>188564</v>
      </c>
      <c r="W372" s="79">
        <v>0</v>
      </c>
      <c r="X372" s="79">
        <v>1</v>
      </c>
      <c r="Y372" s="11" t="str">
        <f ca="1">IF(ISBLANK(BudgetsTable[[#This Row],[budg_seq_yr]]),"FY"&amp;fiscalyear,"FY"&amp;fiscalyear-1+BudgetsTable[[#This Row],[budg_seq_yr]])</f>
        <v>FY18</v>
      </c>
      <c r="Z372" s="80">
        <v>188564</v>
      </c>
      <c r="AA372" s="79" t="s">
        <v>477</v>
      </c>
      <c r="AB372" s="79" t="s">
        <v>582</v>
      </c>
      <c r="AC372" s="77" t="s">
        <v>94</v>
      </c>
      <c r="AD372" s="79" t="s">
        <v>1704</v>
      </c>
    </row>
    <row r="373" spans="1:30" x14ac:dyDescent="0.4">
      <c r="A373" s="10" t="s">
        <v>1334</v>
      </c>
      <c r="B373" s="77" t="s">
        <v>491</v>
      </c>
      <c r="C373" s="77">
        <f>C372+(BudgetsTable[[#This Row],[lead]]&lt;&gt;K372)</f>
        <v>77</v>
      </c>
      <c r="D373" s="77">
        <f>D372*(BudgetsTable[[#This Row],[lead]]=K372)+(BudgetsTable[[#This Row],[prop_id]]&lt;&gt;A372)</f>
        <v>1</v>
      </c>
      <c r="E373" s="78">
        <v>43005.413194444445</v>
      </c>
      <c r="F373" s="79" t="s">
        <v>524</v>
      </c>
      <c r="G373" s="79" t="s">
        <v>477</v>
      </c>
      <c r="H373" s="79" t="s">
        <v>582</v>
      </c>
      <c r="I373" s="77" t="s">
        <v>654</v>
      </c>
      <c r="J373" s="77" t="s">
        <v>13</v>
      </c>
      <c r="K373" s="79" t="s">
        <v>1334</v>
      </c>
      <c r="L373" s="7" t="str">
        <f>IF(BudgetsTable[[#This Row],[pi_last_name]]=" ","",HYPERLINK("https://www.ejacket.nsf.gov/ej/showProposal.do?Continue=Y&amp;ID="&amp;BudgetsTable[[#This Row],[prop_id]],BudgetsTable[[#This Row],[prop_id]]))</f>
        <v/>
      </c>
      <c r="M373" s="15" t="str">
        <f>IF(BudgetsTable[[#This Row],[pi_last_name]]=" ","",HYPERLINK("https://www.ejacket.nsf.gov/ej/processReviewAnalysis.do?dispatch=add&amp;uniqId="&amp;BudgetsTable[[#This Row],[prop_id]]&amp;PO_id,"&gt;ra"))</f>
        <v/>
      </c>
      <c r="N373" s="79" t="s">
        <v>13</v>
      </c>
      <c r="O373" s="7" t="str">
        <f>IF(BudgetsTable[[#This Row],[pi_last_name]]=" ","",HYPERLINK("mailto:"&amp;BudgetsTable[[#This Row],[pi_email]]&amp;"&amp;subject=Your NSF Proposal:  "&amp;BudgetsTable[[#This Row],[prop_id]],BudgetsTable[[#This Row],[pi_email]]))</f>
        <v/>
      </c>
      <c r="P373" s="79" t="s">
        <v>13</v>
      </c>
      <c r="Q373" s="79">
        <v>1</v>
      </c>
      <c r="R373" s="79">
        <v>2</v>
      </c>
      <c r="S373" s="80">
        <v>0</v>
      </c>
      <c r="T373" s="80">
        <v>5000</v>
      </c>
      <c r="U373" s="80">
        <v>27000</v>
      </c>
      <c r="V373" s="81">
        <v>172828</v>
      </c>
      <c r="W373" s="79">
        <v>0</v>
      </c>
      <c r="X373" s="79">
        <v>2</v>
      </c>
      <c r="Y373" s="11" t="str">
        <f ca="1">IF(ISBLANK(BudgetsTable[[#This Row],[budg_seq_yr]]),"FY"&amp;fiscalyear,"FY"&amp;fiscalyear-1+BudgetsTable[[#This Row],[budg_seq_yr]])</f>
        <v>FY19</v>
      </c>
      <c r="Z373" s="80">
        <v>172828</v>
      </c>
      <c r="AA373" s="79" t="s">
        <v>477</v>
      </c>
      <c r="AB373" s="79" t="s">
        <v>582</v>
      </c>
      <c r="AC373" s="77" t="s">
        <v>94</v>
      </c>
      <c r="AD373" s="79" t="s">
        <v>1704</v>
      </c>
    </row>
    <row r="374" spans="1:30" x14ac:dyDescent="0.4">
      <c r="A374" s="10" t="s">
        <v>1334</v>
      </c>
      <c r="B374" s="77" t="s">
        <v>491</v>
      </c>
      <c r="C374" s="77">
        <f>C373+(BudgetsTable[[#This Row],[lead]]&lt;&gt;K373)</f>
        <v>77</v>
      </c>
      <c r="D374" s="77">
        <f>D373*(BudgetsTable[[#This Row],[lead]]=K373)+(BudgetsTable[[#This Row],[prop_id]]&lt;&gt;A373)</f>
        <v>1</v>
      </c>
      <c r="E374" s="78">
        <v>43005.413194444445</v>
      </c>
      <c r="F374" s="79" t="s">
        <v>524</v>
      </c>
      <c r="G374" s="79" t="s">
        <v>477</v>
      </c>
      <c r="H374" s="79" t="s">
        <v>582</v>
      </c>
      <c r="I374" s="77" t="s">
        <v>654</v>
      </c>
      <c r="J374" s="77" t="s">
        <v>13</v>
      </c>
      <c r="K374" s="79" t="s">
        <v>1334</v>
      </c>
      <c r="L374" s="7" t="str">
        <f>IF(BudgetsTable[[#This Row],[pi_last_name]]=" ","",HYPERLINK("https://www.ejacket.nsf.gov/ej/showProposal.do?Continue=Y&amp;ID="&amp;BudgetsTable[[#This Row],[prop_id]],BudgetsTable[[#This Row],[prop_id]]))</f>
        <v/>
      </c>
      <c r="M374" s="15" t="str">
        <f>IF(BudgetsTable[[#This Row],[pi_last_name]]=" ","",HYPERLINK("https://www.ejacket.nsf.gov/ej/processReviewAnalysis.do?dispatch=add&amp;uniqId="&amp;BudgetsTable[[#This Row],[prop_id]]&amp;PO_id,"&gt;ra"))</f>
        <v/>
      </c>
      <c r="N374" s="79" t="s">
        <v>13</v>
      </c>
      <c r="O374" s="7" t="str">
        <f>IF(BudgetsTable[[#This Row],[pi_last_name]]=" ","",HYPERLINK("mailto:"&amp;BudgetsTable[[#This Row],[pi_email]]&amp;"&amp;subject=Your NSF Proposal:  "&amp;BudgetsTable[[#This Row],[prop_id]],BudgetsTable[[#This Row],[pi_email]]))</f>
        <v/>
      </c>
      <c r="P374" s="79" t="s">
        <v>13</v>
      </c>
      <c r="Q374" s="79">
        <v>1</v>
      </c>
      <c r="R374" s="79">
        <v>2</v>
      </c>
      <c r="S374" s="80">
        <v>0</v>
      </c>
      <c r="T374" s="80">
        <v>5000</v>
      </c>
      <c r="U374" s="80">
        <v>0</v>
      </c>
      <c r="V374" s="81">
        <v>140393</v>
      </c>
      <c r="W374" s="79">
        <v>0</v>
      </c>
      <c r="X374" s="79">
        <v>3</v>
      </c>
      <c r="Y374" s="11" t="str">
        <f ca="1">IF(ISBLANK(BudgetsTable[[#This Row],[budg_seq_yr]]),"FY"&amp;fiscalyear,"FY"&amp;fiscalyear-1+BudgetsTable[[#This Row],[budg_seq_yr]])</f>
        <v>FY20</v>
      </c>
      <c r="Z374" s="80">
        <v>140393</v>
      </c>
      <c r="AA374" s="79" t="s">
        <v>477</v>
      </c>
      <c r="AB374" s="79" t="s">
        <v>582</v>
      </c>
      <c r="AC374" s="77" t="s">
        <v>94</v>
      </c>
      <c r="AD374" s="79" t="s">
        <v>1704</v>
      </c>
    </row>
    <row r="375" spans="1:30" x14ac:dyDescent="0.4">
      <c r="A375" s="10" t="s">
        <v>1334</v>
      </c>
      <c r="B375" s="77" t="s">
        <v>491</v>
      </c>
      <c r="C375" s="77">
        <f>C374+(BudgetsTable[[#This Row],[lead]]&lt;&gt;K374)</f>
        <v>77</v>
      </c>
      <c r="D375" s="77">
        <f>D374*(BudgetsTable[[#This Row],[lead]]=K374)+(BudgetsTable[[#This Row],[prop_id]]&lt;&gt;A374)</f>
        <v>1</v>
      </c>
      <c r="E375" s="78">
        <v>43005.413194444445</v>
      </c>
      <c r="F375" s="79" t="s">
        <v>524</v>
      </c>
      <c r="G375" s="79" t="s">
        <v>477</v>
      </c>
      <c r="H375" s="79" t="s">
        <v>582</v>
      </c>
      <c r="I375" s="77" t="s">
        <v>654</v>
      </c>
      <c r="J375" s="77" t="s">
        <v>13</v>
      </c>
      <c r="K375" s="79" t="s">
        <v>1334</v>
      </c>
      <c r="L375" s="7" t="str">
        <f>IF(BudgetsTable[[#This Row],[pi_last_name]]=" ","",HYPERLINK("https://www.ejacket.nsf.gov/ej/showProposal.do?Continue=Y&amp;ID="&amp;BudgetsTable[[#This Row],[prop_id]],BudgetsTable[[#This Row],[prop_id]]))</f>
        <v/>
      </c>
      <c r="M375" s="15" t="str">
        <f>IF(BudgetsTable[[#This Row],[pi_last_name]]=" ","",HYPERLINK("https://www.ejacket.nsf.gov/ej/processReviewAnalysis.do?dispatch=add&amp;uniqId="&amp;BudgetsTable[[#This Row],[prop_id]]&amp;PO_id,"&gt;ra"))</f>
        <v/>
      </c>
      <c r="N375" s="79" t="s">
        <v>13</v>
      </c>
      <c r="O375" s="7" t="str">
        <f>IF(BudgetsTable[[#This Row],[pi_last_name]]=" ","",HYPERLINK("mailto:"&amp;BudgetsTable[[#This Row],[pi_email]]&amp;"&amp;subject=Your NSF Proposal:  "&amp;BudgetsTable[[#This Row],[prop_id]],BudgetsTable[[#This Row],[pi_email]]))</f>
        <v/>
      </c>
      <c r="P375" s="79" t="s">
        <v>13</v>
      </c>
      <c r="Q375" s="79">
        <v>1</v>
      </c>
      <c r="R375" s="79">
        <v>2</v>
      </c>
      <c r="S375" s="80">
        <v>0</v>
      </c>
      <c r="T375" s="80">
        <v>5000</v>
      </c>
      <c r="U375" s="80">
        <v>0</v>
      </c>
      <c r="V375" s="81">
        <v>143537</v>
      </c>
      <c r="W375" s="79">
        <v>0</v>
      </c>
      <c r="X375" s="79">
        <v>4</v>
      </c>
      <c r="Y375" s="11" t="str">
        <f ca="1">IF(ISBLANK(BudgetsTable[[#This Row],[budg_seq_yr]]),"FY"&amp;fiscalyear,"FY"&amp;fiscalyear-1+BudgetsTable[[#This Row],[budg_seq_yr]])</f>
        <v>FY21</v>
      </c>
      <c r="Z375" s="80">
        <v>143537</v>
      </c>
      <c r="AA375" s="79" t="s">
        <v>477</v>
      </c>
      <c r="AB375" s="79" t="s">
        <v>582</v>
      </c>
      <c r="AC375" s="77" t="s">
        <v>94</v>
      </c>
      <c r="AD375" s="79" t="s">
        <v>1704</v>
      </c>
    </row>
    <row r="376" spans="1:30" x14ac:dyDescent="0.4">
      <c r="A376" s="10" t="s">
        <v>1760</v>
      </c>
      <c r="B376" s="77" t="s">
        <v>493</v>
      </c>
      <c r="C376" s="77">
        <f>C375+(BudgetsTable[[#This Row],[lead]]&lt;&gt;K375)</f>
        <v>77</v>
      </c>
      <c r="D376" s="77">
        <f>D375*(BudgetsTable[[#This Row],[lead]]=K375)+(BudgetsTable[[#This Row],[prop_id]]&lt;&gt;A375)</f>
        <v>2</v>
      </c>
      <c r="E376" s="78">
        <v>43004.498611111114</v>
      </c>
      <c r="F376" s="79" t="s">
        <v>524</v>
      </c>
      <c r="G376" s="79" t="s">
        <v>477</v>
      </c>
      <c r="H376" s="79" t="s">
        <v>582</v>
      </c>
      <c r="I376" s="77" t="s">
        <v>654</v>
      </c>
      <c r="J376" s="77" t="s">
        <v>1763</v>
      </c>
      <c r="K376" s="79" t="s">
        <v>1334</v>
      </c>
      <c r="L376" s="7" t="str">
        <f>IF(BudgetsTable[[#This Row],[pi_last_name]]=" ","",HYPERLINK("https://www.ejacket.nsf.gov/ej/showProposal.do?Continue=Y&amp;ID="&amp;BudgetsTable[[#This Row],[prop_id]],BudgetsTable[[#This Row],[prop_id]]))</f>
        <v>1763315</v>
      </c>
      <c r="M376" s="15" t="e">
        <f>IF(BudgetsTable[[#This Row],[pi_last_name]]=" ","",HYPERLINK("https://www.ejacket.nsf.gov/ej/processReviewAnalysis.do?dispatch=add&amp;uniqId="&amp;BudgetsTable[[#This Row],[prop_id]]&amp;PO_id,"&gt;ra"))</f>
        <v>#REF!</v>
      </c>
      <c r="N376" s="79" t="s">
        <v>1761</v>
      </c>
      <c r="O376" s="7" t="str">
        <f>IF(BudgetsTable[[#This Row],[pi_last_name]]=" ","",HYPERLINK("mailto:"&amp;BudgetsTable[[#This Row],[pi_email]]&amp;"&amp;subject=Your NSF Proposal:  "&amp;BudgetsTable[[#This Row],[prop_id]],BudgetsTable[[#This Row],[pi_email]]))</f>
        <v>chrismre@cs.stanford.edu</v>
      </c>
      <c r="P376" s="79" t="s">
        <v>1465</v>
      </c>
      <c r="Q376" s="79"/>
      <c r="R376" s="79"/>
      <c r="S376" s="80"/>
      <c r="T376" s="80"/>
      <c r="U376" s="80"/>
      <c r="V376" s="81"/>
      <c r="W376" s="79">
        <v>0</v>
      </c>
      <c r="X376" s="79"/>
      <c r="Y376" s="11" t="str">
        <f ca="1">IF(ISBLANK(BudgetsTable[[#This Row],[budg_seq_yr]]),"FY"&amp;fiscalyear,"FY"&amp;fiscalyear-1+BudgetsTable[[#This Row],[budg_seq_yr]])</f>
        <v>FY18</v>
      </c>
      <c r="Z376" s="80">
        <v>552118</v>
      </c>
      <c r="AA376" s="79" t="s">
        <v>477</v>
      </c>
      <c r="AB376" s="79" t="s">
        <v>582</v>
      </c>
      <c r="AC376" s="77" t="s">
        <v>94</v>
      </c>
      <c r="AD376" s="79" t="s">
        <v>1704</v>
      </c>
    </row>
    <row r="377" spans="1:30" x14ac:dyDescent="0.4">
      <c r="A377" s="10" t="s">
        <v>1760</v>
      </c>
      <c r="B377" s="77" t="s">
        <v>493</v>
      </c>
      <c r="C377" s="77">
        <f>C376+(BudgetsTable[[#This Row],[lead]]&lt;&gt;K376)</f>
        <v>77</v>
      </c>
      <c r="D377" s="77">
        <f>D376*(BudgetsTable[[#This Row],[lead]]=K376)+(BudgetsTable[[#This Row],[prop_id]]&lt;&gt;A376)</f>
        <v>2</v>
      </c>
      <c r="E377" s="78">
        <v>43004.498611111114</v>
      </c>
      <c r="F377" s="79" t="s">
        <v>524</v>
      </c>
      <c r="G377" s="79" t="s">
        <v>477</v>
      </c>
      <c r="H377" s="79" t="s">
        <v>582</v>
      </c>
      <c r="I377" s="77" t="s">
        <v>654</v>
      </c>
      <c r="J377" s="77" t="s">
        <v>13</v>
      </c>
      <c r="K377" s="79" t="s">
        <v>1334</v>
      </c>
      <c r="L377" s="7" t="str">
        <f>IF(BudgetsTable[[#This Row],[pi_last_name]]=" ","",HYPERLINK("https://www.ejacket.nsf.gov/ej/showProposal.do?Continue=Y&amp;ID="&amp;BudgetsTable[[#This Row],[prop_id]],BudgetsTable[[#This Row],[prop_id]]))</f>
        <v/>
      </c>
      <c r="M377" s="15" t="str">
        <f>IF(BudgetsTable[[#This Row],[pi_last_name]]=" ","",HYPERLINK("https://www.ejacket.nsf.gov/ej/processReviewAnalysis.do?dispatch=add&amp;uniqId="&amp;BudgetsTable[[#This Row],[prop_id]]&amp;PO_id,"&gt;ra"))</f>
        <v/>
      </c>
      <c r="N377" s="79" t="s">
        <v>13</v>
      </c>
      <c r="O377" s="7" t="str">
        <f>IF(BudgetsTable[[#This Row],[pi_last_name]]=" ","",HYPERLINK("mailto:"&amp;BudgetsTable[[#This Row],[pi_email]]&amp;"&amp;subject=Your NSF Proposal:  "&amp;BudgetsTable[[#This Row],[prop_id]],BudgetsTable[[#This Row],[pi_email]]))</f>
        <v/>
      </c>
      <c r="P377" s="79" t="s">
        <v>13</v>
      </c>
      <c r="Q377" s="79">
        <v>1</v>
      </c>
      <c r="R377" s="79">
        <v>0.21</v>
      </c>
      <c r="S377" s="80">
        <v>0</v>
      </c>
      <c r="T377" s="80">
        <v>0</v>
      </c>
      <c r="U377" s="80">
        <v>0</v>
      </c>
      <c r="V377" s="81">
        <v>134482</v>
      </c>
      <c r="W377" s="79">
        <v>0</v>
      </c>
      <c r="X377" s="79">
        <v>1</v>
      </c>
      <c r="Y377" s="11" t="str">
        <f ca="1">IF(ISBLANK(BudgetsTable[[#This Row],[budg_seq_yr]]),"FY"&amp;fiscalyear,"FY"&amp;fiscalyear-1+BudgetsTable[[#This Row],[budg_seq_yr]])</f>
        <v>FY18</v>
      </c>
      <c r="Z377" s="80">
        <v>134482</v>
      </c>
      <c r="AA377" s="79" t="s">
        <v>477</v>
      </c>
      <c r="AB377" s="79" t="s">
        <v>582</v>
      </c>
      <c r="AC377" s="77" t="s">
        <v>94</v>
      </c>
      <c r="AD377" s="79" t="s">
        <v>1704</v>
      </c>
    </row>
    <row r="378" spans="1:30" x14ac:dyDescent="0.4">
      <c r="A378" s="10" t="s">
        <v>1760</v>
      </c>
      <c r="B378" s="77" t="s">
        <v>493</v>
      </c>
      <c r="C378" s="77">
        <f>C377+(BudgetsTable[[#This Row],[lead]]&lt;&gt;K377)</f>
        <v>77</v>
      </c>
      <c r="D378" s="77">
        <f>D377*(BudgetsTable[[#This Row],[lead]]=K377)+(BudgetsTable[[#This Row],[prop_id]]&lt;&gt;A377)</f>
        <v>2</v>
      </c>
      <c r="E378" s="78">
        <v>43004.498611111114</v>
      </c>
      <c r="F378" s="79" t="s">
        <v>524</v>
      </c>
      <c r="G378" s="79" t="s">
        <v>477</v>
      </c>
      <c r="H378" s="79" t="s">
        <v>582</v>
      </c>
      <c r="I378" s="77" t="s">
        <v>654</v>
      </c>
      <c r="J378" s="77" t="s">
        <v>13</v>
      </c>
      <c r="K378" s="79" t="s">
        <v>1334</v>
      </c>
      <c r="L378" s="7" t="str">
        <f>IF(BudgetsTable[[#This Row],[pi_last_name]]=" ","",HYPERLINK("https://www.ejacket.nsf.gov/ej/showProposal.do?Continue=Y&amp;ID="&amp;BudgetsTable[[#This Row],[prop_id]],BudgetsTable[[#This Row],[prop_id]]))</f>
        <v/>
      </c>
      <c r="M378" s="15" t="str">
        <f>IF(BudgetsTable[[#This Row],[pi_last_name]]=" ","",HYPERLINK("https://www.ejacket.nsf.gov/ej/processReviewAnalysis.do?dispatch=add&amp;uniqId="&amp;BudgetsTable[[#This Row],[prop_id]]&amp;PO_id,"&gt;ra"))</f>
        <v/>
      </c>
      <c r="N378" s="79" t="s">
        <v>13</v>
      </c>
      <c r="O378" s="7" t="str">
        <f>IF(BudgetsTable[[#This Row],[pi_last_name]]=" ","",HYPERLINK("mailto:"&amp;BudgetsTable[[#This Row],[pi_email]]&amp;"&amp;subject=Your NSF Proposal:  "&amp;BudgetsTable[[#This Row],[prop_id]],BudgetsTable[[#This Row],[pi_email]]))</f>
        <v/>
      </c>
      <c r="P378" s="79" t="s">
        <v>13</v>
      </c>
      <c r="Q378" s="79">
        <v>1</v>
      </c>
      <c r="R378" s="79">
        <v>0.21</v>
      </c>
      <c r="S378" s="80">
        <v>0</v>
      </c>
      <c r="T378" s="80">
        <v>0</v>
      </c>
      <c r="U378" s="80">
        <v>0</v>
      </c>
      <c r="V378" s="81">
        <v>135352</v>
      </c>
      <c r="W378" s="79">
        <v>0</v>
      </c>
      <c r="X378" s="79">
        <v>2</v>
      </c>
      <c r="Y378" s="11" t="str">
        <f ca="1">IF(ISBLANK(BudgetsTable[[#This Row],[budg_seq_yr]]),"FY"&amp;fiscalyear,"FY"&amp;fiscalyear-1+BudgetsTable[[#This Row],[budg_seq_yr]])</f>
        <v>FY19</v>
      </c>
      <c r="Z378" s="80">
        <v>135352</v>
      </c>
      <c r="AA378" s="79" t="s">
        <v>477</v>
      </c>
      <c r="AB378" s="79" t="s">
        <v>582</v>
      </c>
      <c r="AC378" s="77" t="s">
        <v>94</v>
      </c>
      <c r="AD378" s="79" t="s">
        <v>1704</v>
      </c>
    </row>
    <row r="379" spans="1:30" x14ac:dyDescent="0.4">
      <c r="A379" s="10" t="s">
        <v>1760</v>
      </c>
      <c r="B379" s="77" t="s">
        <v>493</v>
      </c>
      <c r="C379" s="77">
        <f>C378+(BudgetsTable[[#This Row],[lead]]&lt;&gt;K378)</f>
        <v>77</v>
      </c>
      <c r="D379" s="77">
        <f>D378*(BudgetsTable[[#This Row],[lead]]=K378)+(BudgetsTable[[#This Row],[prop_id]]&lt;&gt;A378)</f>
        <v>2</v>
      </c>
      <c r="E379" s="78">
        <v>43004.498611111114</v>
      </c>
      <c r="F379" s="79" t="s">
        <v>524</v>
      </c>
      <c r="G379" s="79" t="s">
        <v>477</v>
      </c>
      <c r="H379" s="79" t="s">
        <v>582</v>
      </c>
      <c r="I379" s="77" t="s">
        <v>654</v>
      </c>
      <c r="J379" s="77" t="s">
        <v>13</v>
      </c>
      <c r="K379" s="79" t="s">
        <v>1334</v>
      </c>
      <c r="L379" s="7" t="str">
        <f>IF(BudgetsTable[[#This Row],[pi_last_name]]=" ","",HYPERLINK("https://www.ejacket.nsf.gov/ej/showProposal.do?Continue=Y&amp;ID="&amp;BudgetsTable[[#This Row],[prop_id]],BudgetsTable[[#This Row],[prop_id]]))</f>
        <v/>
      </c>
      <c r="M379" s="15" t="str">
        <f>IF(BudgetsTable[[#This Row],[pi_last_name]]=" ","",HYPERLINK("https://www.ejacket.nsf.gov/ej/processReviewAnalysis.do?dispatch=add&amp;uniqId="&amp;BudgetsTable[[#This Row],[prop_id]]&amp;PO_id,"&gt;ra"))</f>
        <v/>
      </c>
      <c r="N379" s="79" t="s">
        <v>13</v>
      </c>
      <c r="O379" s="7" t="str">
        <f>IF(BudgetsTable[[#This Row],[pi_last_name]]=" ","",HYPERLINK("mailto:"&amp;BudgetsTable[[#This Row],[pi_email]]&amp;"&amp;subject=Your NSF Proposal:  "&amp;BudgetsTable[[#This Row],[prop_id]],BudgetsTable[[#This Row],[pi_email]]))</f>
        <v/>
      </c>
      <c r="P379" s="79" t="s">
        <v>13</v>
      </c>
      <c r="Q379" s="79">
        <v>1</v>
      </c>
      <c r="R379" s="79">
        <v>0.21</v>
      </c>
      <c r="S379" s="80">
        <v>0</v>
      </c>
      <c r="T379" s="80">
        <v>0</v>
      </c>
      <c r="U379" s="80">
        <v>0</v>
      </c>
      <c r="V379" s="81">
        <v>139173</v>
      </c>
      <c r="W379" s="79">
        <v>0</v>
      </c>
      <c r="X379" s="79">
        <v>3</v>
      </c>
      <c r="Y379" s="11" t="str">
        <f ca="1">IF(ISBLANK(BudgetsTable[[#This Row],[budg_seq_yr]]),"FY"&amp;fiscalyear,"FY"&amp;fiscalyear-1+BudgetsTable[[#This Row],[budg_seq_yr]])</f>
        <v>FY20</v>
      </c>
      <c r="Z379" s="80">
        <v>139173</v>
      </c>
      <c r="AA379" s="79" t="s">
        <v>477</v>
      </c>
      <c r="AB379" s="79" t="s">
        <v>582</v>
      </c>
      <c r="AC379" s="77" t="s">
        <v>94</v>
      </c>
      <c r="AD379" s="79" t="s">
        <v>1704</v>
      </c>
    </row>
    <row r="380" spans="1:30" x14ac:dyDescent="0.4">
      <c r="A380" s="10" t="s">
        <v>1760</v>
      </c>
      <c r="B380" s="77" t="s">
        <v>493</v>
      </c>
      <c r="C380" s="77">
        <f>C379+(BudgetsTable[[#This Row],[lead]]&lt;&gt;K379)</f>
        <v>77</v>
      </c>
      <c r="D380" s="77">
        <f>D379*(BudgetsTable[[#This Row],[lead]]=K379)+(BudgetsTable[[#This Row],[prop_id]]&lt;&gt;A379)</f>
        <v>2</v>
      </c>
      <c r="E380" s="78">
        <v>43004.498611111114</v>
      </c>
      <c r="F380" s="79" t="s">
        <v>524</v>
      </c>
      <c r="G380" s="79" t="s">
        <v>477</v>
      </c>
      <c r="H380" s="79" t="s">
        <v>582</v>
      </c>
      <c r="I380" s="77" t="s">
        <v>654</v>
      </c>
      <c r="J380" s="77" t="s">
        <v>13</v>
      </c>
      <c r="K380" s="79" t="s">
        <v>1334</v>
      </c>
      <c r="L380" s="7" t="str">
        <f>IF(BudgetsTable[[#This Row],[pi_last_name]]=" ","",HYPERLINK("https://www.ejacket.nsf.gov/ej/showProposal.do?Continue=Y&amp;ID="&amp;BudgetsTable[[#This Row],[prop_id]],BudgetsTable[[#This Row],[prop_id]]))</f>
        <v/>
      </c>
      <c r="M380" s="15" t="str">
        <f>IF(BudgetsTable[[#This Row],[pi_last_name]]=" ","",HYPERLINK("https://www.ejacket.nsf.gov/ej/processReviewAnalysis.do?dispatch=add&amp;uniqId="&amp;BudgetsTable[[#This Row],[prop_id]]&amp;PO_id,"&gt;ra"))</f>
        <v/>
      </c>
      <c r="N380" s="79" t="s">
        <v>13</v>
      </c>
      <c r="O380" s="7" t="str">
        <f>IF(BudgetsTable[[#This Row],[pi_last_name]]=" ","",HYPERLINK("mailto:"&amp;BudgetsTable[[#This Row],[pi_email]]&amp;"&amp;subject=Your NSF Proposal:  "&amp;BudgetsTable[[#This Row],[prop_id]],BudgetsTable[[#This Row],[pi_email]]))</f>
        <v/>
      </c>
      <c r="P380" s="79" t="s">
        <v>13</v>
      </c>
      <c r="Q380" s="79">
        <v>1</v>
      </c>
      <c r="R380" s="79">
        <v>0.21</v>
      </c>
      <c r="S380" s="80">
        <v>0</v>
      </c>
      <c r="T380" s="80">
        <v>0</v>
      </c>
      <c r="U380" s="80">
        <v>0</v>
      </c>
      <c r="V380" s="81">
        <v>143111</v>
      </c>
      <c r="W380" s="79">
        <v>0</v>
      </c>
      <c r="X380" s="79">
        <v>4</v>
      </c>
      <c r="Y380" s="11" t="str">
        <f ca="1">IF(ISBLANK(BudgetsTable[[#This Row],[budg_seq_yr]]),"FY"&amp;fiscalyear,"FY"&amp;fiscalyear-1+BudgetsTable[[#This Row],[budg_seq_yr]])</f>
        <v>FY21</v>
      </c>
      <c r="Z380" s="80">
        <v>143111</v>
      </c>
      <c r="AA380" s="79" t="s">
        <v>477</v>
      </c>
      <c r="AB380" s="79" t="s">
        <v>582</v>
      </c>
      <c r="AC380" s="77" t="s">
        <v>94</v>
      </c>
      <c r="AD380" s="79" t="s">
        <v>1704</v>
      </c>
    </row>
    <row r="381" spans="1:30" x14ac:dyDescent="0.4">
      <c r="A381" s="10" t="s">
        <v>1343</v>
      </c>
      <c r="B381" s="77" t="s">
        <v>491</v>
      </c>
      <c r="C381" s="77">
        <f>C380+(BudgetsTable[[#This Row],[lead]]&lt;&gt;K380)</f>
        <v>78</v>
      </c>
      <c r="D381" s="77">
        <f>D380*(BudgetsTable[[#This Row],[lead]]=K380)+(BudgetsTable[[#This Row],[prop_id]]&lt;&gt;A380)</f>
        <v>1</v>
      </c>
      <c r="E381" s="78">
        <v>43005.479861111111</v>
      </c>
      <c r="F381" s="79" t="s">
        <v>524</v>
      </c>
      <c r="G381" s="79" t="s">
        <v>477</v>
      </c>
      <c r="H381" s="79" t="s">
        <v>582</v>
      </c>
      <c r="I381" s="77" t="s">
        <v>654</v>
      </c>
      <c r="J381" s="77" t="s">
        <v>1569</v>
      </c>
      <c r="K381" s="79" t="s">
        <v>1343</v>
      </c>
      <c r="L381" s="7" t="str">
        <f>IF(BudgetsTable[[#This Row],[pi_last_name]]=" ","",HYPERLINK("https://www.ejacket.nsf.gov/ej/showProposal.do?Continue=Y&amp;ID="&amp;BudgetsTable[[#This Row],[prop_id]],BudgetsTable[[#This Row],[prop_id]]))</f>
        <v>1763557</v>
      </c>
      <c r="M381" s="15" t="e">
        <f>IF(BudgetsTable[[#This Row],[pi_last_name]]=" ","",HYPERLINK("https://www.ejacket.nsf.gov/ej/processReviewAnalysis.do?dispatch=add&amp;uniqId="&amp;BudgetsTable[[#This Row],[prop_id]]&amp;PO_id,"&gt;ra"))</f>
        <v>#REF!</v>
      </c>
      <c r="N381" s="79" t="s">
        <v>489</v>
      </c>
      <c r="O381" s="7" t="str">
        <f>IF(BudgetsTable[[#This Row],[pi_last_name]]=" ","",HYPERLINK("mailto:"&amp;BudgetsTable[[#This Row],[pi_email]]&amp;"&amp;subject=Your NSF Proposal:  "&amp;BudgetsTable[[#This Row],[prop_id]],BudgetsTable[[#This Row],[pi_email]]))</f>
        <v>hu.nguyen@neu.edu</v>
      </c>
      <c r="P381" s="79" t="s">
        <v>502</v>
      </c>
      <c r="Q381" s="79"/>
      <c r="R381" s="79"/>
      <c r="S381" s="80"/>
      <c r="T381" s="80"/>
      <c r="U381" s="80"/>
      <c r="V381" s="81"/>
      <c r="W381" s="79">
        <v>0</v>
      </c>
      <c r="X381" s="79"/>
      <c r="Y381" s="11" t="str">
        <f ca="1">IF(ISBLANK(BudgetsTable[[#This Row],[budg_seq_yr]]),"FY"&amp;fiscalyear,"FY"&amp;fiscalyear-1+BudgetsTable[[#This Row],[budg_seq_yr]])</f>
        <v>FY18</v>
      </c>
      <c r="Z381" s="80">
        <v>574949</v>
      </c>
      <c r="AA381" s="79" t="s">
        <v>477</v>
      </c>
      <c r="AB381" s="79" t="s">
        <v>582</v>
      </c>
      <c r="AC381" s="77" t="s">
        <v>94</v>
      </c>
      <c r="AD381" s="79" t="s">
        <v>1704</v>
      </c>
    </row>
    <row r="382" spans="1:30" x14ac:dyDescent="0.4">
      <c r="A382" s="10" t="s">
        <v>1343</v>
      </c>
      <c r="B382" s="77" t="s">
        <v>491</v>
      </c>
      <c r="C382" s="77">
        <f>C381+(BudgetsTable[[#This Row],[lead]]&lt;&gt;K381)</f>
        <v>78</v>
      </c>
      <c r="D382" s="77">
        <f>D381*(BudgetsTable[[#This Row],[lead]]=K381)+(BudgetsTable[[#This Row],[prop_id]]&lt;&gt;A381)</f>
        <v>1</v>
      </c>
      <c r="E382" s="78">
        <v>43005.479861111111</v>
      </c>
      <c r="F382" s="79" t="s">
        <v>524</v>
      </c>
      <c r="G382" s="79" t="s">
        <v>477</v>
      </c>
      <c r="H382" s="79" t="s">
        <v>582</v>
      </c>
      <c r="I382" s="77" t="s">
        <v>654</v>
      </c>
      <c r="J382" s="77" t="s">
        <v>13</v>
      </c>
      <c r="K382" s="79" t="s">
        <v>1343</v>
      </c>
      <c r="L382" s="7" t="str">
        <f>IF(BudgetsTable[[#This Row],[pi_last_name]]=" ","",HYPERLINK("https://www.ejacket.nsf.gov/ej/showProposal.do?Continue=Y&amp;ID="&amp;BudgetsTable[[#This Row],[prop_id]],BudgetsTable[[#This Row],[prop_id]]))</f>
        <v/>
      </c>
      <c r="M382" s="15" t="str">
        <f>IF(BudgetsTable[[#This Row],[pi_last_name]]=" ","",HYPERLINK("https://www.ejacket.nsf.gov/ej/processReviewAnalysis.do?dispatch=add&amp;uniqId="&amp;BudgetsTable[[#This Row],[prop_id]]&amp;PO_id,"&gt;ra"))</f>
        <v/>
      </c>
      <c r="N382" s="79" t="s">
        <v>13</v>
      </c>
      <c r="O382" s="7" t="str">
        <f>IF(BudgetsTable[[#This Row],[pi_last_name]]=" ","",HYPERLINK("mailto:"&amp;BudgetsTable[[#This Row],[pi_email]]&amp;"&amp;subject=Your NSF Proposal:  "&amp;BudgetsTable[[#This Row],[prop_id]],BudgetsTable[[#This Row],[pi_email]]))</f>
        <v/>
      </c>
      <c r="P382" s="79" t="s">
        <v>13</v>
      </c>
      <c r="Q382" s="79">
        <v>1</v>
      </c>
      <c r="R382" s="79">
        <v>1</v>
      </c>
      <c r="S382" s="80">
        <v>0</v>
      </c>
      <c r="T382" s="80">
        <v>3075</v>
      </c>
      <c r="U382" s="80">
        <v>0</v>
      </c>
      <c r="V382" s="81">
        <v>104840</v>
      </c>
      <c r="W382" s="79">
        <v>0</v>
      </c>
      <c r="X382" s="79">
        <v>1</v>
      </c>
      <c r="Y382" s="11" t="str">
        <f ca="1">IF(ISBLANK(BudgetsTable[[#This Row],[budg_seq_yr]]),"FY"&amp;fiscalyear,"FY"&amp;fiscalyear-1+BudgetsTable[[#This Row],[budg_seq_yr]])</f>
        <v>FY18</v>
      </c>
      <c r="Z382" s="80">
        <v>104840</v>
      </c>
      <c r="AA382" s="79" t="s">
        <v>477</v>
      </c>
      <c r="AB382" s="79" t="s">
        <v>582</v>
      </c>
      <c r="AC382" s="77" t="s">
        <v>94</v>
      </c>
      <c r="AD382" s="79" t="s">
        <v>1704</v>
      </c>
    </row>
    <row r="383" spans="1:30" x14ac:dyDescent="0.4">
      <c r="A383" s="10" t="s">
        <v>1343</v>
      </c>
      <c r="B383" s="77" t="s">
        <v>491</v>
      </c>
      <c r="C383" s="77">
        <f>C382+(BudgetsTable[[#This Row],[lead]]&lt;&gt;K382)</f>
        <v>78</v>
      </c>
      <c r="D383" s="77">
        <f>D382*(BudgetsTable[[#This Row],[lead]]=K382)+(BudgetsTable[[#This Row],[prop_id]]&lt;&gt;A382)</f>
        <v>1</v>
      </c>
      <c r="E383" s="78">
        <v>43005.479861111111</v>
      </c>
      <c r="F383" s="79" t="s">
        <v>524</v>
      </c>
      <c r="G383" s="79" t="s">
        <v>477</v>
      </c>
      <c r="H383" s="79" t="s">
        <v>582</v>
      </c>
      <c r="I383" s="77" t="s">
        <v>654</v>
      </c>
      <c r="J383" s="77" t="s">
        <v>13</v>
      </c>
      <c r="K383" s="79" t="s">
        <v>1343</v>
      </c>
      <c r="L383" s="7" t="str">
        <f>IF(BudgetsTable[[#This Row],[pi_last_name]]=" ","",HYPERLINK("https://www.ejacket.nsf.gov/ej/showProposal.do?Continue=Y&amp;ID="&amp;BudgetsTable[[#This Row],[prop_id]],BudgetsTable[[#This Row],[prop_id]]))</f>
        <v/>
      </c>
      <c r="M383" s="15" t="str">
        <f>IF(BudgetsTable[[#This Row],[pi_last_name]]=" ","",HYPERLINK("https://www.ejacket.nsf.gov/ej/processReviewAnalysis.do?dispatch=add&amp;uniqId="&amp;BudgetsTable[[#This Row],[prop_id]]&amp;PO_id,"&gt;ra"))</f>
        <v/>
      </c>
      <c r="N383" s="79" t="s">
        <v>13</v>
      </c>
      <c r="O383" s="7" t="str">
        <f>IF(BudgetsTable[[#This Row],[pi_last_name]]=" ","",HYPERLINK("mailto:"&amp;BudgetsTable[[#This Row],[pi_email]]&amp;"&amp;subject=Your NSF Proposal:  "&amp;BudgetsTable[[#This Row],[prop_id]],BudgetsTable[[#This Row],[pi_email]]))</f>
        <v/>
      </c>
      <c r="P383" s="79" t="s">
        <v>13</v>
      </c>
      <c r="Q383" s="79">
        <v>1</v>
      </c>
      <c r="R383" s="79">
        <v>1</v>
      </c>
      <c r="S383" s="80">
        <v>71475</v>
      </c>
      <c r="T383" s="80">
        <v>3075</v>
      </c>
      <c r="U383" s="80">
        <v>0</v>
      </c>
      <c r="V383" s="81">
        <v>245547</v>
      </c>
      <c r="W383" s="79">
        <v>0</v>
      </c>
      <c r="X383" s="79">
        <v>2</v>
      </c>
      <c r="Y383" s="11" t="str">
        <f ca="1">IF(ISBLANK(BudgetsTable[[#This Row],[budg_seq_yr]]),"FY"&amp;fiscalyear,"FY"&amp;fiscalyear-1+BudgetsTable[[#This Row],[budg_seq_yr]])</f>
        <v>FY19</v>
      </c>
      <c r="Z383" s="80">
        <v>245547</v>
      </c>
      <c r="AA383" s="79" t="s">
        <v>477</v>
      </c>
      <c r="AB383" s="79" t="s">
        <v>582</v>
      </c>
      <c r="AC383" s="77" t="s">
        <v>94</v>
      </c>
      <c r="AD383" s="79" t="s">
        <v>1704</v>
      </c>
    </row>
    <row r="384" spans="1:30" x14ac:dyDescent="0.4">
      <c r="A384" s="10" t="s">
        <v>1343</v>
      </c>
      <c r="B384" s="77" t="s">
        <v>491</v>
      </c>
      <c r="C384" s="77">
        <f>C383+(BudgetsTable[[#This Row],[lead]]&lt;&gt;K383)</f>
        <v>78</v>
      </c>
      <c r="D384" s="77">
        <f>D383*(BudgetsTable[[#This Row],[lead]]=K383)+(BudgetsTable[[#This Row],[prop_id]]&lt;&gt;A383)</f>
        <v>1</v>
      </c>
      <c r="E384" s="78">
        <v>43005.479861111111</v>
      </c>
      <c r="F384" s="79" t="s">
        <v>524</v>
      </c>
      <c r="G384" s="79" t="s">
        <v>477</v>
      </c>
      <c r="H384" s="79" t="s">
        <v>582</v>
      </c>
      <c r="I384" s="77" t="s">
        <v>654</v>
      </c>
      <c r="J384" s="77" t="s">
        <v>13</v>
      </c>
      <c r="K384" s="79" t="s">
        <v>1343</v>
      </c>
      <c r="L384" s="7" t="str">
        <f>IF(BudgetsTable[[#This Row],[pi_last_name]]=" ","",HYPERLINK("https://www.ejacket.nsf.gov/ej/showProposal.do?Continue=Y&amp;ID="&amp;BudgetsTable[[#This Row],[prop_id]],BudgetsTable[[#This Row],[prop_id]]))</f>
        <v/>
      </c>
      <c r="M384" s="15" t="str">
        <f>IF(BudgetsTable[[#This Row],[pi_last_name]]=" ","",HYPERLINK("https://www.ejacket.nsf.gov/ej/processReviewAnalysis.do?dispatch=add&amp;uniqId="&amp;BudgetsTable[[#This Row],[prop_id]]&amp;PO_id,"&gt;ra"))</f>
        <v/>
      </c>
      <c r="N384" s="79" t="s">
        <v>13</v>
      </c>
      <c r="O384" s="7" t="str">
        <f>IF(BudgetsTable[[#This Row],[pi_last_name]]=" ","",HYPERLINK("mailto:"&amp;BudgetsTable[[#This Row],[pi_email]]&amp;"&amp;subject=Your NSF Proposal:  "&amp;BudgetsTable[[#This Row],[prop_id]],BudgetsTable[[#This Row],[pi_email]]))</f>
        <v/>
      </c>
      <c r="P384" s="79" t="s">
        <v>13</v>
      </c>
      <c r="Q384" s="79">
        <v>1</v>
      </c>
      <c r="R384" s="79">
        <v>1</v>
      </c>
      <c r="S384" s="80">
        <v>0</v>
      </c>
      <c r="T384" s="80">
        <v>3075</v>
      </c>
      <c r="U384" s="80">
        <v>0</v>
      </c>
      <c r="V384" s="81">
        <v>110740</v>
      </c>
      <c r="W384" s="79">
        <v>0</v>
      </c>
      <c r="X384" s="79">
        <v>3</v>
      </c>
      <c r="Y384" s="11" t="str">
        <f ca="1">IF(ISBLANK(BudgetsTable[[#This Row],[budg_seq_yr]]),"FY"&amp;fiscalyear,"FY"&amp;fiscalyear-1+BudgetsTable[[#This Row],[budg_seq_yr]])</f>
        <v>FY20</v>
      </c>
      <c r="Z384" s="80">
        <v>110740</v>
      </c>
      <c r="AA384" s="79" t="s">
        <v>477</v>
      </c>
      <c r="AB384" s="79" t="s">
        <v>582</v>
      </c>
      <c r="AC384" s="77" t="s">
        <v>94</v>
      </c>
      <c r="AD384" s="79" t="s">
        <v>1704</v>
      </c>
    </row>
    <row r="385" spans="1:30" x14ac:dyDescent="0.4">
      <c r="A385" s="10" t="s">
        <v>1343</v>
      </c>
      <c r="B385" s="77" t="s">
        <v>491</v>
      </c>
      <c r="C385" s="77">
        <f>C384+(BudgetsTable[[#This Row],[lead]]&lt;&gt;K384)</f>
        <v>78</v>
      </c>
      <c r="D385" s="77">
        <f>D384*(BudgetsTable[[#This Row],[lead]]=K384)+(BudgetsTable[[#This Row],[prop_id]]&lt;&gt;A384)</f>
        <v>1</v>
      </c>
      <c r="E385" s="78">
        <v>43005.479861111111</v>
      </c>
      <c r="F385" s="79" t="s">
        <v>524</v>
      </c>
      <c r="G385" s="79" t="s">
        <v>477</v>
      </c>
      <c r="H385" s="79" t="s">
        <v>582</v>
      </c>
      <c r="I385" s="77" t="s">
        <v>654</v>
      </c>
      <c r="J385" s="77" t="s">
        <v>13</v>
      </c>
      <c r="K385" s="79" t="s">
        <v>1343</v>
      </c>
      <c r="L385" s="7" t="str">
        <f>IF(BudgetsTable[[#This Row],[pi_last_name]]=" ","",HYPERLINK("https://www.ejacket.nsf.gov/ej/showProposal.do?Continue=Y&amp;ID="&amp;BudgetsTable[[#This Row],[prop_id]],BudgetsTable[[#This Row],[prop_id]]))</f>
        <v/>
      </c>
      <c r="M385" s="15" t="str">
        <f>IF(BudgetsTable[[#This Row],[pi_last_name]]=" ","",HYPERLINK("https://www.ejacket.nsf.gov/ej/processReviewAnalysis.do?dispatch=add&amp;uniqId="&amp;BudgetsTable[[#This Row],[prop_id]]&amp;PO_id,"&gt;ra"))</f>
        <v/>
      </c>
      <c r="N385" s="79" t="s">
        <v>13</v>
      </c>
      <c r="O385" s="7" t="str">
        <f>IF(BudgetsTable[[#This Row],[pi_last_name]]=" ","",HYPERLINK("mailto:"&amp;BudgetsTable[[#This Row],[pi_email]]&amp;"&amp;subject=Your NSF Proposal:  "&amp;BudgetsTable[[#This Row],[prop_id]],BudgetsTable[[#This Row],[pi_email]]))</f>
        <v/>
      </c>
      <c r="P385" s="79" t="s">
        <v>13</v>
      </c>
      <c r="Q385" s="79">
        <v>1</v>
      </c>
      <c r="R385" s="79">
        <v>1</v>
      </c>
      <c r="S385" s="80">
        <v>0</v>
      </c>
      <c r="T385" s="80">
        <v>3075</v>
      </c>
      <c r="U385" s="80">
        <v>0</v>
      </c>
      <c r="V385" s="81">
        <v>113822</v>
      </c>
      <c r="W385" s="79">
        <v>0</v>
      </c>
      <c r="X385" s="79">
        <v>4</v>
      </c>
      <c r="Y385" s="11" t="str">
        <f ca="1">IF(ISBLANK(BudgetsTable[[#This Row],[budg_seq_yr]]),"FY"&amp;fiscalyear,"FY"&amp;fiscalyear-1+BudgetsTable[[#This Row],[budg_seq_yr]])</f>
        <v>FY21</v>
      </c>
      <c r="Z385" s="80">
        <v>113822</v>
      </c>
      <c r="AA385" s="79" t="s">
        <v>477</v>
      </c>
      <c r="AB385" s="79" t="s">
        <v>582</v>
      </c>
      <c r="AC385" s="77" t="s">
        <v>94</v>
      </c>
      <c r="AD385" s="79" t="s">
        <v>1704</v>
      </c>
    </row>
    <row r="386" spans="1:30" x14ac:dyDescent="0.4">
      <c r="A386" s="10" t="s">
        <v>1765</v>
      </c>
      <c r="B386" s="77" t="s">
        <v>493</v>
      </c>
      <c r="C386" s="77">
        <f>C385+(BudgetsTable[[#This Row],[lead]]&lt;&gt;K385)</f>
        <v>78</v>
      </c>
      <c r="D386" s="77">
        <f>D385*(BudgetsTable[[#This Row],[lead]]=K385)+(BudgetsTable[[#This Row],[prop_id]]&lt;&gt;A385)</f>
        <v>2</v>
      </c>
      <c r="E386" s="78">
        <v>43005.434027777781</v>
      </c>
      <c r="F386" s="79" t="s">
        <v>524</v>
      </c>
      <c r="G386" s="79" t="s">
        <v>477</v>
      </c>
      <c r="H386" s="79" t="s">
        <v>582</v>
      </c>
      <c r="I386" s="77" t="s">
        <v>654</v>
      </c>
      <c r="J386" s="77" t="s">
        <v>1768</v>
      </c>
      <c r="K386" s="79" t="s">
        <v>1343</v>
      </c>
      <c r="L386" s="7" t="str">
        <f>IF(BudgetsTable[[#This Row],[pi_last_name]]=" ","",HYPERLINK("https://www.ejacket.nsf.gov/ej/showProposal.do?Continue=Y&amp;ID="&amp;BudgetsTable[[#This Row],[prop_id]],BudgetsTable[[#This Row],[prop_id]]))</f>
        <v>1763504</v>
      </c>
      <c r="M386" s="15" t="e">
        <f>IF(BudgetsTable[[#This Row],[pi_last_name]]=" ","",HYPERLINK("https://www.ejacket.nsf.gov/ej/processReviewAnalysis.do?dispatch=add&amp;uniqId="&amp;BudgetsTable[[#This Row],[prop_id]]&amp;PO_id,"&gt;ra"))</f>
        <v>#REF!</v>
      </c>
      <c r="N386" s="79" t="s">
        <v>1766</v>
      </c>
      <c r="O386" s="7" t="str">
        <f>IF(BudgetsTable[[#This Row],[pi_last_name]]=" ","",HYPERLINK("mailto:"&amp;BudgetsTable[[#This Row],[pi_email]]&amp;"&amp;subject=Your NSF Proposal:  "&amp;BudgetsTable[[#This Row],[prop_id]],BudgetsTable[[#This Row],[pi_email]]))</f>
        <v>minilek@seas.harvard.edu</v>
      </c>
      <c r="P386" s="79" t="s">
        <v>1728</v>
      </c>
      <c r="Q386" s="79"/>
      <c r="R386" s="79"/>
      <c r="S386" s="80"/>
      <c r="T386" s="80"/>
      <c r="U386" s="80"/>
      <c r="V386" s="81"/>
      <c r="W386" s="79">
        <v>0</v>
      </c>
      <c r="X386" s="79"/>
      <c r="Y386" s="11" t="str">
        <f ca="1">IF(ISBLANK(BudgetsTable[[#This Row],[budg_seq_yr]]),"FY"&amp;fiscalyear,"FY"&amp;fiscalyear-1+BudgetsTable[[#This Row],[budg_seq_yr]])</f>
        <v>FY18</v>
      </c>
      <c r="Z386" s="80">
        <v>475000</v>
      </c>
      <c r="AA386" s="79" t="s">
        <v>477</v>
      </c>
      <c r="AB386" s="79" t="s">
        <v>582</v>
      </c>
      <c r="AC386" s="77" t="s">
        <v>94</v>
      </c>
      <c r="AD386" s="79" t="s">
        <v>1704</v>
      </c>
    </row>
    <row r="387" spans="1:30" x14ac:dyDescent="0.4">
      <c r="A387" s="10" t="s">
        <v>1765</v>
      </c>
      <c r="B387" s="77" t="s">
        <v>493</v>
      </c>
      <c r="C387" s="77">
        <f>C386+(BudgetsTable[[#This Row],[lead]]&lt;&gt;K386)</f>
        <v>78</v>
      </c>
      <c r="D387" s="77">
        <f>D386*(BudgetsTable[[#This Row],[lead]]=K386)+(BudgetsTable[[#This Row],[prop_id]]&lt;&gt;A386)</f>
        <v>2</v>
      </c>
      <c r="E387" s="78">
        <v>43005.434027777781</v>
      </c>
      <c r="F387" s="79" t="s">
        <v>524</v>
      </c>
      <c r="G387" s="79" t="s">
        <v>477</v>
      </c>
      <c r="H387" s="79" t="s">
        <v>582</v>
      </c>
      <c r="I387" s="77" t="s">
        <v>654</v>
      </c>
      <c r="J387" s="77" t="s">
        <v>13</v>
      </c>
      <c r="K387" s="79" t="s">
        <v>1343</v>
      </c>
      <c r="L387" s="7" t="str">
        <f>IF(BudgetsTable[[#This Row],[pi_last_name]]=" ","",HYPERLINK("https://www.ejacket.nsf.gov/ej/showProposal.do?Continue=Y&amp;ID="&amp;BudgetsTable[[#This Row],[prop_id]],BudgetsTable[[#This Row],[prop_id]]))</f>
        <v/>
      </c>
      <c r="M387" s="15" t="str">
        <f>IF(BudgetsTable[[#This Row],[pi_last_name]]=" ","",HYPERLINK("https://www.ejacket.nsf.gov/ej/processReviewAnalysis.do?dispatch=add&amp;uniqId="&amp;BudgetsTable[[#This Row],[prop_id]]&amp;PO_id,"&gt;ra"))</f>
        <v/>
      </c>
      <c r="N387" s="79" t="s">
        <v>13</v>
      </c>
      <c r="O387" s="7" t="str">
        <f>IF(BudgetsTable[[#This Row],[pi_last_name]]=" ","",HYPERLINK("mailto:"&amp;BudgetsTable[[#This Row],[pi_email]]&amp;"&amp;subject=Your NSF Proposal:  "&amp;BudgetsTable[[#This Row],[prop_id]],BudgetsTable[[#This Row],[pi_email]]))</f>
        <v/>
      </c>
      <c r="P387" s="79" t="s">
        <v>13</v>
      </c>
      <c r="Q387" s="79">
        <v>0</v>
      </c>
      <c r="R387" s="79">
        <v>0</v>
      </c>
      <c r="S387" s="80">
        <v>0</v>
      </c>
      <c r="T387" s="80">
        <v>3060</v>
      </c>
      <c r="U387" s="80">
        <v>0</v>
      </c>
      <c r="V387" s="81">
        <v>84078</v>
      </c>
      <c r="W387" s="79">
        <v>0</v>
      </c>
      <c r="X387" s="79">
        <v>1</v>
      </c>
      <c r="Y387" s="11" t="str">
        <f ca="1">IF(ISBLANK(BudgetsTable[[#This Row],[budg_seq_yr]]),"FY"&amp;fiscalyear,"FY"&amp;fiscalyear-1+BudgetsTable[[#This Row],[budg_seq_yr]])</f>
        <v>FY18</v>
      </c>
      <c r="Z387" s="80">
        <v>84078</v>
      </c>
      <c r="AA387" s="79" t="s">
        <v>477</v>
      </c>
      <c r="AB387" s="79" t="s">
        <v>582</v>
      </c>
      <c r="AC387" s="77" t="s">
        <v>94</v>
      </c>
      <c r="AD387" s="79" t="s">
        <v>1704</v>
      </c>
    </row>
    <row r="388" spans="1:30" x14ac:dyDescent="0.4">
      <c r="A388" s="10" t="s">
        <v>1765</v>
      </c>
      <c r="B388" s="77" t="s">
        <v>493</v>
      </c>
      <c r="C388" s="77">
        <f>C387+(BudgetsTable[[#This Row],[lead]]&lt;&gt;K387)</f>
        <v>78</v>
      </c>
      <c r="D388" s="77">
        <f>D387*(BudgetsTable[[#This Row],[lead]]=K387)+(BudgetsTable[[#This Row],[prop_id]]&lt;&gt;A387)</f>
        <v>2</v>
      </c>
      <c r="E388" s="78">
        <v>43005.434027777781</v>
      </c>
      <c r="F388" s="79" t="s">
        <v>524</v>
      </c>
      <c r="G388" s="79" t="s">
        <v>477</v>
      </c>
      <c r="H388" s="79" t="s">
        <v>582</v>
      </c>
      <c r="I388" s="77" t="s">
        <v>654</v>
      </c>
      <c r="J388" s="77" t="s">
        <v>13</v>
      </c>
      <c r="K388" s="79" t="s">
        <v>1343</v>
      </c>
      <c r="L388" s="7" t="str">
        <f>IF(BudgetsTable[[#This Row],[pi_last_name]]=" ","",HYPERLINK("https://www.ejacket.nsf.gov/ej/showProposal.do?Continue=Y&amp;ID="&amp;BudgetsTable[[#This Row],[prop_id]],BudgetsTable[[#This Row],[prop_id]]))</f>
        <v/>
      </c>
      <c r="M388" s="15" t="str">
        <f>IF(BudgetsTable[[#This Row],[pi_last_name]]=" ","",HYPERLINK("https://www.ejacket.nsf.gov/ej/processReviewAnalysis.do?dispatch=add&amp;uniqId="&amp;BudgetsTable[[#This Row],[prop_id]]&amp;PO_id,"&gt;ra"))</f>
        <v/>
      </c>
      <c r="N388" s="79" t="s">
        <v>13</v>
      </c>
      <c r="O388" s="7" t="str">
        <f>IF(BudgetsTable[[#This Row],[pi_last_name]]=" ","",HYPERLINK("mailto:"&amp;BudgetsTable[[#This Row],[pi_email]]&amp;"&amp;subject=Your NSF Proposal:  "&amp;BudgetsTable[[#This Row],[prop_id]],BudgetsTable[[#This Row],[pi_email]]))</f>
        <v/>
      </c>
      <c r="P388" s="79" t="s">
        <v>13</v>
      </c>
      <c r="Q388" s="79">
        <v>1</v>
      </c>
      <c r="R388" s="79">
        <v>0</v>
      </c>
      <c r="S388" s="80">
        <v>0</v>
      </c>
      <c r="T388" s="80">
        <v>3138</v>
      </c>
      <c r="U388" s="80">
        <v>0</v>
      </c>
      <c r="V388" s="81">
        <v>130227</v>
      </c>
      <c r="W388" s="79">
        <v>0</v>
      </c>
      <c r="X388" s="79">
        <v>2</v>
      </c>
      <c r="Y388" s="11" t="str">
        <f ca="1">IF(ISBLANK(BudgetsTable[[#This Row],[budg_seq_yr]]),"FY"&amp;fiscalyear,"FY"&amp;fiscalyear-1+BudgetsTable[[#This Row],[budg_seq_yr]])</f>
        <v>FY19</v>
      </c>
      <c r="Z388" s="80">
        <v>130227</v>
      </c>
      <c r="AA388" s="79" t="s">
        <v>477</v>
      </c>
      <c r="AB388" s="79" t="s">
        <v>582</v>
      </c>
      <c r="AC388" s="77" t="s">
        <v>94</v>
      </c>
      <c r="AD388" s="79" t="s">
        <v>1704</v>
      </c>
    </row>
    <row r="389" spans="1:30" x14ac:dyDescent="0.4">
      <c r="A389" s="10" t="s">
        <v>1765</v>
      </c>
      <c r="B389" s="77" t="s">
        <v>493</v>
      </c>
      <c r="C389" s="77">
        <f>C388+(BudgetsTable[[#This Row],[lead]]&lt;&gt;K388)</f>
        <v>78</v>
      </c>
      <c r="D389" s="77">
        <f>D388*(BudgetsTable[[#This Row],[lead]]=K388)+(BudgetsTable[[#This Row],[prop_id]]&lt;&gt;A388)</f>
        <v>2</v>
      </c>
      <c r="E389" s="78">
        <v>43005.434027777781</v>
      </c>
      <c r="F389" s="79" t="s">
        <v>524</v>
      </c>
      <c r="G389" s="79" t="s">
        <v>477</v>
      </c>
      <c r="H389" s="79" t="s">
        <v>582</v>
      </c>
      <c r="I389" s="77" t="s">
        <v>654</v>
      </c>
      <c r="J389" s="77" t="s">
        <v>13</v>
      </c>
      <c r="K389" s="79" t="s">
        <v>1343</v>
      </c>
      <c r="L389" s="7" t="str">
        <f>IF(BudgetsTable[[#This Row],[pi_last_name]]=" ","",HYPERLINK("https://www.ejacket.nsf.gov/ej/showProposal.do?Continue=Y&amp;ID="&amp;BudgetsTable[[#This Row],[prop_id]],BudgetsTable[[#This Row],[prop_id]]))</f>
        <v/>
      </c>
      <c r="M389" s="15" t="str">
        <f>IF(BudgetsTable[[#This Row],[pi_last_name]]=" ","",HYPERLINK("https://www.ejacket.nsf.gov/ej/processReviewAnalysis.do?dispatch=add&amp;uniqId="&amp;BudgetsTable[[#This Row],[prop_id]]&amp;PO_id,"&gt;ra"))</f>
        <v/>
      </c>
      <c r="N389" s="79" t="s">
        <v>13</v>
      </c>
      <c r="O389" s="7" t="str">
        <f>IF(BudgetsTable[[#This Row],[pi_last_name]]=" ","",HYPERLINK("mailto:"&amp;BudgetsTable[[#This Row],[pi_email]]&amp;"&amp;subject=Your NSF Proposal:  "&amp;BudgetsTable[[#This Row],[prop_id]],BudgetsTable[[#This Row],[pi_email]]))</f>
        <v/>
      </c>
      <c r="P389" s="79" t="s">
        <v>13</v>
      </c>
      <c r="Q389" s="79">
        <v>1</v>
      </c>
      <c r="R389" s="79">
        <v>0</v>
      </c>
      <c r="S389" s="80">
        <v>0</v>
      </c>
      <c r="T389" s="80">
        <v>3217</v>
      </c>
      <c r="U389" s="80">
        <v>0</v>
      </c>
      <c r="V389" s="81">
        <v>129283</v>
      </c>
      <c r="W389" s="79">
        <v>0</v>
      </c>
      <c r="X389" s="79">
        <v>3</v>
      </c>
      <c r="Y389" s="11" t="str">
        <f ca="1">IF(ISBLANK(BudgetsTable[[#This Row],[budg_seq_yr]]),"FY"&amp;fiscalyear,"FY"&amp;fiscalyear-1+BudgetsTable[[#This Row],[budg_seq_yr]])</f>
        <v>FY20</v>
      </c>
      <c r="Z389" s="80">
        <v>129283</v>
      </c>
      <c r="AA389" s="79" t="s">
        <v>477</v>
      </c>
      <c r="AB389" s="79" t="s">
        <v>582</v>
      </c>
      <c r="AC389" s="77" t="s">
        <v>94</v>
      </c>
      <c r="AD389" s="79" t="s">
        <v>1704</v>
      </c>
    </row>
    <row r="390" spans="1:30" x14ac:dyDescent="0.4">
      <c r="A390" s="10" t="s">
        <v>1765</v>
      </c>
      <c r="B390" s="77" t="s">
        <v>493</v>
      </c>
      <c r="C390" s="77">
        <f>C389+(BudgetsTable[[#This Row],[lead]]&lt;&gt;K389)</f>
        <v>78</v>
      </c>
      <c r="D390" s="77">
        <f>D389*(BudgetsTable[[#This Row],[lead]]=K389)+(BudgetsTable[[#This Row],[prop_id]]&lt;&gt;A389)</f>
        <v>2</v>
      </c>
      <c r="E390" s="78">
        <v>43005.434027777781</v>
      </c>
      <c r="F390" s="79" t="s">
        <v>524</v>
      </c>
      <c r="G390" s="79" t="s">
        <v>477</v>
      </c>
      <c r="H390" s="79" t="s">
        <v>582</v>
      </c>
      <c r="I390" s="77" t="s">
        <v>654</v>
      </c>
      <c r="J390" s="77" t="s">
        <v>13</v>
      </c>
      <c r="K390" s="79" t="s">
        <v>1343</v>
      </c>
      <c r="L390" s="7" t="str">
        <f>IF(BudgetsTable[[#This Row],[pi_last_name]]=" ","",HYPERLINK("https://www.ejacket.nsf.gov/ej/showProposal.do?Continue=Y&amp;ID="&amp;BudgetsTable[[#This Row],[prop_id]],BudgetsTable[[#This Row],[prop_id]]))</f>
        <v/>
      </c>
      <c r="M390" s="15" t="str">
        <f>IF(BudgetsTable[[#This Row],[pi_last_name]]=" ","",HYPERLINK("https://www.ejacket.nsf.gov/ej/processReviewAnalysis.do?dispatch=add&amp;uniqId="&amp;BudgetsTable[[#This Row],[prop_id]]&amp;PO_id,"&gt;ra"))</f>
        <v/>
      </c>
      <c r="N390" s="79" t="s">
        <v>13</v>
      </c>
      <c r="O390" s="7" t="str">
        <f>IF(BudgetsTable[[#This Row],[pi_last_name]]=" ","",HYPERLINK("mailto:"&amp;BudgetsTable[[#This Row],[pi_email]]&amp;"&amp;subject=Your NSF Proposal:  "&amp;BudgetsTable[[#This Row],[prop_id]],BudgetsTable[[#This Row],[pi_email]]))</f>
        <v/>
      </c>
      <c r="P390" s="79" t="s">
        <v>13</v>
      </c>
      <c r="Q390" s="79">
        <v>1</v>
      </c>
      <c r="R390" s="79">
        <v>0</v>
      </c>
      <c r="S390" s="80">
        <v>0</v>
      </c>
      <c r="T390" s="80">
        <v>3298</v>
      </c>
      <c r="U390" s="80">
        <v>0</v>
      </c>
      <c r="V390" s="81">
        <v>131412</v>
      </c>
      <c r="W390" s="79">
        <v>0</v>
      </c>
      <c r="X390" s="79">
        <v>4</v>
      </c>
      <c r="Y390" s="11" t="str">
        <f ca="1">IF(ISBLANK(BudgetsTable[[#This Row],[budg_seq_yr]]),"FY"&amp;fiscalyear,"FY"&amp;fiscalyear-1+BudgetsTable[[#This Row],[budg_seq_yr]])</f>
        <v>FY21</v>
      </c>
      <c r="Z390" s="80">
        <v>131412</v>
      </c>
      <c r="AA390" s="79" t="s">
        <v>477</v>
      </c>
      <c r="AB390" s="79" t="s">
        <v>582</v>
      </c>
      <c r="AC390" s="77" t="s">
        <v>94</v>
      </c>
      <c r="AD390" s="79" t="s">
        <v>1704</v>
      </c>
    </row>
    <row r="391" spans="1:30" x14ac:dyDescent="0.4">
      <c r="A391" s="10" t="s">
        <v>1351</v>
      </c>
      <c r="B391" s="77" t="s">
        <v>491</v>
      </c>
      <c r="C391" s="77">
        <f>C390+(BudgetsTable[[#This Row],[lead]]&lt;&gt;K390)</f>
        <v>79</v>
      </c>
      <c r="D391" s="77">
        <f>D390*(BudgetsTable[[#This Row],[lead]]=K390)+(BudgetsTable[[#This Row],[prop_id]]&lt;&gt;A390)</f>
        <v>1</v>
      </c>
      <c r="E391" s="78">
        <v>43005.582638888889</v>
      </c>
      <c r="F391" s="79" t="s">
        <v>524</v>
      </c>
      <c r="G391" s="79" t="s">
        <v>477</v>
      </c>
      <c r="H391" s="79" t="s">
        <v>582</v>
      </c>
      <c r="I391" s="77" t="s">
        <v>611</v>
      </c>
      <c r="J391" s="77" t="s">
        <v>1774</v>
      </c>
      <c r="K391" s="79" t="s">
        <v>1351</v>
      </c>
      <c r="L391" s="7" t="str">
        <f>IF(BudgetsTable[[#This Row],[pi_last_name]]=" ","",HYPERLINK("https://www.ejacket.nsf.gov/ej/showProposal.do?Continue=Y&amp;ID="&amp;BudgetsTable[[#This Row],[prop_id]],BudgetsTable[[#This Row],[prop_id]]))</f>
        <v>1763717</v>
      </c>
      <c r="M391" s="15" t="e">
        <f>IF(BudgetsTable[[#This Row],[pi_last_name]]=" ","",HYPERLINK("https://www.ejacket.nsf.gov/ej/processReviewAnalysis.do?dispatch=add&amp;uniqId="&amp;BudgetsTable[[#This Row],[prop_id]]&amp;PO_id,"&gt;ra"))</f>
        <v>#REF!</v>
      </c>
      <c r="N391" s="79" t="s">
        <v>1352</v>
      </c>
      <c r="O391" s="7" t="str">
        <f>IF(BudgetsTable[[#This Row],[pi_last_name]]=" ","",HYPERLINK("mailto:"&amp;BudgetsTable[[#This Row],[pi_email]]&amp;"&amp;subject=Your NSF Proposal:  "&amp;BudgetsTable[[#This Row],[prop_id]],BudgetsTable[[#This Row],[pi_email]]))</f>
        <v>qcheng@ou.edu</v>
      </c>
      <c r="P391" s="79" t="s">
        <v>1771</v>
      </c>
      <c r="Q391" s="79"/>
      <c r="R391" s="79"/>
      <c r="S391" s="80"/>
      <c r="T391" s="80"/>
      <c r="U391" s="80"/>
      <c r="V391" s="81"/>
      <c r="W391" s="79">
        <v>0</v>
      </c>
      <c r="X391" s="79"/>
      <c r="Y391" s="11" t="str">
        <f ca="1">IF(ISBLANK(BudgetsTable[[#This Row],[budg_seq_yr]]),"FY"&amp;fiscalyear,"FY"&amp;fiscalyear-1+BudgetsTable[[#This Row],[budg_seq_yr]])</f>
        <v>FY18</v>
      </c>
      <c r="Z391" s="80">
        <v>298823</v>
      </c>
      <c r="AA391" s="79" t="s">
        <v>477</v>
      </c>
      <c r="AB391" s="79" t="s">
        <v>582</v>
      </c>
      <c r="AC391" s="77" t="s">
        <v>94</v>
      </c>
      <c r="AD391" s="79" t="s">
        <v>1769</v>
      </c>
    </row>
    <row r="392" spans="1:30" x14ac:dyDescent="0.4">
      <c r="A392" s="10" t="s">
        <v>1351</v>
      </c>
      <c r="B392" s="77" t="s">
        <v>491</v>
      </c>
      <c r="C392" s="77">
        <f>C391+(BudgetsTable[[#This Row],[lead]]&lt;&gt;K391)</f>
        <v>79</v>
      </c>
      <c r="D392" s="77">
        <f>D391*(BudgetsTable[[#This Row],[lead]]=K391)+(BudgetsTable[[#This Row],[prop_id]]&lt;&gt;A391)</f>
        <v>1</v>
      </c>
      <c r="E392" s="78">
        <v>43005.582638888889</v>
      </c>
      <c r="F392" s="79" t="s">
        <v>524</v>
      </c>
      <c r="G392" s="79" t="s">
        <v>477</v>
      </c>
      <c r="H392" s="79" t="s">
        <v>582</v>
      </c>
      <c r="I392" s="77" t="s">
        <v>611</v>
      </c>
      <c r="J392" s="77" t="s">
        <v>13</v>
      </c>
      <c r="K392" s="79" t="s">
        <v>1351</v>
      </c>
      <c r="L392" s="7" t="str">
        <f>IF(BudgetsTable[[#This Row],[pi_last_name]]=" ","",HYPERLINK("https://www.ejacket.nsf.gov/ej/showProposal.do?Continue=Y&amp;ID="&amp;BudgetsTable[[#This Row],[prop_id]],BudgetsTable[[#This Row],[prop_id]]))</f>
        <v/>
      </c>
      <c r="M392" s="15" t="str">
        <f>IF(BudgetsTable[[#This Row],[pi_last_name]]=" ","",HYPERLINK("https://www.ejacket.nsf.gov/ej/processReviewAnalysis.do?dispatch=add&amp;uniqId="&amp;BudgetsTable[[#This Row],[prop_id]]&amp;PO_id,"&gt;ra"))</f>
        <v/>
      </c>
      <c r="N392" s="79" t="s">
        <v>13</v>
      </c>
      <c r="O392" s="7" t="str">
        <f>IF(BudgetsTable[[#This Row],[pi_last_name]]=" ","",HYPERLINK("mailto:"&amp;BudgetsTable[[#This Row],[pi_email]]&amp;"&amp;subject=Your NSF Proposal:  "&amp;BudgetsTable[[#This Row],[prop_id]],BudgetsTable[[#This Row],[pi_email]]))</f>
        <v/>
      </c>
      <c r="P392" s="79" t="s">
        <v>13</v>
      </c>
      <c r="Q392" s="79">
        <v>1</v>
      </c>
      <c r="R392" s="79">
        <v>1</v>
      </c>
      <c r="S392" s="80">
        <v>0</v>
      </c>
      <c r="T392" s="80">
        <v>0</v>
      </c>
      <c r="U392" s="80">
        <v>0</v>
      </c>
      <c r="V392" s="81">
        <v>97590</v>
      </c>
      <c r="W392" s="79">
        <v>0</v>
      </c>
      <c r="X392" s="79">
        <v>1</v>
      </c>
      <c r="Y392" s="11" t="str">
        <f ca="1">IF(ISBLANK(BudgetsTable[[#This Row],[budg_seq_yr]]),"FY"&amp;fiscalyear,"FY"&amp;fiscalyear-1+BudgetsTable[[#This Row],[budg_seq_yr]])</f>
        <v>FY18</v>
      </c>
      <c r="Z392" s="80">
        <v>97590</v>
      </c>
      <c r="AA392" s="79" t="s">
        <v>477</v>
      </c>
      <c r="AB392" s="79" t="s">
        <v>582</v>
      </c>
      <c r="AC392" s="77" t="s">
        <v>94</v>
      </c>
      <c r="AD392" s="79" t="s">
        <v>1769</v>
      </c>
    </row>
    <row r="393" spans="1:30" x14ac:dyDescent="0.4">
      <c r="A393" s="10" t="s">
        <v>1351</v>
      </c>
      <c r="B393" s="77" t="s">
        <v>491</v>
      </c>
      <c r="C393" s="77">
        <f>C392+(BudgetsTable[[#This Row],[lead]]&lt;&gt;K392)</f>
        <v>79</v>
      </c>
      <c r="D393" s="77">
        <f>D392*(BudgetsTable[[#This Row],[lead]]=K392)+(BudgetsTable[[#This Row],[prop_id]]&lt;&gt;A392)</f>
        <v>1</v>
      </c>
      <c r="E393" s="78">
        <v>43005.582638888889</v>
      </c>
      <c r="F393" s="79" t="s">
        <v>524</v>
      </c>
      <c r="G393" s="79" t="s">
        <v>477</v>
      </c>
      <c r="H393" s="79" t="s">
        <v>582</v>
      </c>
      <c r="I393" s="77" t="s">
        <v>611</v>
      </c>
      <c r="J393" s="77" t="s">
        <v>13</v>
      </c>
      <c r="K393" s="79" t="s">
        <v>1351</v>
      </c>
      <c r="L393" s="7" t="str">
        <f>IF(BudgetsTable[[#This Row],[pi_last_name]]=" ","",HYPERLINK("https://www.ejacket.nsf.gov/ej/showProposal.do?Continue=Y&amp;ID="&amp;BudgetsTable[[#This Row],[prop_id]],BudgetsTable[[#This Row],[prop_id]]))</f>
        <v/>
      </c>
      <c r="M393" s="15" t="str">
        <f>IF(BudgetsTable[[#This Row],[pi_last_name]]=" ","",HYPERLINK("https://www.ejacket.nsf.gov/ej/processReviewAnalysis.do?dispatch=add&amp;uniqId="&amp;BudgetsTable[[#This Row],[prop_id]]&amp;PO_id,"&gt;ra"))</f>
        <v/>
      </c>
      <c r="N393" s="79" t="s">
        <v>13</v>
      </c>
      <c r="O393" s="7" t="str">
        <f>IF(BudgetsTable[[#This Row],[pi_last_name]]=" ","",HYPERLINK("mailto:"&amp;BudgetsTable[[#This Row],[pi_email]]&amp;"&amp;subject=Your NSF Proposal:  "&amp;BudgetsTable[[#This Row],[prop_id]],BudgetsTable[[#This Row],[pi_email]]))</f>
        <v/>
      </c>
      <c r="P393" s="79" t="s">
        <v>13</v>
      </c>
      <c r="Q393" s="79">
        <v>1</v>
      </c>
      <c r="R393" s="79">
        <v>1</v>
      </c>
      <c r="S393" s="80">
        <v>0</v>
      </c>
      <c r="T393" s="80">
        <v>0</v>
      </c>
      <c r="U393" s="80">
        <v>0</v>
      </c>
      <c r="V393" s="81">
        <v>100099</v>
      </c>
      <c r="W393" s="79">
        <v>0</v>
      </c>
      <c r="X393" s="79">
        <v>2</v>
      </c>
      <c r="Y393" s="11" t="str">
        <f ca="1">IF(ISBLANK(BudgetsTable[[#This Row],[budg_seq_yr]]),"FY"&amp;fiscalyear,"FY"&amp;fiscalyear-1+BudgetsTable[[#This Row],[budg_seq_yr]])</f>
        <v>FY19</v>
      </c>
      <c r="Z393" s="80">
        <v>100099</v>
      </c>
      <c r="AA393" s="79" t="s">
        <v>477</v>
      </c>
      <c r="AB393" s="79" t="s">
        <v>582</v>
      </c>
      <c r="AC393" s="77" t="s">
        <v>94</v>
      </c>
      <c r="AD393" s="79" t="s">
        <v>1769</v>
      </c>
    </row>
    <row r="394" spans="1:30" x14ac:dyDescent="0.4">
      <c r="A394" s="10" t="s">
        <v>1351</v>
      </c>
      <c r="B394" s="77" t="s">
        <v>491</v>
      </c>
      <c r="C394" s="77">
        <f>C393+(BudgetsTable[[#This Row],[lead]]&lt;&gt;K393)</f>
        <v>79</v>
      </c>
      <c r="D394" s="77">
        <f>D393*(BudgetsTable[[#This Row],[lead]]=K393)+(BudgetsTable[[#This Row],[prop_id]]&lt;&gt;A393)</f>
        <v>1</v>
      </c>
      <c r="E394" s="78">
        <v>43005.582638888889</v>
      </c>
      <c r="F394" s="79" t="s">
        <v>524</v>
      </c>
      <c r="G394" s="79" t="s">
        <v>477</v>
      </c>
      <c r="H394" s="79" t="s">
        <v>582</v>
      </c>
      <c r="I394" s="77" t="s">
        <v>611</v>
      </c>
      <c r="J394" s="77" t="s">
        <v>13</v>
      </c>
      <c r="K394" s="79" t="s">
        <v>1351</v>
      </c>
      <c r="L394" s="7" t="str">
        <f>IF(BudgetsTable[[#This Row],[pi_last_name]]=" ","",HYPERLINK("https://www.ejacket.nsf.gov/ej/showProposal.do?Continue=Y&amp;ID="&amp;BudgetsTable[[#This Row],[prop_id]],BudgetsTable[[#This Row],[prop_id]]))</f>
        <v/>
      </c>
      <c r="M394" s="15" t="str">
        <f>IF(BudgetsTable[[#This Row],[pi_last_name]]=" ","",HYPERLINK("https://www.ejacket.nsf.gov/ej/processReviewAnalysis.do?dispatch=add&amp;uniqId="&amp;BudgetsTable[[#This Row],[prop_id]]&amp;PO_id,"&gt;ra"))</f>
        <v/>
      </c>
      <c r="N394" s="79" t="s">
        <v>13</v>
      </c>
      <c r="O394" s="7" t="str">
        <f>IF(BudgetsTable[[#This Row],[pi_last_name]]=" ","",HYPERLINK("mailto:"&amp;BudgetsTable[[#This Row],[pi_email]]&amp;"&amp;subject=Your NSF Proposal:  "&amp;BudgetsTable[[#This Row],[prop_id]],BudgetsTable[[#This Row],[pi_email]]))</f>
        <v/>
      </c>
      <c r="P394" s="79" t="s">
        <v>13</v>
      </c>
      <c r="Q394" s="79">
        <v>1</v>
      </c>
      <c r="R394" s="79">
        <v>1</v>
      </c>
      <c r="S394" s="80">
        <v>0</v>
      </c>
      <c r="T394" s="80">
        <v>0</v>
      </c>
      <c r="U394" s="80">
        <v>0</v>
      </c>
      <c r="V394" s="81">
        <v>101134</v>
      </c>
      <c r="W394" s="79">
        <v>0</v>
      </c>
      <c r="X394" s="79">
        <v>3</v>
      </c>
      <c r="Y394" s="11" t="str">
        <f ca="1">IF(ISBLANK(BudgetsTable[[#This Row],[budg_seq_yr]]),"FY"&amp;fiscalyear,"FY"&amp;fiscalyear-1+BudgetsTable[[#This Row],[budg_seq_yr]])</f>
        <v>FY20</v>
      </c>
      <c r="Z394" s="80">
        <v>101134</v>
      </c>
      <c r="AA394" s="79" t="s">
        <v>477</v>
      </c>
      <c r="AB394" s="79" t="s">
        <v>582</v>
      </c>
      <c r="AC394" s="77" t="s">
        <v>94</v>
      </c>
      <c r="AD394" s="79" t="s">
        <v>1769</v>
      </c>
    </row>
    <row r="395" spans="1:30" x14ac:dyDescent="0.4">
      <c r="A395" s="10" t="s">
        <v>1775</v>
      </c>
      <c r="B395" s="77" t="s">
        <v>493</v>
      </c>
      <c r="C395" s="77">
        <f>C394+(BudgetsTable[[#This Row],[lead]]&lt;&gt;K394)</f>
        <v>79</v>
      </c>
      <c r="D395" s="77">
        <f>D394*(BudgetsTable[[#This Row],[lead]]=K394)+(BudgetsTable[[#This Row],[prop_id]]&lt;&gt;A394)</f>
        <v>2</v>
      </c>
      <c r="E395" s="78">
        <v>43005.537499999999</v>
      </c>
      <c r="F395" s="79" t="s">
        <v>524</v>
      </c>
      <c r="G395" s="79" t="s">
        <v>477</v>
      </c>
      <c r="H395" s="79" t="s">
        <v>582</v>
      </c>
      <c r="I395" s="77" t="s">
        <v>611</v>
      </c>
      <c r="J395" s="77" t="s">
        <v>1778</v>
      </c>
      <c r="K395" s="79" t="s">
        <v>1351</v>
      </c>
      <c r="L395" s="7" t="str">
        <f>IF(BudgetsTable[[#This Row],[pi_last_name]]=" ","",HYPERLINK("https://www.ejacket.nsf.gov/ej/showProposal.do?Continue=Y&amp;ID="&amp;BudgetsTable[[#This Row],[prop_id]],BudgetsTable[[#This Row],[prop_id]]))</f>
        <v>1763635</v>
      </c>
      <c r="M395" s="15" t="e">
        <f>IF(BudgetsTable[[#This Row],[pi_last_name]]=" ","",HYPERLINK("https://www.ejacket.nsf.gov/ej/processReviewAnalysis.do?dispatch=add&amp;uniqId="&amp;BudgetsTable[[#This Row],[prop_id]]&amp;PO_id,"&gt;ra"))</f>
        <v>#REF!</v>
      </c>
      <c r="N395" s="79" t="s">
        <v>1776</v>
      </c>
      <c r="O395" s="7" t="str">
        <f>IF(BudgetsTable[[#This Row],[pi_last_name]]=" ","",HYPERLINK("mailto:"&amp;BudgetsTable[[#This Row],[pi_email]]&amp;"&amp;subject=Your NSF Proposal:  "&amp;BudgetsTable[[#This Row],[prop_id]],BudgetsTable[[#This Row],[pi_email]]))</f>
        <v>dwan@math.uci.edu</v>
      </c>
      <c r="P395" s="79" t="s">
        <v>1709</v>
      </c>
      <c r="Q395" s="79"/>
      <c r="R395" s="79"/>
      <c r="S395" s="80"/>
      <c r="T395" s="80"/>
      <c r="U395" s="80"/>
      <c r="V395" s="81"/>
      <c r="W395" s="79">
        <v>0</v>
      </c>
      <c r="X395" s="79"/>
      <c r="Y395" s="11" t="str">
        <f ca="1">IF(ISBLANK(BudgetsTable[[#This Row],[budg_seq_yr]]),"FY"&amp;fiscalyear,"FY"&amp;fiscalyear-1+BudgetsTable[[#This Row],[budg_seq_yr]])</f>
        <v>FY18</v>
      </c>
      <c r="Z395" s="80">
        <v>299950</v>
      </c>
      <c r="AA395" s="79" t="s">
        <v>477</v>
      </c>
      <c r="AB395" s="79" t="s">
        <v>582</v>
      </c>
      <c r="AC395" s="77" t="s">
        <v>94</v>
      </c>
      <c r="AD395" s="79" t="s">
        <v>1722</v>
      </c>
    </row>
    <row r="396" spans="1:30" x14ac:dyDescent="0.4">
      <c r="A396" s="10" t="s">
        <v>1775</v>
      </c>
      <c r="B396" s="77" t="s">
        <v>493</v>
      </c>
      <c r="C396" s="77">
        <f>C395+(BudgetsTable[[#This Row],[lead]]&lt;&gt;K395)</f>
        <v>79</v>
      </c>
      <c r="D396" s="77">
        <f>D395*(BudgetsTable[[#This Row],[lead]]=K395)+(BudgetsTable[[#This Row],[prop_id]]&lt;&gt;A395)</f>
        <v>2</v>
      </c>
      <c r="E396" s="78">
        <v>43005.537499999999</v>
      </c>
      <c r="F396" s="79" t="s">
        <v>524</v>
      </c>
      <c r="G396" s="79" t="s">
        <v>477</v>
      </c>
      <c r="H396" s="79" t="s">
        <v>582</v>
      </c>
      <c r="I396" s="77" t="s">
        <v>611</v>
      </c>
      <c r="J396" s="77" t="s">
        <v>13</v>
      </c>
      <c r="K396" s="79" t="s">
        <v>1351</v>
      </c>
      <c r="L396" s="7" t="str">
        <f>IF(BudgetsTable[[#This Row],[pi_last_name]]=" ","",HYPERLINK("https://www.ejacket.nsf.gov/ej/showProposal.do?Continue=Y&amp;ID="&amp;BudgetsTable[[#This Row],[prop_id]],BudgetsTable[[#This Row],[prop_id]]))</f>
        <v/>
      </c>
      <c r="M396" s="15" t="str">
        <f>IF(BudgetsTable[[#This Row],[pi_last_name]]=" ","",HYPERLINK("https://www.ejacket.nsf.gov/ej/processReviewAnalysis.do?dispatch=add&amp;uniqId="&amp;BudgetsTable[[#This Row],[prop_id]]&amp;PO_id,"&gt;ra"))</f>
        <v/>
      </c>
      <c r="N396" s="79" t="s">
        <v>13</v>
      </c>
      <c r="O396" s="7" t="str">
        <f>IF(BudgetsTable[[#This Row],[pi_last_name]]=" ","",HYPERLINK("mailto:"&amp;BudgetsTable[[#This Row],[pi_email]]&amp;"&amp;subject=Your NSF Proposal:  "&amp;BudgetsTable[[#This Row],[prop_id]],BudgetsTable[[#This Row],[pi_email]]))</f>
        <v/>
      </c>
      <c r="P396" s="79" t="s">
        <v>13</v>
      </c>
      <c r="Q396" s="79">
        <v>1</v>
      </c>
      <c r="R396" s="79">
        <v>1</v>
      </c>
      <c r="S396" s="80">
        <v>0</v>
      </c>
      <c r="T396" s="80">
        <v>5000</v>
      </c>
      <c r="U396" s="80">
        <v>0</v>
      </c>
      <c r="V396" s="81">
        <v>99405</v>
      </c>
      <c r="W396" s="79">
        <v>0</v>
      </c>
      <c r="X396" s="79">
        <v>1</v>
      </c>
      <c r="Y396" s="11" t="str">
        <f ca="1">IF(ISBLANK(BudgetsTable[[#This Row],[budg_seq_yr]]),"FY"&amp;fiscalyear,"FY"&amp;fiscalyear-1+BudgetsTable[[#This Row],[budg_seq_yr]])</f>
        <v>FY18</v>
      </c>
      <c r="Z396" s="80">
        <v>99405</v>
      </c>
      <c r="AA396" s="79" t="s">
        <v>477</v>
      </c>
      <c r="AB396" s="79" t="s">
        <v>582</v>
      </c>
      <c r="AC396" s="77" t="s">
        <v>94</v>
      </c>
      <c r="AD396" s="79" t="s">
        <v>1722</v>
      </c>
    </row>
    <row r="397" spans="1:30" x14ac:dyDescent="0.4">
      <c r="A397" s="10" t="s">
        <v>1775</v>
      </c>
      <c r="B397" s="77" t="s">
        <v>493</v>
      </c>
      <c r="C397" s="77">
        <f>C396+(BudgetsTable[[#This Row],[lead]]&lt;&gt;K396)</f>
        <v>79</v>
      </c>
      <c r="D397" s="77">
        <f>D396*(BudgetsTable[[#This Row],[lead]]=K396)+(BudgetsTable[[#This Row],[prop_id]]&lt;&gt;A396)</f>
        <v>2</v>
      </c>
      <c r="E397" s="78">
        <v>43005.537499999999</v>
      </c>
      <c r="F397" s="79" t="s">
        <v>524</v>
      </c>
      <c r="G397" s="79" t="s">
        <v>477</v>
      </c>
      <c r="H397" s="79" t="s">
        <v>582</v>
      </c>
      <c r="I397" s="77" t="s">
        <v>611</v>
      </c>
      <c r="J397" s="77" t="s">
        <v>13</v>
      </c>
      <c r="K397" s="79" t="s">
        <v>1351</v>
      </c>
      <c r="L397" s="7" t="str">
        <f>IF(BudgetsTable[[#This Row],[pi_last_name]]=" ","",HYPERLINK("https://www.ejacket.nsf.gov/ej/showProposal.do?Continue=Y&amp;ID="&amp;BudgetsTable[[#This Row],[prop_id]],BudgetsTable[[#This Row],[prop_id]]))</f>
        <v/>
      </c>
      <c r="M397" s="15" t="str">
        <f>IF(BudgetsTable[[#This Row],[pi_last_name]]=" ","",HYPERLINK("https://www.ejacket.nsf.gov/ej/processReviewAnalysis.do?dispatch=add&amp;uniqId="&amp;BudgetsTable[[#This Row],[prop_id]]&amp;PO_id,"&gt;ra"))</f>
        <v/>
      </c>
      <c r="N397" s="79" t="s">
        <v>13</v>
      </c>
      <c r="O397" s="7" t="str">
        <f>IF(BudgetsTable[[#This Row],[pi_last_name]]=" ","",HYPERLINK("mailto:"&amp;BudgetsTable[[#This Row],[pi_email]]&amp;"&amp;subject=Your NSF Proposal:  "&amp;BudgetsTable[[#This Row],[prop_id]],BudgetsTable[[#This Row],[pi_email]]))</f>
        <v/>
      </c>
      <c r="P397" s="79" t="s">
        <v>13</v>
      </c>
      <c r="Q397" s="79">
        <v>1</v>
      </c>
      <c r="R397" s="79">
        <v>1</v>
      </c>
      <c r="S397" s="80">
        <v>0</v>
      </c>
      <c r="T397" s="80">
        <v>5150</v>
      </c>
      <c r="U397" s="80">
        <v>0</v>
      </c>
      <c r="V397" s="81">
        <v>98870</v>
      </c>
      <c r="W397" s="79">
        <v>0</v>
      </c>
      <c r="X397" s="79">
        <v>2</v>
      </c>
      <c r="Y397" s="11" t="str">
        <f ca="1">IF(ISBLANK(BudgetsTable[[#This Row],[budg_seq_yr]]),"FY"&amp;fiscalyear,"FY"&amp;fiscalyear-1+BudgetsTable[[#This Row],[budg_seq_yr]])</f>
        <v>FY19</v>
      </c>
      <c r="Z397" s="80">
        <v>98870</v>
      </c>
      <c r="AA397" s="79" t="s">
        <v>477</v>
      </c>
      <c r="AB397" s="79" t="s">
        <v>582</v>
      </c>
      <c r="AC397" s="77" t="s">
        <v>94</v>
      </c>
      <c r="AD397" s="79" t="s">
        <v>1722</v>
      </c>
    </row>
    <row r="398" spans="1:30" x14ac:dyDescent="0.4">
      <c r="A398" s="10" t="s">
        <v>1775</v>
      </c>
      <c r="B398" s="77" t="s">
        <v>493</v>
      </c>
      <c r="C398" s="77">
        <f>C397+(BudgetsTable[[#This Row],[lead]]&lt;&gt;K397)</f>
        <v>79</v>
      </c>
      <c r="D398" s="77">
        <f>D397*(BudgetsTable[[#This Row],[lead]]=K397)+(BudgetsTable[[#This Row],[prop_id]]&lt;&gt;A397)</f>
        <v>2</v>
      </c>
      <c r="E398" s="78">
        <v>43005.537499999999</v>
      </c>
      <c r="F398" s="79" t="s">
        <v>524</v>
      </c>
      <c r="G398" s="79" t="s">
        <v>477</v>
      </c>
      <c r="H398" s="79" t="s">
        <v>582</v>
      </c>
      <c r="I398" s="77" t="s">
        <v>611</v>
      </c>
      <c r="J398" s="77" t="s">
        <v>13</v>
      </c>
      <c r="K398" s="79" t="s">
        <v>1351</v>
      </c>
      <c r="L398" s="7" t="str">
        <f>IF(BudgetsTable[[#This Row],[pi_last_name]]=" ","",HYPERLINK("https://www.ejacket.nsf.gov/ej/showProposal.do?Continue=Y&amp;ID="&amp;BudgetsTable[[#This Row],[prop_id]],BudgetsTable[[#This Row],[prop_id]]))</f>
        <v/>
      </c>
      <c r="M398" s="15" t="str">
        <f>IF(BudgetsTable[[#This Row],[pi_last_name]]=" ","",HYPERLINK("https://www.ejacket.nsf.gov/ej/processReviewAnalysis.do?dispatch=add&amp;uniqId="&amp;BudgetsTable[[#This Row],[prop_id]]&amp;PO_id,"&gt;ra"))</f>
        <v/>
      </c>
      <c r="N398" s="79" t="s">
        <v>13</v>
      </c>
      <c r="O398" s="7" t="str">
        <f>IF(BudgetsTable[[#This Row],[pi_last_name]]=" ","",HYPERLINK("mailto:"&amp;BudgetsTable[[#This Row],[pi_email]]&amp;"&amp;subject=Your NSF Proposal:  "&amp;BudgetsTable[[#This Row],[prop_id]],BudgetsTable[[#This Row],[pi_email]]))</f>
        <v/>
      </c>
      <c r="P398" s="79" t="s">
        <v>13</v>
      </c>
      <c r="Q398" s="79">
        <v>1</v>
      </c>
      <c r="R398" s="79">
        <v>1</v>
      </c>
      <c r="S398" s="80">
        <v>0</v>
      </c>
      <c r="T398" s="80">
        <v>5305</v>
      </c>
      <c r="U398" s="80">
        <v>0</v>
      </c>
      <c r="V398" s="81">
        <v>101675</v>
      </c>
      <c r="W398" s="79">
        <v>0</v>
      </c>
      <c r="X398" s="79">
        <v>3</v>
      </c>
      <c r="Y398" s="11" t="str">
        <f ca="1">IF(ISBLANK(BudgetsTable[[#This Row],[budg_seq_yr]]),"FY"&amp;fiscalyear,"FY"&amp;fiscalyear-1+BudgetsTable[[#This Row],[budg_seq_yr]])</f>
        <v>FY20</v>
      </c>
      <c r="Z398" s="80">
        <v>101675</v>
      </c>
      <c r="AA398" s="79" t="s">
        <v>477</v>
      </c>
      <c r="AB398" s="79" t="s">
        <v>582</v>
      </c>
      <c r="AC398" s="77" t="s">
        <v>94</v>
      </c>
      <c r="AD398" s="79" t="s">
        <v>1722</v>
      </c>
    </row>
    <row r="399" spans="1:30" x14ac:dyDescent="0.4">
      <c r="A399" s="10" t="s">
        <v>1779</v>
      </c>
      <c r="B399" s="77" t="s">
        <v>493</v>
      </c>
      <c r="C399" s="77">
        <f>C398+(BudgetsTable[[#This Row],[lead]]&lt;&gt;K398)</f>
        <v>79</v>
      </c>
      <c r="D399" s="77">
        <f>D398*(BudgetsTable[[#This Row],[lead]]=K398)+(BudgetsTable[[#This Row],[prop_id]]&lt;&gt;A398)</f>
        <v>3</v>
      </c>
      <c r="E399" s="78">
        <v>43005.547222222223</v>
      </c>
      <c r="F399" s="79" t="s">
        <v>524</v>
      </c>
      <c r="G399" s="79" t="s">
        <v>477</v>
      </c>
      <c r="H399" s="79" t="s">
        <v>582</v>
      </c>
      <c r="I399" s="77" t="s">
        <v>611</v>
      </c>
      <c r="J399" s="77" t="s">
        <v>1784</v>
      </c>
      <c r="K399" s="79" t="s">
        <v>1351</v>
      </c>
      <c r="L399" s="7" t="str">
        <f>IF(BudgetsTable[[#This Row],[pi_last_name]]=" ","",HYPERLINK("https://www.ejacket.nsf.gov/ej/showProposal.do?Continue=Y&amp;ID="&amp;BudgetsTable[[#This Row],[prop_id]],BudgetsTable[[#This Row],[prop_id]]))</f>
        <v>1763644</v>
      </c>
      <c r="M399" s="15" t="e">
        <f>IF(BudgetsTable[[#This Row],[pi_last_name]]=" ","",HYPERLINK("https://www.ejacket.nsf.gov/ej/processReviewAnalysis.do?dispatch=add&amp;uniqId="&amp;BudgetsTable[[#This Row],[prop_id]]&amp;PO_id,"&gt;ra"))</f>
        <v>#REF!</v>
      </c>
      <c r="N399" s="79" t="s">
        <v>1780</v>
      </c>
      <c r="O399" s="7" t="str">
        <f>IF(BudgetsTable[[#This Row],[pi_last_name]]=" ","",HYPERLINK("mailto:"&amp;BudgetsTable[[#This Row],[pi_email]]&amp;"&amp;subject=Your NSF Proposal:  "&amp;BudgetsTable[[#This Row],[prop_id]],BudgetsTable[[#This Row],[pi_email]]))</f>
        <v>sgao@clemson.edu</v>
      </c>
      <c r="P399" s="79" t="s">
        <v>1782</v>
      </c>
      <c r="Q399" s="79"/>
      <c r="R399" s="79"/>
      <c r="S399" s="80"/>
      <c r="T399" s="80"/>
      <c r="U399" s="80"/>
      <c r="V399" s="81"/>
      <c r="W399" s="79">
        <v>0</v>
      </c>
      <c r="X399" s="79"/>
      <c r="Y399" s="11" t="str">
        <f ca="1">IF(ISBLANK(BudgetsTable[[#This Row],[budg_seq_yr]]),"FY"&amp;fiscalyear,"FY"&amp;fiscalyear-1+BudgetsTable[[#This Row],[budg_seq_yr]])</f>
        <v>FY18</v>
      </c>
      <c r="Z399" s="80">
        <v>299918</v>
      </c>
      <c r="AA399" s="79" t="s">
        <v>477</v>
      </c>
      <c r="AB399" s="79" t="s">
        <v>582</v>
      </c>
      <c r="AC399" s="77" t="s">
        <v>94</v>
      </c>
      <c r="AD399" s="79" t="s">
        <v>1769</v>
      </c>
    </row>
    <row r="400" spans="1:30" x14ac:dyDescent="0.4">
      <c r="A400" s="10" t="s">
        <v>1779</v>
      </c>
      <c r="B400" s="77" t="s">
        <v>493</v>
      </c>
      <c r="C400" s="77">
        <f>C399+(BudgetsTable[[#This Row],[lead]]&lt;&gt;K399)</f>
        <v>79</v>
      </c>
      <c r="D400" s="77">
        <f>D399*(BudgetsTable[[#This Row],[lead]]=K399)+(BudgetsTable[[#This Row],[prop_id]]&lt;&gt;A399)</f>
        <v>3</v>
      </c>
      <c r="E400" s="78">
        <v>43005.547222222223</v>
      </c>
      <c r="F400" s="79" t="s">
        <v>524</v>
      </c>
      <c r="G400" s="79" t="s">
        <v>477</v>
      </c>
      <c r="H400" s="79" t="s">
        <v>582</v>
      </c>
      <c r="I400" s="77" t="s">
        <v>611</v>
      </c>
      <c r="J400" s="77" t="s">
        <v>13</v>
      </c>
      <c r="K400" s="79" t="s">
        <v>1351</v>
      </c>
      <c r="L400" s="7" t="str">
        <f>IF(BudgetsTable[[#This Row],[pi_last_name]]=" ","",HYPERLINK("https://www.ejacket.nsf.gov/ej/showProposal.do?Continue=Y&amp;ID="&amp;BudgetsTable[[#This Row],[prop_id]],BudgetsTable[[#This Row],[prop_id]]))</f>
        <v/>
      </c>
      <c r="M400" s="15" t="str">
        <f>IF(BudgetsTable[[#This Row],[pi_last_name]]=" ","",HYPERLINK("https://www.ejacket.nsf.gov/ej/processReviewAnalysis.do?dispatch=add&amp;uniqId="&amp;BudgetsTable[[#This Row],[prop_id]]&amp;PO_id,"&gt;ra"))</f>
        <v/>
      </c>
      <c r="N400" s="79" t="s">
        <v>13</v>
      </c>
      <c r="O400" s="7" t="str">
        <f>IF(BudgetsTable[[#This Row],[pi_last_name]]=" ","",HYPERLINK("mailto:"&amp;BudgetsTable[[#This Row],[pi_email]]&amp;"&amp;subject=Your NSF Proposal:  "&amp;BudgetsTable[[#This Row],[prop_id]],BudgetsTable[[#This Row],[pi_email]]))</f>
        <v/>
      </c>
      <c r="P400" s="79" t="s">
        <v>13</v>
      </c>
      <c r="Q400" s="79">
        <v>1</v>
      </c>
      <c r="R400" s="79">
        <v>1.1000000000000001</v>
      </c>
      <c r="S400" s="80">
        <v>0</v>
      </c>
      <c r="T400" s="80">
        <v>4500</v>
      </c>
      <c r="U400" s="80">
        <v>0</v>
      </c>
      <c r="V400" s="81">
        <v>98313</v>
      </c>
      <c r="W400" s="79">
        <v>0</v>
      </c>
      <c r="X400" s="79">
        <v>1</v>
      </c>
      <c r="Y400" s="11" t="str">
        <f ca="1">IF(ISBLANK(BudgetsTable[[#This Row],[budg_seq_yr]]),"FY"&amp;fiscalyear,"FY"&amp;fiscalyear-1+BudgetsTable[[#This Row],[budg_seq_yr]])</f>
        <v>FY18</v>
      </c>
      <c r="Z400" s="80">
        <v>98313</v>
      </c>
      <c r="AA400" s="79" t="s">
        <v>477</v>
      </c>
      <c r="AB400" s="79" t="s">
        <v>582</v>
      </c>
      <c r="AC400" s="77" t="s">
        <v>94</v>
      </c>
      <c r="AD400" s="79" t="s">
        <v>1769</v>
      </c>
    </row>
    <row r="401" spans="1:30" x14ac:dyDescent="0.4">
      <c r="A401" s="10" t="s">
        <v>1779</v>
      </c>
      <c r="B401" s="77" t="s">
        <v>493</v>
      </c>
      <c r="C401" s="77">
        <f>C400+(BudgetsTable[[#This Row],[lead]]&lt;&gt;K400)</f>
        <v>79</v>
      </c>
      <c r="D401" s="77">
        <f>D400*(BudgetsTable[[#This Row],[lead]]=K400)+(BudgetsTable[[#This Row],[prop_id]]&lt;&gt;A400)</f>
        <v>3</v>
      </c>
      <c r="E401" s="78">
        <v>43005.547222222223</v>
      </c>
      <c r="F401" s="79" t="s">
        <v>524</v>
      </c>
      <c r="G401" s="79" t="s">
        <v>477</v>
      </c>
      <c r="H401" s="79" t="s">
        <v>582</v>
      </c>
      <c r="I401" s="77" t="s">
        <v>611</v>
      </c>
      <c r="J401" s="77" t="s">
        <v>13</v>
      </c>
      <c r="K401" s="79" t="s">
        <v>1351</v>
      </c>
      <c r="L401" s="7" t="str">
        <f>IF(BudgetsTable[[#This Row],[pi_last_name]]=" ","",HYPERLINK("https://www.ejacket.nsf.gov/ej/showProposal.do?Continue=Y&amp;ID="&amp;BudgetsTable[[#This Row],[prop_id]],BudgetsTable[[#This Row],[prop_id]]))</f>
        <v/>
      </c>
      <c r="M401" s="15" t="str">
        <f>IF(BudgetsTable[[#This Row],[pi_last_name]]=" ","",HYPERLINK("https://www.ejacket.nsf.gov/ej/processReviewAnalysis.do?dispatch=add&amp;uniqId="&amp;BudgetsTable[[#This Row],[prop_id]]&amp;PO_id,"&gt;ra"))</f>
        <v/>
      </c>
      <c r="N401" s="79" t="s">
        <v>13</v>
      </c>
      <c r="O401" s="7" t="str">
        <f>IF(BudgetsTable[[#This Row],[pi_last_name]]=" ","",HYPERLINK("mailto:"&amp;BudgetsTable[[#This Row],[pi_email]]&amp;"&amp;subject=Your NSF Proposal:  "&amp;BudgetsTable[[#This Row],[prop_id]],BudgetsTable[[#This Row],[pi_email]]))</f>
        <v/>
      </c>
      <c r="P401" s="79" t="s">
        <v>13</v>
      </c>
      <c r="Q401" s="79">
        <v>1</v>
      </c>
      <c r="R401" s="79">
        <v>1.1000000000000001</v>
      </c>
      <c r="S401" s="80">
        <v>0</v>
      </c>
      <c r="T401" s="80">
        <v>4500</v>
      </c>
      <c r="U401" s="80">
        <v>0</v>
      </c>
      <c r="V401" s="81">
        <v>99952</v>
      </c>
      <c r="W401" s="79">
        <v>0</v>
      </c>
      <c r="X401" s="79">
        <v>2</v>
      </c>
      <c r="Y401" s="11" t="str">
        <f ca="1">IF(ISBLANK(BudgetsTable[[#This Row],[budg_seq_yr]]),"FY"&amp;fiscalyear,"FY"&amp;fiscalyear-1+BudgetsTable[[#This Row],[budg_seq_yr]])</f>
        <v>FY19</v>
      </c>
      <c r="Z401" s="80">
        <v>99952</v>
      </c>
      <c r="AA401" s="79" t="s">
        <v>477</v>
      </c>
      <c r="AB401" s="79" t="s">
        <v>582</v>
      </c>
      <c r="AC401" s="77" t="s">
        <v>94</v>
      </c>
      <c r="AD401" s="79" t="s">
        <v>1769</v>
      </c>
    </row>
    <row r="402" spans="1:30" x14ac:dyDescent="0.4">
      <c r="A402" s="10" t="s">
        <v>1779</v>
      </c>
      <c r="B402" s="77" t="s">
        <v>493</v>
      </c>
      <c r="C402" s="77">
        <f>C401+(BudgetsTable[[#This Row],[lead]]&lt;&gt;K401)</f>
        <v>79</v>
      </c>
      <c r="D402" s="77">
        <f>D401*(BudgetsTable[[#This Row],[lead]]=K401)+(BudgetsTable[[#This Row],[prop_id]]&lt;&gt;A401)</f>
        <v>3</v>
      </c>
      <c r="E402" s="78">
        <v>43005.547222222223</v>
      </c>
      <c r="F402" s="79" t="s">
        <v>524</v>
      </c>
      <c r="G402" s="79" t="s">
        <v>477</v>
      </c>
      <c r="H402" s="79" t="s">
        <v>582</v>
      </c>
      <c r="I402" s="77" t="s">
        <v>611</v>
      </c>
      <c r="J402" s="77" t="s">
        <v>13</v>
      </c>
      <c r="K402" s="79" t="s">
        <v>1351</v>
      </c>
      <c r="L402" s="7" t="str">
        <f>IF(BudgetsTable[[#This Row],[pi_last_name]]=" ","",HYPERLINK("https://www.ejacket.nsf.gov/ej/showProposal.do?Continue=Y&amp;ID="&amp;BudgetsTable[[#This Row],[prop_id]],BudgetsTable[[#This Row],[prop_id]]))</f>
        <v/>
      </c>
      <c r="M402" s="15" t="str">
        <f>IF(BudgetsTable[[#This Row],[pi_last_name]]=" ","",HYPERLINK("https://www.ejacket.nsf.gov/ej/processReviewAnalysis.do?dispatch=add&amp;uniqId="&amp;BudgetsTable[[#This Row],[prop_id]]&amp;PO_id,"&gt;ra"))</f>
        <v/>
      </c>
      <c r="N402" s="79" t="s">
        <v>13</v>
      </c>
      <c r="O402" s="7" t="str">
        <f>IF(BudgetsTable[[#This Row],[pi_last_name]]=" ","",HYPERLINK("mailto:"&amp;BudgetsTable[[#This Row],[pi_email]]&amp;"&amp;subject=Your NSF Proposal:  "&amp;BudgetsTable[[#This Row],[prop_id]],BudgetsTable[[#This Row],[pi_email]]))</f>
        <v/>
      </c>
      <c r="P402" s="79" t="s">
        <v>13</v>
      </c>
      <c r="Q402" s="79">
        <v>1</v>
      </c>
      <c r="R402" s="79">
        <v>1.1000000000000001</v>
      </c>
      <c r="S402" s="80">
        <v>0</v>
      </c>
      <c r="T402" s="80">
        <v>4500</v>
      </c>
      <c r="U402" s="80">
        <v>0</v>
      </c>
      <c r="V402" s="81">
        <v>101653</v>
      </c>
      <c r="W402" s="79">
        <v>0</v>
      </c>
      <c r="X402" s="79">
        <v>3</v>
      </c>
      <c r="Y402" s="11" t="str">
        <f ca="1">IF(ISBLANK(BudgetsTable[[#This Row],[budg_seq_yr]]),"FY"&amp;fiscalyear,"FY"&amp;fiscalyear-1+BudgetsTable[[#This Row],[budg_seq_yr]])</f>
        <v>FY20</v>
      </c>
      <c r="Z402" s="80">
        <v>101653</v>
      </c>
      <c r="AA402" s="79" t="s">
        <v>477</v>
      </c>
      <c r="AB402" s="79" t="s">
        <v>582</v>
      </c>
      <c r="AC402" s="77" t="s">
        <v>94</v>
      </c>
      <c r="AD402" s="79" t="s">
        <v>1769</v>
      </c>
    </row>
    <row r="403" spans="1:30" x14ac:dyDescent="0.4">
      <c r="A403" s="10" t="s">
        <v>1785</v>
      </c>
      <c r="B403" s="77" t="s">
        <v>493</v>
      </c>
      <c r="C403" s="77">
        <f>C402+(BudgetsTable[[#This Row],[lead]]&lt;&gt;K402)</f>
        <v>79</v>
      </c>
      <c r="D403" s="77">
        <f>D402*(BudgetsTable[[#This Row],[lead]]=K402)+(BudgetsTable[[#This Row],[prop_id]]&lt;&gt;A402)</f>
        <v>4</v>
      </c>
      <c r="E403" s="78">
        <v>43005.606249999997</v>
      </c>
      <c r="F403" s="79" t="s">
        <v>524</v>
      </c>
      <c r="G403" s="79" t="s">
        <v>477</v>
      </c>
      <c r="H403" s="79" t="s">
        <v>582</v>
      </c>
      <c r="I403" s="77" t="s">
        <v>611</v>
      </c>
      <c r="J403" s="77" t="s">
        <v>1789</v>
      </c>
      <c r="K403" s="79" t="s">
        <v>1351</v>
      </c>
      <c r="L403" s="7" t="str">
        <f>IF(BudgetsTable[[#This Row],[pi_last_name]]=" ","",HYPERLINK("https://www.ejacket.nsf.gov/ej/showProposal.do?Continue=Y&amp;ID="&amp;BudgetsTable[[#This Row],[prop_id]],BudgetsTable[[#This Row],[prop_id]]))</f>
        <v>1763774</v>
      </c>
      <c r="M403" s="15" t="e">
        <f>IF(BudgetsTable[[#This Row],[pi_last_name]]=" ","",HYPERLINK("https://www.ejacket.nsf.gov/ej/processReviewAnalysis.do?dispatch=add&amp;uniqId="&amp;BudgetsTable[[#This Row],[prop_id]]&amp;PO_id,"&gt;ra"))</f>
        <v>#REF!</v>
      </c>
      <c r="N403" s="79" t="s">
        <v>1786</v>
      </c>
      <c r="O403" s="7" t="str">
        <f>IF(BudgetsTable[[#This Row],[pi_last_name]]=" ","",HYPERLINK("mailto:"&amp;BudgetsTable[[#This Row],[pi_email]]&amp;"&amp;subject=Your NSF Proposal:  "&amp;BudgetsTable[[#This Row],[prop_id]],BudgetsTable[[#This Row],[pi_email]]))</f>
        <v>rojas@math.tamu.edu</v>
      </c>
      <c r="P403" s="79" t="s">
        <v>1788</v>
      </c>
      <c r="Q403" s="79"/>
      <c r="R403" s="79"/>
      <c r="S403" s="80"/>
      <c r="T403" s="80"/>
      <c r="U403" s="80"/>
      <c r="V403" s="81"/>
      <c r="W403" s="79">
        <v>0</v>
      </c>
      <c r="X403" s="79"/>
      <c r="Y403" s="11" t="str">
        <f ca="1">IF(ISBLANK(BudgetsTable[[#This Row],[budg_seq_yr]]),"FY"&amp;fiscalyear,"FY"&amp;fiscalyear-1+BudgetsTable[[#This Row],[budg_seq_yr]])</f>
        <v>FY18</v>
      </c>
      <c r="Z403" s="80">
        <v>300000</v>
      </c>
      <c r="AA403" s="79" t="s">
        <v>477</v>
      </c>
      <c r="AB403" s="79" t="s">
        <v>582</v>
      </c>
      <c r="AC403" s="77" t="s">
        <v>94</v>
      </c>
      <c r="AD403" s="79" t="s">
        <v>1722</v>
      </c>
    </row>
    <row r="404" spans="1:30" x14ac:dyDescent="0.4">
      <c r="A404" s="10" t="s">
        <v>1785</v>
      </c>
      <c r="B404" s="77" t="s">
        <v>493</v>
      </c>
      <c r="C404" s="77">
        <f>C403+(BudgetsTable[[#This Row],[lead]]&lt;&gt;K403)</f>
        <v>79</v>
      </c>
      <c r="D404" s="77">
        <f>D403*(BudgetsTable[[#This Row],[lead]]=K403)+(BudgetsTable[[#This Row],[prop_id]]&lt;&gt;A403)</f>
        <v>4</v>
      </c>
      <c r="E404" s="78">
        <v>43005.606249999997</v>
      </c>
      <c r="F404" s="79" t="s">
        <v>524</v>
      </c>
      <c r="G404" s="79" t="s">
        <v>477</v>
      </c>
      <c r="H404" s="79" t="s">
        <v>582</v>
      </c>
      <c r="I404" s="77" t="s">
        <v>611</v>
      </c>
      <c r="J404" s="77" t="s">
        <v>13</v>
      </c>
      <c r="K404" s="79" t="s">
        <v>1351</v>
      </c>
      <c r="L404" s="7" t="str">
        <f>IF(BudgetsTable[[#This Row],[pi_last_name]]=" ","",HYPERLINK("https://www.ejacket.nsf.gov/ej/showProposal.do?Continue=Y&amp;ID="&amp;BudgetsTable[[#This Row],[prop_id]],BudgetsTable[[#This Row],[prop_id]]))</f>
        <v/>
      </c>
      <c r="M404" s="15" t="str">
        <f>IF(BudgetsTable[[#This Row],[pi_last_name]]=" ","",HYPERLINK("https://www.ejacket.nsf.gov/ej/processReviewAnalysis.do?dispatch=add&amp;uniqId="&amp;BudgetsTable[[#This Row],[prop_id]]&amp;PO_id,"&gt;ra"))</f>
        <v/>
      </c>
      <c r="N404" s="79" t="s">
        <v>13</v>
      </c>
      <c r="O404" s="7" t="str">
        <f>IF(BudgetsTable[[#This Row],[pi_last_name]]=" ","",HYPERLINK("mailto:"&amp;BudgetsTable[[#This Row],[pi_email]]&amp;"&amp;subject=Your NSF Proposal:  "&amp;BudgetsTable[[#This Row],[prop_id]],BudgetsTable[[#This Row],[pi_email]]))</f>
        <v/>
      </c>
      <c r="P404" s="79" t="s">
        <v>13</v>
      </c>
      <c r="Q404" s="79">
        <v>1</v>
      </c>
      <c r="R404" s="79">
        <v>0</v>
      </c>
      <c r="S404" s="80">
        <v>0</v>
      </c>
      <c r="T404" s="80">
        <v>0</v>
      </c>
      <c r="U404" s="80">
        <v>0</v>
      </c>
      <c r="V404" s="81">
        <v>97138</v>
      </c>
      <c r="W404" s="79">
        <v>0</v>
      </c>
      <c r="X404" s="79">
        <v>1</v>
      </c>
      <c r="Y404" s="11" t="str">
        <f ca="1">IF(ISBLANK(BudgetsTable[[#This Row],[budg_seq_yr]]),"FY"&amp;fiscalyear,"FY"&amp;fiscalyear-1+BudgetsTable[[#This Row],[budg_seq_yr]])</f>
        <v>FY18</v>
      </c>
      <c r="Z404" s="80">
        <v>97138</v>
      </c>
      <c r="AA404" s="79" t="s">
        <v>477</v>
      </c>
      <c r="AB404" s="79" t="s">
        <v>582</v>
      </c>
      <c r="AC404" s="77" t="s">
        <v>94</v>
      </c>
      <c r="AD404" s="79" t="s">
        <v>1722</v>
      </c>
    </row>
    <row r="405" spans="1:30" x14ac:dyDescent="0.4">
      <c r="A405" s="10" t="s">
        <v>1785</v>
      </c>
      <c r="B405" s="77" t="s">
        <v>493</v>
      </c>
      <c r="C405" s="77">
        <f>C404+(BudgetsTable[[#This Row],[lead]]&lt;&gt;K404)</f>
        <v>79</v>
      </c>
      <c r="D405" s="77">
        <f>D404*(BudgetsTable[[#This Row],[lead]]=K404)+(BudgetsTable[[#This Row],[prop_id]]&lt;&gt;A404)</f>
        <v>4</v>
      </c>
      <c r="E405" s="78">
        <v>43005.606249999997</v>
      </c>
      <c r="F405" s="79" t="s">
        <v>524</v>
      </c>
      <c r="G405" s="79" t="s">
        <v>477</v>
      </c>
      <c r="H405" s="79" t="s">
        <v>582</v>
      </c>
      <c r="I405" s="77" t="s">
        <v>611</v>
      </c>
      <c r="J405" s="77" t="s">
        <v>13</v>
      </c>
      <c r="K405" s="79" t="s">
        <v>1351</v>
      </c>
      <c r="L405" s="7" t="str">
        <f>IF(BudgetsTable[[#This Row],[pi_last_name]]=" ","",HYPERLINK("https://www.ejacket.nsf.gov/ej/showProposal.do?Continue=Y&amp;ID="&amp;BudgetsTable[[#This Row],[prop_id]],BudgetsTable[[#This Row],[prop_id]]))</f>
        <v/>
      </c>
      <c r="M405" s="15" t="str">
        <f>IF(BudgetsTable[[#This Row],[pi_last_name]]=" ","",HYPERLINK("https://www.ejacket.nsf.gov/ej/processReviewAnalysis.do?dispatch=add&amp;uniqId="&amp;BudgetsTable[[#This Row],[prop_id]]&amp;PO_id,"&gt;ra"))</f>
        <v/>
      </c>
      <c r="N405" s="79" t="s">
        <v>13</v>
      </c>
      <c r="O405" s="7" t="str">
        <f>IF(BudgetsTable[[#This Row],[pi_last_name]]=" ","",HYPERLINK("mailto:"&amp;BudgetsTable[[#This Row],[pi_email]]&amp;"&amp;subject=Your NSF Proposal:  "&amp;BudgetsTable[[#This Row],[prop_id]],BudgetsTable[[#This Row],[pi_email]]))</f>
        <v/>
      </c>
      <c r="P405" s="79" t="s">
        <v>13</v>
      </c>
      <c r="Q405" s="79">
        <v>1</v>
      </c>
      <c r="R405" s="79">
        <v>0</v>
      </c>
      <c r="S405" s="80">
        <v>0</v>
      </c>
      <c r="T405" s="80">
        <v>0</v>
      </c>
      <c r="U405" s="80">
        <v>0</v>
      </c>
      <c r="V405" s="81">
        <v>99968</v>
      </c>
      <c r="W405" s="79">
        <v>0</v>
      </c>
      <c r="X405" s="79">
        <v>2</v>
      </c>
      <c r="Y405" s="11" t="str">
        <f ca="1">IF(ISBLANK(BudgetsTable[[#This Row],[budg_seq_yr]]),"FY"&amp;fiscalyear,"FY"&amp;fiscalyear-1+BudgetsTable[[#This Row],[budg_seq_yr]])</f>
        <v>FY19</v>
      </c>
      <c r="Z405" s="80">
        <v>99968</v>
      </c>
      <c r="AA405" s="79" t="s">
        <v>477</v>
      </c>
      <c r="AB405" s="79" t="s">
        <v>582</v>
      </c>
      <c r="AC405" s="77" t="s">
        <v>94</v>
      </c>
      <c r="AD405" s="79" t="s">
        <v>1722</v>
      </c>
    </row>
    <row r="406" spans="1:30" x14ac:dyDescent="0.4">
      <c r="A406" s="10" t="s">
        <v>1785</v>
      </c>
      <c r="B406" s="77" t="s">
        <v>493</v>
      </c>
      <c r="C406" s="77">
        <f>C405+(BudgetsTable[[#This Row],[lead]]&lt;&gt;K405)</f>
        <v>79</v>
      </c>
      <c r="D406" s="77">
        <f>D405*(BudgetsTable[[#This Row],[lead]]=K405)+(BudgetsTable[[#This Row],[prop_id]]&lt;&gt;A405)</f>
        <v>4</v>
      </c>
      <c r="E406" s="78">
        <v>43005.606249999997</v>
      </c>
      <c r="F406" s="79" t="s">
        <v>524</v>
      </c>
      <c r="G406" s="79" t="s">
        <v>477</v>
      </c>
      <c r="H406" s="79" t="s">
        <v>582</v>
      </c>
      <c r="I406" s="77" t="s">
        <v>611</v>
      </c>
      <c r="J406" s="77" t="s">
        <v>13</v>
      </c>
      <c r="K406" s="79" t="s">
        <v>1351</v>
      </c>
      <c r="L406" s="7" t="str">
        <f>IF(BudgetsTable[[#This Row],[pi_last_name]]=" ","",HYPERLINK("https://www.ejacket.nsf.gov/ej/showProposal.do?Continue=Y&amp;ID="&amp;BudgetsTable[[#This Row],[prop_id]],BudgetsTable[[#This Row],[prop_id]]))</f>
        <v/>
      </c>
      <c r="M406" s="15" t="str">
        <f>IF(BudgetsTable[[#This Row],[pi_last_name]]=" ","",HYPERLINK("https://www.ejacket.nsf.gov/ej/processReviewAnalysis.do?dispatch=add&amp;uniqId="&amp;BudgetsTable[[#This Row],[prop_id]]&amp;PO_id,"&gt;ra"))</f>
        <v/>
      </c>
      <c r="N406" s="79" t="s">
        <v>13</v>
      </c>
      <c r="O406" s="7" t="str">
        <f>IF(BudgetsTable[[#This Row],[pi_last_name]]=" ","",HYPERLINK("mailto:"&amp;BudgetsTable[[#This Row],[pi_email]]&amp;"&amp;subject=Your NSF Proposal:  "&amp;BudgetsTable[[#This Row],[prop_id]],BudgetsTable[[#This Row],[pi_email]]))</f>
        <v/>
      </c>
      <c r="P406" s="79" t="s">
        <v>13</v>
      </c>
      <c r="Q406" s="79">
        <v>1</v>
      </c>
      <c r="R406" s="79">
        <v>0</v>
      </c>
      <c r="S406" s="80">
        <v>0</v>
      </c>
      <c r="T406" s="80">
        <v>0</v>
      </c>
      <c r="U406" s="80">
        <v>0</v>
      </c>
      <c r="V406" s="81">
        <v>102894</v>
      </c>
      <c r="W406" s="79">
        <v>0</v>
      </c>
      <c r="X406" s="79">
        <v>3</v>
      </c>
      <c r="Y406" s="11" t="str">
        <f ca="1">IF(ISBLANK(BudgetsTable[[#This Row],[budg_seq_yr]]),"FY"&amp;fiscalyear,"FY"&amp;fiscalyear-1+BudgetsTable[[#This Row],[budg_seq_yr]])</f>
        <v>FY20</v>
      </c>
      <c r="Z406" s="80">
        <v>102894</v>
      </c>
      <c r="AA406" s="79" t="s">
        <v>477</v>
      </c>
      <c r="AB406" s="79" t="s">
        <v>582</v>
      </c>
      <c r="AC406" s="77" t="s">
        <v>94</v>
      </c>
      <c r="AD406" s="79" t="s">
        <v>1722</v>
      </c>
    </row>
    <row r="407" spans="1:30" x14ac:dyDescent="0.4">
      <c r="A407" s="10" t="s">
        <v>1360</v>
      </c>
      <c r="B407" s="77" t="s">
        <v>491</v>
      </c>
      <c r="C407" s="77">
        <f>C406+(BudgetsTable[[#This Row],[lead]]&lt;&gt;K406)</f>
        <v>80</v>
      </c>
      <c r="D407" s="77">
        <f>D406*(BudgetsTable[[#This Row],[lead]]=K406)+(BudgetsTable[[#This Row],[prop_id]]&lt;&gt;A406)</f>
        <v>1</v>
      </c>
      <c r="E407" s="78">
        <v>43005.590277777781</v>
      </c>
      <c r="F407" s="79" t="s">
        <v>524</v>
      </c>
      <c r="G407" s="79" t="s">
        <v>477</v>
      </c>
      <c r="H407" s="79" t="s">
        <v>582</v>
      </c>
      <c r="I407" s="77" t="s">
        <v>611</v>
      </c>
      <c r="J407" s="77" t="s">
        <v>1792</v>
      </c>
      <c r="K407" s="79" t="s">
        <v>1360</v>
      </c>
      <c r="L407" s="7" t="str">
        <f>IF(BudgetsTable[[#This Row],[pi_last_name]]=" ","",HYPERLINK("https://www.ejacket.nsf.gov/ej/showProposal.do?Continue=Y&amp;ID="&amp;BudgetsTable[[#This Row],[prop_id]],BudgetsTable[[#This Row],[prop_id]]))</f>
        <v>1763733</v>
      </c>
      <c r="M407" s="15" t="e">
        <f>IF(BudgetsTable[[#This Row],[pi_last_name]]=" ","",HYPERLINK("https://www.ejacket.nsf.gov/ej/processReviewAnalysis.do?dispatch=add&amp;uniqId="&amp;BudgetsTable[[#This Row],[prop_id]]&amp;PO_id,"&gt;ra"))</f>
        <v>#REF!</v>
      </c>
      <c r="N407" s="79" t="s">
        <v>1361</v>
      </c>
      <c r="O407" s="7" t="str">
        <f>IF(BudgetsTable[[#This Row],[pi_last_name]]=" ","",HYPERLINK("mailto:"&amp;BudgetsTable[[#This Row],[pi_email]]&amp;"&amp;subject=Your NSF Proposal:  "&amp;BudgetsTable[[#This Row],[prop_id]],BudgetsTable[[#This Row],[pi_email]]))</f>
        <v>dgleich@purdue.edu</v>
      </c>
      <c r="P407" s="79" t="s">
        <v>495</v>
      </c>
      <c r="Q407" s="79"/>
      <c r="R407" s="79"/>
      <c r="S407" s="80"/>
      <c r="T407" s="80"/>
      <c r="U407" s="80"/>
      <c r="V407" s="81"/>
      <c r="W407" s="79">
        <v>0</v>
      </c>
      <c r="X407" s="79"/>
      <c r="Y407" s="11" t="str">
        <f ca="1">IF(ISBLANK(BudgetsTable[[#This Row],[budg_seq_yr]]),"FY"&amp;fiscalyear,"FY"&amp;fiscalyear-1+BudgetsTable[[#This Row],[budg_seq_yr]])</f>
        <v>FY18</v>
      </c>
      <c r="Z407" s="80">
        <v>508040</v>
      </c>
      <c r="AA407" s="79" t="s">
        <v>477</v>
      </c>
      <c r="AB407" s="79" t="s">
        <v>582</v>
      </c>
      <c r="AC407" s="77" t="s">
        <v>94</v>
      </c>
      <c r="AD407" s="79" t="s">
        <v>1790</v>
      </c>
    </row>
    <row r="408" spans="1:30" x14ac:dyDescent="0.4">
      <c r="A408" s="10" t="s">
        <v>1360</v>
      </c>
      <c r="B408" s="77" t="s">
        <v>491</v>
      </c>
      <c r="C408" s="77">
        <f>C407+(BudgetsTable[[#This Row],[lead]]&lt;&gt;K407)</f>
        <v>80</v>
      </c>
      <c r="D408" s="77">
        <f>D407*(BudgetsTable[[#This Row],[lead]]=K407)+(BudgetsTable[[#This Row],[prop_id]]&lt;&gt;A407)</f>
        <v>1</v>
      </c>
      <c r="E408" s="78">
        <v>43005.590277777781</v>
      </c>
      <c r="F408" s="79" t="s">
        <v>524</v>
      </c>
      <c r="G408" s="79" t="s">
        <v>477</v>
      </c>
      <c r="H408" s="79" t="s">
        <v>582</v>
      </c>
      <c r="I408" s="77" t="s">
        <v>611</v>
      </c>
      <c r="J408" s="77" t="s">
        <v>13</v>
      </c>
      <c r="K408" s="79" t="s">
        <v>1360</v>
      </c>
      <c r="L408" s="7" t="str">
        <f>IF(BudgetsTable[[#This Row],[pi_last_name]]=" ","",HYPERLINK("https://www.ejacket.nsf.gov/ej/showProposal.do?Continue=Y&amp;ID="&amp;BudgetsTable[[#This Row],[prop_id]],BudgetsTable[[#This Row],[prop_id]]))</f>
        <v/>
      </c>
      <c r="M408" s="15" t="str">
        <f>IF(BudgetsTable[[#This Row],[pi_last_name]]=" ","",HYPERLINK("https://www.ejacket.nsf.gov/ej/processReviewAnalysis.do?dispatch=add&amp;uniqId="&amp;BudgetsTable[[#This Row],[prop_id]]&amp;PO_id,"&gt;ra"))</f>
        <v/>
      </c>
      <c r="N408" s="79" t="s">
        <v>13</v>
      </c>
      <c r="O408" s="7" t="str">
        <f>IF(BudgetsTable[[#This Row],[pi_last_name]]=" ","",HYPERLINK("mailto:"&amp;BudgetsTable[[#This Row],[pi_email]]&amp;"&amp;subject=Your NSF Proposal:  "&amp;BudgetsTable[[#This Row],[prop_id]],BudgetsTable[[#This Row],[pi_email]]))</f>
        <v/>
      </c>
      <c r="P408" s="79" t="s">
        <v>13</v>
      </c>
      <c r="Q408" s="79">
        <v>1</v>
      </c>
      <c r="R408" s="79">
        <v>1</v>
      </c>
      <c r="S408" s="80">
        <v>0</v>
      </c>
      <c r="T408" s="80">
        <v>5000</v>
      </c>
      <c r="U408" s="80">
        <v>0</v>
      </c>
      <c r="V408" s="81">
        <v>131114</v>
      </c>
      <c r="W408" s="79">
        <v>0</v>
      </c>
      <c r="X408" s="79">
        <v>1</v>
      </c>
      <c r="Y408" s="11" t="str">
        <f ca="1">IF(ISBLANK(BudgetsTable[[#This Row],[budg_seq_yr]]),"FY"&amp;fiscalyear,"FY"&amp;fiscalyear-1+BudgetsTable[[#This Row],[budg_seq_yr]])</f>
        <v>FY18</v>
      </c>
      <c r="Z408" s="80">
        <v>131114</v>
      </c>
      <c r="AA408" s="79" t="s">
        <v>477</v>
      </c>
      <c r="AB408" s="79" t="s">
        <v>582</v>
      </c>
      <c r="AC408" s="77" t="s">
        <v>94</v>
      </c>
      <c r="AD408" s="79" t="s">
        <v>1790</v>
      </c>
    </row>
    <row r="409" spans="1:30" x14ac:dyDescent="0.4">
      <c r="A409" s="10" t="s">
        <v>1360</v>
      </c>
      <c r="B409" s="77" t="s">
        <v>491</v>
      </c>
      <c r="C409" s="77">
        <f>C408+(BudgetsTable[[#This Row],[lead]]&lt;&gt;K408)</f>
        <v>80</v>
      </c>
      <c r="D409" s="77">
        <f>D408*(BudgetsTable[[#This Row],[lead]]=K408)+(BudgetsTable[[#This Row],[prop_id]]&lt;&gt;A408)</f>
        <v>1</v>
      </c>
      <c r="E409" s="78">
        <v>43005.590277777781</v>
      </c>
      <c r="F409" s="79" t="s">
        <v>524</v>
      </c>
      <c r="G409" s="79" t="s">
        <v>477</v>
      </c>
      <c r="H409" s="79" t="s">
        <v>582</v>
      </c>
      <c r="I409" s="77" t="s">
        <v>611</v>
      </c>
      <c r="J409" s="77" t="s">
        <v>13</v>
      </c>
      <c r="K409" s="79" t="s">
        <v>1360</v>
      </c>
      <c r="L409" s="7" t="str">
        <f>IF(BudgetsTable[[#This Row],[pi_last_name]]=" ","",HYPERLINK("https://www.ejacket.nsf.gov/ej/showProposal.do?Continue=Y&amp;ID="&amp;BudgetsTable[[#This Row],[prop_id]],BudgetsTable[[#This Row],[prop_id]]))</f>
        <v/>
      </c>
      <c r="M409" s="15" t="str">
        <f>IF(BudgetsTable[[#This Row],[pi_last_name]]=" ","",HYPERLINK("https://www.ejacket.nsf.gov/ej/processReviewAnalysis.do?dispatch=add&amp;uniqId="&amp;BudgetsTable[[#This Row],[prop_id]]&amp;PO_id,"&gt;ra"))</f>
        <v/>
      </c>
      <c r="N409" s="79" t="s">
        <v>13</v>
      </c>
      <c r="O409" s="7" t="str">
        <f>IF(BudgetsTable[[#This Row],[pi_last_name]]=" ","",HYPERLINK("mailto:"&amp;BudgetsTable[[#This Row],[pi_email]]&amp;"&amp;subject=Your NSF Proposal:  "&amp;BudgetsTable[[#This Row],[prop_id]],BudgetsTable[[#This Row],[pi_email]]))</f>
        <v/>
      </c>
      <c r="P409" s="79" t="s">
        <v>13</v>
      </c>
      <c r="Q409" s="79">
        <v>1</v>
      </c>
      <c r="R409" s="79">
        <v>1</v>
      </c>
      <c r="S409" s="80">
        <v>0</v>
      </c>
      <c r="T409" s="80">
        <v>5000</v>
      </c>
      <c r="U409" s="80">
        <v>0</v>
      </c>
      <c r="V409" s="81">
        <v>123341</v>
      </c>
      <c r="W409" s="79">
        <v>0</v>
      </c>
      <c r="X409" s="79">
        <v>2</v>
      </c>
      <c r="Y409" s="11" t="str">
        <f ca="1">IF(ISBLANK(BudgetsTable[[#This Row],[budg_seq_yr]]),"FY"&amp;fiscalyear,"FY"&amp;fiscalyear-1+BudgetsTable[[#This Row],[budg_seq_yr]])</f>
        <v>FY19</v>
      </c>
      <c r="Z409" s="80">
        <v>123341</v>
      </c>
      <c r="AA409" s="79" t="s">
        <v>477</v>
      </c>
      <c r="AB409" s="79" t="s">
        <v>582</v>
      </c>
      <c r="AC409" s="77" t="s">
        <v>94</v>
      </c>
      <c r="AD409" s="79" t="s">
        <v>1790</v>
      </c>
    </row>
    <row r="410" spans="1:30" x14ac:dyDescent="0.4">
      <c r="A410" s="10" t="s">
        <v>1360</v>
      </c>
      <c r="B410" s="77" t="s">
        <v>491</v>
      </c>
      <c r="C410" s="77">
        <f>C409+(BudgetsTable[[#This Row],[lead]]&lt;&gt;K409)</f>
        <v>80</v>
      </c>
      <c r="D410" s="77">
        <f>D409*(BudgetsTable[[#This Row],[lead]]=K409)+(BudgetsTable[[#This Row],[prop_id]]&lt;&gt;A409)</f>
        <v>1</v>
      </c>
      <c r="E410" s="78">
        <v>43005.590277777781</v>
      </c>
      <c r="F410" s="79" t="s">
        <v>524</v>
      </c>
      <c r="G410" s="79" t="s">
        <v>477</v>
      </c>
      <c r="H410" s="79" t="s">
        <v>582</v>
      </c>
      <c r="I410" s="77" t="s">
        <v>611</v>
      </c>
      <c r="J410" s="77" t="s">
        <v>13</v>
      </c>
      <c r="K410" s="79" t="s">
        <v>1360</v>
      </c>
      <c r="L410" s="7" t="str">
        <f>IF(BudgetsTable[[#This Row],[pi_last_name]]=" ","",HYPERLINK("https://www.ejacket.nsf.gov/ej/showProposal.do?Continue=Y&amp;ID="&amp;BudgetsTable[[#This Row],[prop_id]],BudgetsTable[[#This Row],[prop_id]]))</f>
        <v/>
      </c>
      <c r="M410" s="15" t="str">
        <f>IF(BudgetsTable[[#This Row],[pi_last_name]]=" ","",HYPERLINK("https://www.ejacket.nsf.gov/ej/processReviewAnalysis.do?dispatch=add&amp;uniqId="&amp;BudgetsTable[[#This Row],[prop_id]]&amp;PO_id,"&gt;ra"))</f>
        <v/>
      </c>
      <c r="N410" s="79" t="s">
        <v>13</v>
      </c>
      <c r="O410" s="7" t="str">
        <f>IF(BudgetsTable[[#This Row],[pi_last_name]]=" ","",HYPERLINK("mailto:"&amp;BudgetsTable[[#This Row],[pi_email]]&amp;"&amp;subject=Your NSF Proposal:  "&amp;BudgetsTable[[#This Row],[prop_id]],BudgetsTable[[#This Row],[pi_email]]))</f>
        <v/>
      </c>
      <c r="P410" s="79" t="s">
        <v>13</v>
      </c>
      <c r="Q410" s="79">
        <v>1</v>
      </c>
      <c r="R410" s="79">
        <v>1</v>
      </c>
      <c r="S410" s="80">
        <v>0</v>
      </c>
      <c r="T410" s="80">
        <v>5000</v>
      </c>
      <c r="U410" s="80">
        <v>0</v>
      </c>
      <c r="V410" s="81">
        <v>125623</v>
      </c>
      <c r="W410" s="79">
        <v>0</v>
      </c>
      <c r="X410" s="79">
        <v>3</v>
      </c>
      <c r="Y410" s="11" t="str">
        <f ca="1">IF(ISBLANK(BudgetsTable[[#This Row],[budg_seq_yr]]),"FY"&amp;fiscalyear,"FY"&amp;fiscalyear-1+BudgetsTable[[#This Row],[budg_seq_yr]])</f>
        <v>FY20</v>
      </c>
      <c r="Z410" s="80">
        <v>125623</v>
      </c>
      <c r="AA410" s="79" t="s">
        <v>477</v>
      </c>
      <c r="AB410" s="79" t="s">
        <v>582</v>
      </c>
      <c r="AC410" s="77" t="s">
        <v>94</v>
      </c>
      <c r="AD410" s="79" t="s">
        <v>1790</v>
      </c>
    </row>
    <row r="411" spans="1:30" x14ac:dyDescent="0.4">
      <c r="A411" s="10" t="s">
        <v>1360</v>
      </c>
      <c r="B411" s="77" t="s">
        <v>491</v>
      </c>
      <c r="C411" s="77">
        <f>C410+(BudgetsTable[[#This Row],[lead]]&lt;&gt;K410)</f>
        <v>80</v>
      </c>
      <c r="D411" s="77">
        <f>D410*(BudgetsTable[[#This Row],[lead]]=K410)+(BudgetsTable[[#This Row],[prop_id]]&lt;&gt;A410)</f>
        <v>1</v>
      </c>
      <c r="E411" s="78">
        <v>43005.590277777781</v>
      </c>
      <c r="F411" s="79" t="s">
        <v>524</v>
      </c>
      <c r="G411" s="79" t="s">
        <v>477</v>
      </c>
      <c r="H411" s="79" t="s">
        <v>582</v>
      </c>
      <c r="I411" s="77" t="s">
        <v>611</v>
      </c>
      <c r="J411" s="77" t="s">
        <v>13</v>
      </c>
      <c r="K411" s="79" t="s">
        <v>1360</v>
      </c>
      <c r="L411" s="7" t="str">
        <f>IF(BudgetsTable[[#This Row],[pi_last_name]]=" ","",HYPERLINK("https://www.ejacket.nsf.gov/ej/showProposal.do?Continue=Y&amp;ID="&amp;BudgetsTable[[#This Row],[prop_id]],BudgetsTable[[#This Row],[prop_id]]))</f>
        <v/>
      </c>
      <c r="M411" s="15" t="str">
        <f>IF(BudgetsTable[[#This Row],[pi_last_name]]=" ","",HYPERLINK("https://www.ejacket.nsf.gov/ej/processReviewAnalysis.do?dispatch=add&amp;uniqId="&amp;BudgetsTable[[#This Row],[prop_id]]&amp;PO_id,"&gt;ra"))</f>
        <v/>
      </c>
      <c r="N411" s="79" t="s">
        <v>13</v>
      </c>
      <c r="O411" s="7" t="str">
        <f>IF(BudgetsTable[[#This Row],[pi_last_name]]=" ","",HYPERLINK("mailto:"&amp;BudgetsTable[[#This Row],[pi_email]]&amp;"&amp;subject=Your NSF Proposal:  "&amp;BudgetsTable[[#This Row],[prop_id]],BudgetsTable[[#This Row],[pi_email]]))</f>
        <v/>
      </c>
      <c r="P411" s="79" t="s">
        <v>13</v>
      </c>
      <c r="Q411" s="79">
        <v>1</v>
      </c>
      <c r="R411" s="79">
        <v>1</v>
      </c>
      <c r="S411" s="80">
        <v>0</v>
      </c>
      <c r="T411" s="80">
        <v>5000</v>
      </c>
      <c r="U411" s="80">
        <v>0</v>
      </c>
      <c r="V411" s="81">
        <v>127962</v>
      </c>
      <c r="W411" s="79">
        <v>0</v>
      </c>
      <c r="X411" s="79">
        <v>4</v>
      </c>
      <c r="Y411" s="11" t="str">
        <f ca="1">IF(ISBLANK(BudgetsTable[[#This Row],[budg_seq_yr]]),"FY"&amp;fiscalyear,"FY"&amp;fiscalyear-1+BudgetsTable[[#This Row],[budg_seq_yr]])</f>
        <v>FY21</v>
      </c>
      <c r="Z411" s="80">
        <v>127962</v>
      </c>
      <c r="AA411" s="79" t="s">
        <v>477</v>
      </c>
      <c r="AB411" s="79" t="s">
        <v>582</v>
      </c>
      <c r="AC411" s="77" t="s">
        <v>94</v>
      </c>
      <c r="AD411" s="79" t="s">
        <v>1790</v>
      </c>
    </row>
    <row r="412" spans="1:30" x14ac:dyDescent="0.4">
      <c r="A412" s="10" t="s">
        <v>1793</v>
      </c>
      <c r="B412" s="77" t="s">
        <v>493</v>
      </c>
      <c r="C412" s="77">
        <f>C411+(BudgetsTable[[#This Row],[lead]]&lt;&gt;K411)</f>
        <v>80</v>
      </c>
      <c r="D412" s="77">
        <f>D411*(BudgetsTable[[#This Row],[lead]]=K411)+(BudgetsTable[[#This Row],[prop_id]]&lt;&gt;A411)</f>
        <v>2</v>
      </c>
      <c r="E412" s="78">
        <v>43005.378472222219</v>
      </c>
      <c r="F412" s="79" t="s">
        <v>524</v>
      </c>
      <c r="G412" s="79" t="s">
        <v>477</v>
      </c>
      <c r="H412" s="79" t="s">
        <v>582</v>
      </c>
      <c r="I412" s="77" t="s">
        <v>611</v>
      </c>
      <c r="J412" s="77" t="s">
        <v>1796</v>
      </c>
      <c r="K412" s="79" t="s">
        <v>1360</v>
      </c>
      <c r="L412" s="7" t="str">
        <f>IF(BudgetsTable[[#This Row],[pi_last_name]]=" ","",HYPERLINK("https://www.ejacket.nsf.gov/ej/showProposal.do?Continue=Y&amp;ID="&amp;BudgetsTable[[#This Row],[prop_id]],BudgetsTable[[#This Row],[prop_id]]))</f>
        <v>1763455</v>
      </c>
      <c r="M412" s="15" t="e">
        <f>IF(BudgetsTable[[#This Row],[pi_last_name]]=" ","",HYPERLINK("https://www.ejacket.nsf.gov/ej/processReviewAnalysis.do?dispatch=add&amp;uniqId="&amp;BudgetsTable[[#This Row],[prop_id]]&amp;PO_id,"&gt;ra"))</f>
        <v>#REF!</v>
      </c>
      <c r="N412" s="79" t="s">
        <v>1794</v>
      </c>
      <c r="O412" s="7" t="str">
        <f>IF(BudgetsTable[[#This Row],[pi_last_name]]=" ","",HYPERLINK("mailto:"&amp;BudgetsTable[[#This Row],[pi_email]]&amp;"&amp;subject=Your NSF Proposal:  "&amp;BudgetsTable[[#This Row],[prop_id]],BudgetsTable[[#This Row],[pi_email]]))</f>
        <v>arb@cs.cornell.edu</v>
      </c>
      <c r="P412" s="79" t="s">
        <v>1754</v>
      </c>
      <c r="Q412" s="79"/>
      <c r="R412" s="79"/>
      <c r="S412" s="80"/>
      <c r="T412" s="80"/>
      <c r="U412" s="80"/>
      <c r="V412" s="81"/>
      <c r="W412" s="79">
        <v>0</v>
      </c>
      <c r="X412" s="79"/>
      <c r="Y412" s="11" t="str">
        <f ca="1">IF(ISBLANK(BudgetsTable[[#This Row],[budg_seq_yr]]),"FY"&amp;fiscalyear,"FY"&amp;fiscalyear-1+BudgetsTable[[#This Row],[budg_seq_yr]])</f>
        <v>FY18</v>
      </c>
      <c r="Z412" s="80">
        <v>591393</v>
      </c>
      <c r="AA412" s="79" t="s">
        <v>477</v>
      </c>
      <c r="AB412" s="79" t="s">
        <v>582</v>
      </c>
      <c r="AC412" s="77" t="s">
        <v>94</v>
      </c>
      <c r="AD412" s="79" t="s">
        <v>1790</v>
      </c>
    </row>
    <row r="413" spans="1:30" x14ac:dyDescent="0.4">
      <c r="A413" s="10" t="s">
        <v>1793</v>
      </c>
      <c r="B413" s="77" t="s">
        <v>493</v>
      </c>
      <c r="C413" s="77">
        <f>C412+(BudgetsTable[[#This Row],[lead]]&lt;&gt;K412)</f>
        <v>80</v>
      </c>
      <c r="D413" s="77">
        <f>D412*(BudgetsTable[[#This Row],[lead]]=K412)+(BudgetsTable[[#This Row],[prop_id]]&lt;&gt;A412)</f>
        <v>2</v>
      </c>
      <c r="E413" s="78">
        <v>43005.378472222219</v>
      </c>
      <c r="F413" s="79" t="s">
        <v>524</v>
      </c>
      <c r="G413" s="79" t="s">
        <v>477</v>
      </c>
      <c r="H413" s="79" t="s">
        <v>582</v>
      </c>
      <c r="I413" s="77" t="s">
        <v>611</v>
      </c>
      <c r="J413" s="77" t="s">
        <v>13</v>
      </c>
      <c r="K413" s="79" t="s">
        <v>1360</v>
      </c>
      <c r="L413" s="7" t="str">
        <f>IF(BudgetsTable[[#This Row],[pi_last_name]]=" ","",HYPERLINK("https://www.ejacket.nsf.gov/ej/showProposal.do?Continue=Y&amp;ID="&amp;BudgetsTable[[#This Row],[prop_id]],BudgetsTable[[#This Row],[prop_id]]))</f>
        <v/>
      </c>
      <c r="M413" s="15" t="str">
        <f>IF(BudgetsTable[[#This Row],[pi_last_name]]=" ","",HYPERLINK("https://www.ejacket.nsf.gov/ej/processReviewAnalysis.do?dispatch=add&amp;uniqId="&amp;BudgetsTable[[#This Row],[prop_id]]&amp;PO_id,"&gt;ra"))</f>
        <v/>
      </c>
      <c r="N413" s="79" t="s">
        <v>13</v>
      </c>
      <c r="O413" s="7" t="str">
        <f>IF(BudgetsTable[[#This Row],[pi_last_name]]=" ","",HYPERLINK("mailto:"&amp;BudgetsTable[[#This Row],[pi_email]]&amp;"&amp;subject=Your NSF Proposal:  "&amp;BudgetsTable[[#This Row],[prop_id]],BudgetsTable[[#This Row],[pi_email]]))</f>
        <v/>
      </c>
      <c r="P413" s="79" t="s">
        <v>13</v>
      </c>
      <c r="Q413" s="79">
        <v>1</v>
      </c>
      <c r="R413" s="79">
        <v>1</v>
      </c>
      <c r="S413" s="80">
        <v>0</v>
      </c>
      <c r="T413" s="80">
        <v>5484</v>
      </c>
      <c r="U413" s="80">
        <v>0</v>
      </c>
      <c r="V413" s="81">
        <v>148583</v>
      </c>
      <c r="W413" s="79">
        <v>0</v>
      </c>
      <c r="X413" s="79">
        <v>1</v>
      </c>
      <c r="Y413" s="11" t="str">
        <f ca="1">IF(ISBLANK(BudgetsTable[[#This Row],[budg_seq_yr]]),"FY"&amp;fiscalyear,"FY"&amp;fiscalyear-1+BudgetsTable[[#This Row],[budg_seq_yr]])</f>
        <v>FY18</v>
      </c>
      <c r="Z413" s="80">
        <v>148583</v>
      </c>
      <c r="AA413" s="79" t="s">
        <v>477</v>
      </c>
      <c r="AB413" s="79" t="s">
        <v>582</v>
      </c>
      <c r="AC413" s="77" t="s">
        <v>94</v>
      </c>
      <c r="AD413" s="79" t="s">
        <v>1790</v>
      </c>
    </row>
    <row r="414" spans="1:30" x14ac:dyDescent="0.4">
      <c r="A414" s="10" t="s">
        <v>1793</v>
      </c>
      <c r="B414" s="77" t="s">
        <v>493</v>
      </c>
      <c r="C414" s="77">
        <f>C413+(BudgetsTable[[#This Row],[lead]]&lt;&gt;K413)</f>
        <v>80</v>
      </c>
      <c r="D414" s="77">
        <f>D413*(BudgetsTable[[#This Row],[lead]]=K413)+(BudgetsTable[[#This Row],[prop_id]]&lt;&gt;A413)</f>
        <v>2</v>
      </c>
      <c r="E414" s="78">
        <v>43005.378472222219</v>
      </c>
      <c r="F414" s="79" t="s">
        <v>524</v>
      </c>
      <c r="G414" s="79" t="s">
        <v>477</v>
      </c>
      <c r="H414" s="79" t="s">
        <v>582</v>
      </c>
      <c r="I414" s="77" t="s">
        <v>611</v>
      </c>
      <c r="J414" s="77" t="s">
        <v>13</v>
      </c>
      <c r="K414" s="79" t="s">
        <v>1360</v>
      </c>
      <c r="L414" s="7" t="str">
        <f>IF(BudgetsTable[[#This Row],[pi_last_name]]=" ","",HYPERLINK("https://www.ejacket.nsf.gov/ej/showProposal.do?Continue=Y&amp;ID="&amp;BudgetsTable[[#This Row],[prop_id]],BudgetsTable[[#This Row],[prop_id]]))</f>
        <v/>
      </c>
      <c r="M414" s="15" t="str">
        <f>IF(BudgetsTable[[#This Row],[pi_last_name]]=" ","",HYPERLINK("https://www.ejacket.nsf.gov/ej/processReviewAnalysis.do?dispatch=add&amp;uniqId="&amp;BudgetsTable[[#This Row],[prop_id]]&amp;PO_id,"&gt;ra"))</f>
        <v/>
      </c>
      <c r="N414" s="79" t="s">
        <v>13</v>
      </c>
      <c r="O414" s="7" t="str">
        <f>IF(BudgetsTable[[#This Row],[pi_last_name]]=" ","",HYPERLINK("mailto:"&amp;BudgetsTable[[#This Row],[pi_email]]&amp;"&amp;subject=Your NSF Proposal:  "&amp;BudgetsTable[[#This Row],[prop_id]],BudgetsTable[[#This Row],[pi_email]]))</f>
        <v/>
      </c>
      <c r="P414" s="79" t="s">
        <v>13</v>
      </c>
      <c r="Q414" s="79">
        <v>1</v>
      </c>
      <c r="R414" s="79">
        <v>1</v>
      </c>
      <c r="S414" s="80">
        <v>0</v>
      </c>
      <c r="T414" s="80">
        <v>5758</v>
      </c>
      <c r="U414" s="80">
        <v>0</v>
      </c>
      <c r="V414" s="81">
        <v>142982</v>
      </c>
      <c r="W414" s="79">
        <v>0</v>
      </c>
      <c r="X414" s="79">
        <v>2</v>
      </c>
      <c r="Y414" s="11" t="str">
        <f ca="1">IF(ISBLANK(BudgetsTable[[#This Row],[budg_seq_yr]]),"FY"&amp;fiscalyear,"FY"&amp;fiscalyear-1+BudgetsTable[[#This Row],[budg_seq_yr]])</f>
        <v>FY19</v>
      </c>
      <c r="Z414" s="80">
        <v>142982</v>
      </c>
      <c r="AA414" s="79" t="s">
        <v>477</v>
      </c>
      <c r="AB414" s="79" t="s">
        <v>582</v>
      </c>
      <c r="AC414" s="77" t="s">
        <v>94</v>
      </c>
      <c r="AD414" s="79" t="s">
        <v>1790</v>
      </c>
    </row>
    <row r="415" spans="1:30" x14ac:dyDescent="0.4">
      <c r="A415" s="10" t="s">
        <v>1793</v>
      </c>
      <c r="B415" s="77" t="s">
        <v>493</v>
      </c>
      <c r="C415" s="77">
        <f>C414+(BudgetsTable[[#This Row],[lead]]&lt;&gt;K414)</f>
        <v>80</v>
      </c>
      <c r="D415" s="77">
        <f>D414*(BudgetsTable[[#This Row],[lead]]=K414)+(BudgetsTable[[#This Row],[prop_id]]&lt;&gt;A414)</f>
        <v>2</v>
      </c>
      <c r="E415" s="78">
        <v>43005.378472222219</v>
      </c>
      <c r="F415" s="79" t="s">
        <v>524</v>
      </c>
      <c r="G415" s="79" t="s">
        <v>477</v>
      </c>
      <c r="H415" s="79" t="s">
        <v>582</v>
      </c>
      <c r="I415" s="77" t="s">
        <v>611</v>
      </c>
      <c r="J415" s="77" t="s">
        <v>13</v>
      </c>
      <c r="K415" s="79" t="s">
        <v>1360</v>
      </c>
      <c r="L415" s="7" t="str">
        <f>IF(BudgetsTable[[#This Row],[pi_last_name]]=" ","",HYPERLINK("https://www.ejacket.nsf.gov/ej/showProposal.do?Continue=Y&amp;ID="&amp;BudgetsTable[[#This Row],[prop_id]],BudgetsTable[[#This Row],[prop_id]]))</f>
        <v/>
      </c>
      <c r="M415" s="15" t="str">
        <f>IF(BudgetsTable[[#This Row],[pi_last_name]]=" ","",HYPERLINK("https://www.ejacket.nsf.gov/ej/processReviewAnalysis.do?dispatch=add&amp;uniqId="&amp;BudgetsTable[[#This Row],[prop_id]]&amp;PO_id,"&gt;ra"))</f>
        <v/>
      </c>
      <c r="N415" s="79" t="s">
        <v>13</v>
      </c>
      <c r="O415" s="7" t="str">
        <f>IF(BudgetsTable[[#This Row],[pi_last_name]]=" ","",HYPERLINK("mailto:"&amp;BudgetsTable[[#This Row],[pi_email]]&amp;"&amp;subject=Your NSF Proposal:  "&amp;BudgetsTable[[#This Row],[prop_id]],BudgetsTable[[#This Row],[pi_email]]))</f>
        <v/>
      </c>
      <c r="P415" s="79" t="s">
        <v>13</v>
      </c>
      <c r="Q415" s="79">
        <v>1</v>
      </c>
      <c r="R415" s="79">
        <v>1</v>
      </c>
      <c r="S415" s="80">
        <v>0</v>
      </c>
      <c r="T415" s="80">
        <v>6046</v>
      </c>
      <c r="U415" s="80">
        <v>0</v>
      </c>
      <c r="V415" s="81">
        <v>147549</v>
      </c>
      <c r="W415" s="79">
        <v>0</v>
      </c>
      <c r="X415" s="79">
        <v>3</v>
      </c>
      <c r="Y415" s="11" t="str">
        <f ca="1">IF(ISBLANK(BudgetsTable[[#This Row],[budg_seq_yr]]),"FY"&amp;fiscalyear,"FY"&amp;fiscalyear-1+BudgetsTable[[#This Row],[budg_seq_yr]])</f>
        <v>FY20</v>
      </c>
      <c r="Z415" s="80">
        <v>147549</v>
      </c>
      <c r="AA415" s="79" t="s">
        <v>477</v>
      </c>
      <c r="AB415" s="79" t="s">
        <v>582</v>
      </c>
      <c r="AC415" s="77" t="s">
        <v>94</v>
      </c>
      <c r="AD415" s="79" t="s">
        <v>1790</v>
      </c>
    </row>
    <row r="416" spans="1:30" x14ac:dyDescent="0.4">
      <c r="A416" s="10" t="s">
        <v>1793</v>
      </c>
      <c r="B416" s="77" t="s">
        <v>493</v>
      </c>
      <c r="C416" s="77">
        <f>C415+(BudgetsTable[[#This Row],[lead]]&lt;&gt;K415)</f>
        <v>80</v>
      </c>
      <c r="D416" s="77">
        <f>D415*(BudgetsTable[[#This Row],[lead]]=K415)+(BudgetsTable[[#This Row],[prop_id]]&lt;&gt;A415)</f>
        <v>2</v>
      </c>
      <c r="E416" s="78">
        <v>43005.378472222219</v>
      </c>
      <c r="F416" s="79" t="s">
        <v>524</v>
      </c>
      <c r="G416" s="79" t="s">
        <v>477</v>
      </c>
      <c r="H416" s="79" t="s">
        <v>582</v>
      </c>
      <c r="I416" s="77" t="s">
        <v>611</v>
      </c>
      <c r="J416" s="77" t="s">
        <v>13</v>
      </c>
      <c r="K416" s="79" t="s">
        <v>1360</v>
      </c>
      <c r="L416" s="7" t="str">
        <f>IF(BudgetsTable[[#This Row],[pi_last_name]]=" ","",HYPERLINK("https://www.ejacket.nsf.gov/ej/showProposal.do?Continue=Y&amp;ID="&amp;BudgetsTable[[#This Row],[prop_id]],BudgetsTable[[#This Row],[prop_id]]))</f>
        <v/>
      </c>
      <c r="M416" s="15" t="str">
        <f>IF(BudgetsTable[[#This Row],[pi_last_name]]=" ","",HYPERLINK("https://www.ejacket.nsf.gov/ej/processReviewAnalysis.do?dispatch=add&amp;uniqId="&amp;BudgetsTable[[#This Row],[prop_id]]&amp;PO_id,"&gt;ra"))</f>
        <v/>
      </c>
      <c r="N416" s="79" t="s">
        <v>13</v>
      </c>
      <c r="O416" s="7" t="str">
        <f>IF(BudgetsTable[[#This Row],[pi_last_name]]=" ","",HYPERLINK("mailto:"&amp;BudgetsTable[[#This Row],[pi_email]]&amp;"&amp;subject=Your NSF Proposal:  "&amp;BudgetsTable[[#This Row],[prop_id]],BudgetsTable[[#This Row],[pi_email]]))</f>
        <v/>
      </c>
      <c r="P416" s="79" t="s">
        <v>13</v>
      </c>
      <c r="Q416" s="79">
        <v>1</v>
      </c>
      <c r="R416" s="79">
        <v>1</v>
      </c>
      <c r="S416" s="80">
        <v>0</v>
      </c>
      <c r="T416" s="80">
        <v>6348</v>
      </c>
      <c r="U416" s="80">
        <v>0</v>
      </c>
      <c r="V416" s="81">
        <v>152279</v>
      </c>
      <c r="W416" s="79">
        <v>0</v>
      </c>
      <c r="X416" s="79">
        <v>4</v>
      </c>
      <c r="Y416" s="11" t="str">
        <f ca="1">IF(ISBLANK(BudgetsTable[[#This Row],[budg_seq_yr]]),"FY"&amp;fiscalyear,"FY"&amp;fiscalyear-1+BudgetsTable[[#This Row],[budg_seq_yr]])</f>
        <v>FY21</v>
      </c>
      <c r="Z416" s="80">
        <v>152279</v>
      </c>
      <c r="AA416" s="79" t="s">
        <v>477</v>
      </c>
      <c r="AB416" s="79" t="s">
        <v>582</v>
      </c>
      <c r="AC416" s="77" t="s">
        <v>94</v>
      </c>
      <c r="AD416" s="79" t="s">
        <v>1790</v>
      </c>
    </row>
    <row r="417" spans="1:30" x14ac:dyDescent="0.4">
      <c r="A417" s="10" t="s">
        <v>1372</v>
      </c>
      <c r="B417" s="77" t="s">
        <v>491</v>
      </c>
      <c r="C417" s="77">
        <f>C416+(BudgetsTable[[#This Row],[lead]]&lt;&gt;K416)</f>
        <v>81</v>
      </c>
      <c r="D417" s="77">
        <f>D416*(BudgetsTable[[#This Row],[lead]]=K416)+(BudgetsTable[[#This Row],[prop_id]]&lt;&gt;A416)</f>
        <v>1</v>
      </c>
      <c r="E417" s="78">
        <v>43005.654861111114</v>
      </c>
      <c r="F417" s="79" t="s">
        <v>524</v>
      </c>
      <c r="G417" s="79" t="s">
        <v>477</v>
      </c>
      <c r="H417" s="79" t="s">
        <v>582</v>
      </c>
      <c r="I417" s="77" t="s">
        <v>611</v>
      </c>
      <c r="J417" s="77" t="s">
        <v>1801</v>
      </c>
      <c r="K417" s="79" t="s">
        <v>1372</v>
      </c>
      <c r="L417" s="7" t="str">
        <f>IF(BudgetsTable[[#This Row],[pi_last_name]]=" ","",HYPERLINK("https://www.ejacket.nsf.gov/ej/showProposal.do?Continue=Y&amp;ID="&amp;BudgetsTable[[#This Row],[prop_id]],BudgetsTable[[#This Row],[prop_id]]))</f>
        <v>1763886</v>
      </c>
      <c r="M417" s="15" t="e">
        <f>IF(BudgetsTable[[#This Row],[pi_last_name]]=" ","",HYPERLINK("https://www.ejacket.nsf.gov/ej/processReviewAnalysis.do?dispatch=add&amp;uniqId="&amp;BudgetsTable[[#This Row],[prop_id]]&amp;PO_id,"&gt;ra"))</f>
        <v>#REF!</v>
      </c>
      <c r="N417" s="79" t="s">
        <v>750</v>
      </c>
      <c r="O417" s="7" t="str">
        <f>IF(BudgetsTable[[#This Row],[pi_last_name]]=" ","",HYPERLINK("mailto:"&amp;BudgetsTable[[#This Row],[pi_email]]&amp;"&amp;subject=Your NSF Proposal:  "&amp;BudgetsTable[[#This Row],[prop_id]],BudgetsTable[[#This Row],[pi_email]]))</f>
        <v>gchen16@uh.edu</v>
      </c>
      <c r="P417" s="79" t="s">
        <v>1701</v>
      </c>
      <c r="Q417" s="79"/>
      <c r="R417" s="79"/>
      <c r="S417" s="80"/>
      <c r="T417" s="80"/>
      <c r="U417" s="80"/>
      <c r="V417" s="81"/>
      <c r="W417" s="79">
        <v>0</v>
      </c>
      <c r="X417" s="79"/>
      <c r="Y417" s="11" t="str">
        <f ca="1">IF(ISBLANK(BudgetsTable[[#This Row],[budg_seq_yr]]),"FY"&amp;fiscalyear,"FY"&amp;fiscalyear-1+BudgetsTable[[#This Row],[budg_seq_yr]])</f>
        <v>FY18</v>
      </c>
      <c r="Z417" s="80">
        <v>599997</v>
      </c>
      <c r="AA417" s="79" t="s">
        <v>477</v>
      </c>
      <c r="AB417" s="79" t="s">
        <v>582</v>
      </c>
      <c r="AC417" s="77" t="s">
        <v>94</v>
      </c>
      <c r="AD417" s="79" t="s">
        <v>1797</v>
      </c>
    </row>
    <row r="418" spans="1:30" x14ac:dyDescent="0.4">
      <c r="A418" s="10" t="s">
        <v>1372</v>
      </c>
      <c r="B418" s="77" t="s">
        <v>491</v>
      </c>
      <c r="C418" s="77">
        <f>C417+(BudgetsTable[[#This Row],[lead]]&lt;&gt;K417)</f>
        <v>81</v>
      </c>
      <c r="D418" s="77">
        <f>D417*(BudgetsTable[[#This Row],[lead]]=K417)+(BudgetsTable[[#This Row],[prop_id]]&lt;&gt;A417)</f>
        <v>1</v>
      </c>
      <c r="E418" s="78">
        <v>43005.654861111114</v>
      </c>
      <c r="F418" s="79" t="s">
        <v>524</v>
      </c>
      <c r="G418" s="79" t="s">
        <v>477</v>
      </c>
      <c r="H418" s="79" t="s">
        <v>582</v>
      </c>
      <c r="I418" s="77" t="s">
        <v>611</v>
      </c>
      <c r="J418" s="77" t="s">
        <v>13</v>
      </c>
      <c r="K418" s="79" t="s">
        <v>1372</v>
      </c>
      <c r="L418" s="7" t="str">
        <f>IF(BudgetsTable[[#This Row],[pi_last_name]]=" ","",HYPERLINK("https://www.ejacket.nsf.gov/ej/showProposal.do?Continue=Y&amp;ID="&amp;BudgetsTable[[#This Row],[prop_id]],BudgetsTable[[#This Row],[prop_id]]))</f>
        <v/>
      </c>
      <c r="M418" s="15" t="str">
        <f>IF(BudgetsTable[[#This Row],[pi_last_name]]=" ","",HYPERLINK("https://www.ejacket.nsf.gov/ej/processReviewAnalysis.do?dispatch=add&amp;uniqId="&amp;BudgetsTable[[#This Row],[prop_id]]&amp;PO_id,"&gt;ra"))</f>
        <v/>
      </c>
      <c r="N418" s="79" t="s">
        <v>13</v>
      </c>
      <c r="O418" s="7" t="str">
        <f>IF(BudgetsTable[[#This Row],[pi_last_name]]=" ","",HYPERLINK("mailto:"&amp;BudgetsTable[[#This Row],[pi_email]]&amp;"&amp;subject=Your NSF Proposal:  "&amp;BudgetsTable[[#This Row],[prop_id]],BudgetsTable[[#This Row],[pi_email]]))</f>
        <v/>
      </c>
      <c r="P418" s="79" t="s">
        <v>13</v>
      </c>
      <c r="Q418" s="79">
        <v>1</v>
      </c>
      <c r="R418" s="79">
        <v>1</v>
      </c>
      <c r="S418" s="80">
        <v>0</v>
      </c>
      <c r="T418" s="80">
        <v>0</v>
      </c>
      <c r="U418" s="80">
        <v>0</v>
      </c>
      <c r="V418" s="81">
        <v>115781</v>
      </c>
      <c r="W418" s="79">
        <v>0</v>
      </c>
      <c r="X418" s="79">
        <v>1</v>
      </c>
      <c r="Y418" s="11" t="str">
        <f ca="1">IF(ISBLANK(BudgetsTable[[#This Row],[budg_seq_yr]]),"FY"&amp;fiscalyear,"FY"&amp;fiscalyear-1+BudgetsTable[[#This Row],[budg_seq_yr]])</f>
        <v>FY18</v>
      </c>
      <c r="Z418" s="80">
        <v>115781</v>
      </c>
      <c r="AA418" s="79" t="s">
        <v>477</v>
      </c>
      <c r="AB418" s="79" t="s">
        <v>582</v>
      </c>
      <c r="AC418" s="77" t="s">
        <v>94</v>
      </c>
      <c r="AD418" s="79" t="s">
        <v>1797</v>
      </c>
    </row>
    <row r="419" spans="1:30" x14ac:dyDescent="0.4">
      <c r="A419" s="10" t="s">
        <v>1372</v>
      </c>
      <c r="B419" s="77" t="s">
        <v>491</v>
      </c>
      <c r="C419" s="77">
        <f>C418+(BudgetsTable[[#This Row],[lead]]&lt;&gt;K418)</f>
        <v>81</v>
      </c>
      <c r="D419" s="77">
        <f>D418*(BudgetsTable[[#This Row],[lead]]=K418)+(BudgetsTable[[#This Row],[prop_id]]&lt;&gt;A418)</f>
        <v>1</v>
      </c>
      <c r="E419" s="78">
        <v>43005.654861111114</v>
      </c>
      <c r="F419" s="79" t="s">
        <v>524</v>
      </c>
      <c r="G419" s="79" t="s">
        <v>477</v>
      </c>
      <c r="H419" s="79" t="s">
        <v>582</v>
      </c>
      <c r="I419" s="77" t="s">
        <v>611</v>
      </c>
      <c r="J419" s="77" t="s">
        <v>13</v>
      </c>
      <c r="K419" s="79" t="s">
        <v>1372</v>
      </c>
      <c r="L419" s="7" t="str">
        <f>IF(BudgetsTable[[#This Row],[pi_last_name]]=" ","",HYPERLINK("https://www.ejacket.nsf.gov/ej/showProposal.do?Continue=Y&amp;ID="&amp;BudgetsTable[[#This Row],[prop_id]],BudgetsTable[[#This Row],[prop_id]]))</f>
        <v/>
      </c>
      <c r="M419" s="15" t="str">
        <f>IF(BudgetsTable[[#This Row],[pi_last_name]]=" ","",HYPERLINK("https://www.ejacket.nsf.gov/ej/processReviewAnalysis.do?dispatch=add&amp;uniqId="&amp;BudgetsTable[[#This Row],[prop_id]]&amp;PO_id,"&gt;ra"))</f>
        <v/>
      </c>
      <c r="N419" s="79" t="s">
        <v>13</v>
      </c>
      <c r="O419" s="7" t="str">
        <f>IF(BudgetsTable[[#This Row],[pi_last_name]]=" ","",HYPERLINK("mailto:"&amp;BudgetsTable[[#This Row],[pi_email]]&amp;"&amp;subject=Your NSF Proposal:  "&amp;BudgetsTable[[#This Row],[prop_id]],BudgetsTable[[#This Row],[pi_email]]))</f>
        <v/>
      </c>
      <c r="P419" s="79" t="s">
        <v>13</v>
      </c>
      <c r="Q419" s="79">
        <v>1</v>
      </c>
      <c r="R419" s="79">
        <v>1</v>
      </c>
      <c r="S419" s="80">
        <v>0</v>
      </c>
      <c r="T419" s="80">
        <v>0</v>
      </c>
      <c r="U419" s="80">
        <v>0</v>
      </c>
      <c r="V419" s="81">
        <v>116736</v>
      </c>
      <c r="W419" s="79">
        <v>0</v>
      </c>
      <c r="X419" s="79">
        <v>2</v>
      </c>
      <c r="Y419" s="11" t="str">
        <f ca="1">IF(ISBLANK(BudgetsTable[[#This Row],[budg_seq_yr]]),"FY"&amp;fiscalyear,"FY"&amp;fiscalyear-1+BudgetsTable[[#This Row],[budg_seq_yr]])</f>
        <v>FY19</v>
      </c>
      <c r="Z419" s="80">
        <v>116736</v>
      </c>
      <c r="AA419" s="79" t="s">
        <v>477</v>
      </c>
      <c r="AB419" s="79" t="s">
        <v>582</v>
      </c>
      <c r="AC419" s="77" t="s">
        <v>94</v>
      </c>
      <c r="AD419" s="79" t="s">
        <v>1797</v>
      </c>
    </row>
    <row r="420" spans="1:30" x14ac:dyDescent="0.4">
      <c r="A420" s="10" t="s">
        <v>1372</v>
      </c>
      <c r="B420" s="77" t="s">
        <v>491</v>
      </c>
      <c r="C420" s="77">
        <f>C419+(BudgetsTable[[#This Row],[lead]]&lt;&gt;K419)</f>
        <v>81</v>
      </c>
      <c r="D420" s="77">
        <f>D419*(BudgetsTable[[#This Row],[lead]]=K419)+(BudgetsTable[[#This Row],[prop_id]]&lt;&gt;A419)</f>
        <v>1</v>
      </c>
      <c r="E420" s="78">
        <v>43005.654861111114</v>
      </c>
      <c r="F420" s="79" t="s">
        <v>524</v>
      </c>
      <c r="G420" s="79" t="s">
        <v>477</v>
      </c>
      <c r="H420" s="79" t="s">
        <v>582</v>
      </c>
      <c r="I420" s="77" t="s">
        <v>611</v>
      </c>
      <c r="J420" s="77" t="s">
        <v>13</v>
      </c>
      <c r="K420" s="79" t="s">
        <v>1372</v>
      </c>
      <c r="L420" s="7" t="str">
        <f>IF(BudgetsTable[[#This Row],[pi_last_name]]=" ","",HYPERLINK("https://www.ejacket.nsf.gov/ej/showProposal.do?Continue=Y&amp;ID="&amp;BudgetsTable[[#This Row],[prop_id]],BudgetsTable[[#This Row],[prop_id]]))</f>
        <v/>
      </c>
      <c r="M420" s="15" t="str">
        <f>IF(BudgetsTable[[#This Row],[pi_last_name]]=" ","",HYPERLINK("https://www.ejacket.nsf.gov/ej/processReviewAnalysis.do?dispatch=add&amp;uniqId="&amp;BudgetsTable[[#This Row],[prop_id]]&amp;PO_id,"&gt;ra"))</f>
        <v/>
      </c>
      <c r="N420" s="79" t="s">
        <v>13</v>
      </c>
      <c r="O420" s="7" t="str">
        <f>IF(BudgetsTable[[#This Row],[pi_last_name]]=" ","",HYPERLINK("mailto:"&amp;BudgetsTable[[#This Row],[pi_email]]&amp;"&amp;subject=Your NSF Proposal:  "&amp;BudgetsTable[[#This Row],[prop_id]],BudgetsTable[[#This Row],[pi_email]]))</f>
        <v/>
      </c>
      <c r="P420" s="79" t="s">
        <v>13</v>
      </c>
      <c r="Q420" s="79">
        <v>2</v>
      </c>
      <c r="R420" s="79">
        <v>2</v>
      </c>
      <c r="S420" s="80">
        <v>0</v>
      </c>
      <c r="T420" s="80">
        <v>0</v>
      </c>
      <c r="U420" s="80">
        <v>0</v>
      </c>
      <c r="V420" s="81">
        <v>183268</v>
      </c>
      <c r="W420" s="79">
        <v>0</v>
      </c>
      <c r="X420" s="79">
        <v>3</v>
      </c>
      <c r="Y420" s="11" t="str">
        <f ca="1">IF(ISBLANK(BudgetsTable[[#This Row],[budg_seq_yr]]),"FY"&amp;fiscalyear,"FY"&amp;fiscalyear-1+BudgetsTable[[#This Row],[budg_seq_yr]])</f>
        <v>FY20</v>
      </c>
      <c r="Z420" s="80">
        <v>183268</v>
      </c>
      <c r="AA420" s="79" t="s">
        <v>477</v>
      </c>
      <c r="AB420" s="79" t="s">
        <v>582</v>
      </c>
      <c r="AC420" s="77" t="s">
        <v>94</v>
      </c>
      <c r="AD420" s="79" t="s">
        <v>1797</v>
      </c>
    </row>
    <row r="421" spans="1:30" x14ac:dyDescent="0.4">
      <c r="A421" s="10" t="s">
        <v>1372</v>
      </c>
      <c r="B421" s="77" t="s">
        <v>491</v>
      </c>
      <c r="C421" s="77">
        <f>C420+(BudgetsTable[[#This Row],[lead]]&lt;&gt;K420)</f>
        <v>81</v>
      </c>
      <c r="D421" s="77">
        <f>D420*(BudgetsTable[[#This Row],[lead]]=K420)+(BudgetsTable[[#This Row],[prop_id]]&lt;&gt;A420)</f>
        <v>1</v>
      </c>
      <c r="E421" s="78">
        <v>43005.654861111114</v>
      </c>
      <c r="F421" s="79" t="s">
        <v>524</v>
      </c>
      <c r="G421" s="79" t="s">
        <v>477</v>
      </c>
      <c r="H421" s="79" t="s">
        <v>582</v>
      </c>
      <c r="I421" s="77" t="s">
        <v>611</v>
      </c>
      <c r="J421" s="77" t="s">
        <v>13</v>
      </c>
      <c r="K421" s="79" t="s">
        <v>1372</v>
      </c>
      <c r="L421" s="7" t="str">
        <f>IF(BudgetsTable[[#This Row],[pi_last_name]]=" ","",HYPERLINK("https://www.ejacket.nsf.gov/ej/showProposal.do?Continue=Y&amp;ID="&amp;BudgetsTable[[#This Row],[prop_id]],BudgetsTable[[#This Row],[prop_id]]))</f>
        <v/>
      </c>
      <c r="M421" s="15" t="str">
        <f>IF(BudgetsTable[[#This Row],[pi_last_name]]=" ","",HYPERLINK("https://www.ejacket.nsf.gov/ej/processReviewAnalysis.do?dispatch=add&amp;uniqId="&amp;BudgetsTable[[#This Row],[prop_id]]&amp;PO_id,"&gt;ra"))</f>
        <v/>
      </c>
      <c r="N421" s="79" t="s">
        <v>13</v>
      </c>
      <c r="O421" s="7" t="str">
        <f>IF(BudgetsTable[[#This Row],[pi_last_name]]=" ","",HYPERLINK("mailto:"&amp;BudgetsTable[[#This Row],[pi_email]]&amp;"&amp;subject=Your NSF Proposal:  "&amp;BudgetsTable[[#This Row],[prop_id]],BudgetsTable[[#This Row],[pi_email]]))</f>
        <v/>
      </c>
      <c r="P421" s="79" t="s">
        <v>13</v>
      </c>
      <c r="Q421" s="79">
        <v>2</v>
      </c>
      <c r="R421" s="79">
        <v>2</v>
      </c>
      <c r="S421" s="80">
        <v>0</v>
      </c>
      <c r="T421" s="80">
        <v>0</v>
      </c>
      <c r="U421" s="80">
        <v>0</v>
      </c>
      <c r="V421" s="81">
        <v>184212</v>
      </c>
      <c r="W421" s="79">
        <v>0</v>
      </c>
      <c r="X421" s="79">
        <v>4</v>
      </c>
      <c r="Y421" s="11" t="str">
        <f ca="1">IF(ISBLANK(BudgetsTable[[#This Row],[budg_seq_yr]]),"FY"&amp;fiscalyear,"FY"&amp;fiscalyear-1+BudgetsTable[[#This Row],[budg_seq_yr]])</f>
        <v>FY21</v>
      </c>
      <c r="Z421" s="80">
        <v>184212</v>
      </c>
      <c r="AA421" s="79" t="s">
        <v>477</v>
      </c>
      <c r="AB421" s="79" t="s">
        <v>582</v>
      </c>
      <c r="AC421" s="77" t="s">
        <v>94</v>
      </c>
      <c r="AD421" s="79" t="s">
        <v>1797</v>
      </c>
    </row>
    <row r="422" spans="1:30" x14ac:dyDescent="0.4">
      <c r="A422" s="10" t="s">
        <v>1802</v>
      </c>
      <c r="B422" s="77" t="s">
        <v>493</v>
      </c>
      <c r="C422" s="77">
        <f>C421+(BudgetsTable[[#This Row],[lead]]&lt;&gt;K421)</f>
        <v>81</v>
      </c>
      <c r="D422" s="77">
        <f>D421*(BudgetsTable[[#This Row],[lead]]=K421)+(BudgetsTable[[#This Row],[prop_id]]&lt;&gt;A421)</f>
        <v>2</v>
      </c>
      <c r="E422" s="78">
        <v>43005.677777777775</v>
      </c>
      <c r="F422" s="79" t="s">
        <v>524</v>
      </c>
      <c r="G422" s="79" t="s">
        <v>477</v>
      </c>
      <c r="H422" s="79" t="s">
        <v>582</v>
      </c>
      <c r="I422" s="77" t="s">
        <v>611</v>
      </c>
      <c r="J422" s="77" t="s">
        <v>1805</v>
      </c>
      <c r="K422" s="79" t="s">
        <v>1372</v>
      </c>
      <c r="L422" s="7" t="str">
        <f>IF(BudgetsTable[[#This Row],[pi_last_name]]=" ","",HYPERLINK("https://www.ejacket.nsf.gov/ej/showProposal.do?Continue=Y&amp;ID="&amp;BudgetsTable[[#This Row],[prop_id]],BudgetsTable[[#This Row],[prop_id]]))</f>
        <v>1763948</v>
      </c>
      <c r="M422" s="15" t="e">
        <f>IF(BudgetsTable[[#This Row],[pi_last_name]]=" ","",HYPERLINK("https://www.ejacket.nsf.gov/ej/processReviewAnalysis.do?dispatch=add&amp;uniqId="&amp;BudgetsTable[[#This Row],[prop_id]]&amp;PO_id,"&gt;ra"))</f>
        <v>#REF!</v>
      </c>
      <c r="N422" s="79" t="s">
        <v>488</v>
      </c>
      <c r="O422" s="7" t="str">
        <f>IF(BudgetsTable[[#This Row],[pi_last_name]]=" ","",HYPERLINK("mailto:"&amp;BudgetsTable[[#This Row],[pi_email]]&amp;"&amp;subject=Your NSF Proposal:  "&amp;BudgetsTable[[#This Row],[prop_id]],BudgetsTable[[#This Row],[pi_email]]))</f>
        <v>zhange@eecs.oregonstate.edu</v>
      </c>
      <c r="P422" s="79" t="s">
        <v>1600</v>
      </c>
      <c r="Q422" s="79"/>
      <c r="R422" s="79"/>
      <c r="S422" s="80"/>
      <c r="T422" s="80"/>
      <c r="U422" s="80"/>
      <c r="V422" s="81"/>
      <c r="W422" s="79">
        <v>0</v>
      </c>
      <c r="X422" s="79"/>
      <c r="Y422" s="11" t="str">
        <f ca="1">IF(ISBLANK(BudgetsTable[[#This Row],[budg_seq_yr]]),"FY"&amp;fiscalyear,"FY"&amp;fiscalyear-1+BudgetsTable[[#This Row],[budg_seq_yr]])</f>
        <v>FY18</v>
      </c>
      <c r="Z422" s="80">
        <v>600000</v>
      </c>
      <c r="AA422" s="79" t="s">
        <v>477</v>
      </c>
      <c r="AB422" s="79" t="s">
        <v>582</v>
      </c>
      <c r="AC422" s="77" t="s">
        <v>94</v>
      </c>
      <c r="AD422" s="79" t="s">
        <v>1797</v>
      </c>
    </row>
    <row r="423" spans="1:30" x14ac:dyDescent="0.4">
      <c r="A423" s="10" t="s">
        <v>1802</v>
      </c>
      <c r="B423" s="77" t="s">
        <v>493</v>
      </c>
      <c r="C423" s="77">
        <f>C422+(BudgetsTable[[#This Row],[lead]]&lt;&gt;K422)</f>
        <v>81</v>
      </c>
      <c r="D423" s="77">
        <f>D422*(BudgetsTable[[#This Row],[lead]]=K422)+(BudgetsTable[[#This Row],[prop_id]]&lt;&gt;A422)</f>
        <v>2</v>
      </c>
      <c r="E423" s="78">
        <v>43005.677777777775</v>
      </c>
      <c r="F423" s="79" t="s">
        <v>524</v>
      </c>
      <c r="G423" s="79" t="s">
        <v>477</v>
      </c>
      <c r="H423" s="79" t="s">
        <v>582</v>
      </c>
      <c r="I423" s="77" t="s">
        <v>611</v>
      </c>
      <c r="J423" s="77" t="s">
        <v>13</v>
      </c>
      <c r="K423" s="79" t="s">
        <v>1372</v>
      </c>
      <c r="L423" s="7" t="str">
        <f>IF(BudgetsTable[[#This Row],[pi_last_name]]=" ","",HYPERLINK("https://www.ejacket.nsf.gov/ej/showProposal.do?Continue=Y&amp;ID="&amp;BudgetsTable[[#This Row],[prop_id]],BudgetsTable[[#This Row],[prop_id]]))</f>
        <v/>
      </c>
      <c r="M423" s="15" t="str">
        <f>IF(BudgetsTable[[#This Row],[pi_last_name]]=" ","",HYPERLINK("https://www.ejacket.nsf.gov/ej/processReviewAnalysis.do?dispatch=add&amp;uniqId="&amp;BudgetsTable[[#This Row],[prop_id]]&amp;PO_id,"&gt;ra"))</f>
        <v/>
      </c>
      <c r="N423" s="79" t="s">
        <v>13</v>
      </c>
      <c r="O423" s="7" t="str">
        <f>IF(BudgetsTable[[#This Row],[pi_last_name]]=" ","",HYPERLINK("mailto:"&amp;BudgetsTable[[#This Row],[pi_email]]&amp;"&amp;subject=Your NSF Proposal:  "&amp;BudgetsTable[[#This Row],[prop_id]],BudgetsTable[[#This Row],[pi_email]]))</f>
        <v/>
      </c>
      <c r="P423" s="79" t="s">
        <v>13</v>
      </c>
      <c r="Q423" s="79">
        <v>2</v>
      </c>
      <c r="R423" s="79">
        <v>1.5</v>
      </c>
      <c r="S423" s="80">
        <v>0</v>
      </c>
      <c r="T423" s="80">
        <v>0</v>
      </c>
      <c r="U423" s="80">
        <v>1750</v>
      </c>
      <c r="V423" s="81">
        <v>160546</v>
      </c>
      <c r="W423" s="79">
        <v>0</v>
      </c>
      <c r="X423" s="79">
        <v>1</v>
      </c>
      <c r="Y423" s="11" t="str">
        <f ca="1">IF(ISBLANK(BudgetsTable[[#This Row],[budg_seq_yr]]),"FY"&amp;fiscalyear,"FY"&amp;fiscalyear-1+BudgetsTable[[#This Row],[budg_seq_yr]])</f>
        <v>FY18</v>
      </c>
      <c r="Z423" s="80">
        <v>160546</v>
      </c>
      <c r="AA423" s="79" t="s">
        <v>477</v>
      </c>
      <c r="AB423" s="79" t="s">
        <v>582</v>
      </c>
      <c r="AC423" s="77" t="s">
        <v>94</v>
      </c>
      <c r="AD423" s="79" t="s">
        <v>1797</v>
      </c>
    </row>
    <row r="424" spans="1:30" x14ac:dyDescent="0.4">
      <c r="A424" s="10" t="s">
        <v>1802</v>
      </c>
      <c r="B424" s="77" t="s">
        <v>493</v>
      </c>
      <c r="C424" s="77">
        <f>C423+(BudgetsTable[[#This Row],[lead]]&lt;&gt;K423)</f>
        <v>81</v>
      </c>
      <c r="D424" s="77">
        <f>D423*(BudgetsTable[[#This Row],[lead]]=K423)+(BudgetsTable[[#This Row],[prop_id]]&lt;&gt;A423)</f>
        <v>2</v>
      </c>
      <c r="E424" s="78">
        <v>43005.677777777775</v>
      </c>
      <c r="F424" s="79" t="s">
        <v>524</v>
      </c>
      <c r="G424" s="79" t="s">
        <v>477</v>
      </c>
      <c r="H424" s="79" t="s">
        <v>582</v>
      </c>
      <c r="I424" s="77" t="s">
        <v>611</v>
      </c>
      <c r="J424" s="77" t="s">
        <v>13</v>
      </c>
      <c r="K424" s="79" t="s">
        <v>1372</v>
      </c>
      <c r="L424" s="7" t="str">
        <f>IF(BudgetsTable[[#This Row],[pi_last_name]]=" ","",HYPERLINK("https://www.ejacket.nsf.gov/ej/showProposal.do?Continue=Y&amp;ID="&amp;BudgetsTable[[#This Row],[prop_id]],BudgetsTable[[#This Row],[prop_id]]))</f>
        <v/>
      </c>
      <c r="M424" s="15" t="str">
        <f>IF(BudgetsTable[[#This Row],[pi_last_name]]=" ","",HYPERLINK("https://www.ejacket.nsf.gov/ej/processReviewAnalysis.do?dispatch=add&amp;uniqId="&amp;BudgetsTable[[#This Row],[prop_id]]&amp;PO_id,"&gt;ra"))</f>
        <v/>
      </c>
      <c r="N424" s="79" t="s">
        <v>13</v>
      </c>
      <c r="O424" s="7" t="str">
        <f>IF(BudgetsTable[[#This Row],[pi_last_name]]=" ","",HYPERLINK("mailto:"&amp;BudgetsTable[[#This Row],[pi_email]]&amp;"&amp;subject=Your NSF Proposal:  "&amp;BudgetsTable[[#This Row],[prop_id]],BudgetsTable[[#This Row],[pi_email]]))</f>
        <v/>
      </c>
      <c r="P424" s="79" t="s">
        <v>13</v>
      </c>
      <c r="Q424" s="79">
        <v>2</v>
      </c>
      <c r="R424" s="79">
        <v>1.5</v>
      </c>
      <c r="S424" s="80">
        <v>0</v>
      </c>
      <c r="T424" s="80">
        <v>3413</v>
      </c>
      <c r="U424" s="80">
        <v>1750</v>
      </c>
      <c r="V424" s="81">
        <v>177577</v>
      </c>
      <c r="W424" s="79">
        <v>0</v>
      </c>
      <c r="X424" s="79">
        <v>2</v>
      </c>
      <c r="Y424" s="11" t="str">
        <f ca="1">IF(ISBLANK(BudgetsTable[[#This Row],[budg_seq_yr]]),"FY"&amp;fiscalyear,"FY"&amp;fiscalyear-1+BudgetsTable[[#This Row],[budg_seq_yr]])</f>
        <v>FY19</v>
      </c>
      <c r="Z424" s="80">
        <v>177577</v>
      </c>
      <c r="AA424" s="79" t="s">
        <v>477</v>
      </c>
      <c r="AB424" s="79" t="s">
        <v>582</v>
      </c>
      <c r="AC424" s="77" t="s">
        <v>94</v>
      </c>
      <c r="AD424" s="79" t="s">
        <v>1797</v>
      </c>
    </row>
    <row r="425" spans="1:30" x14ac:dyDescent="0.4">
      <c r="A425" s="10" t="s">
        <v>1802</v>
      </c>
      <c r="B425" s="77" t="s">
        <v>493</v>
      </c>
      <c r="C425" s="77">
        <f>C424+(BudgetsTable[[#This Row],[lead]]&lt;&gt;K424)</f>
        <v>81</v>
      </c>
      <c r="D425" s="77">
        <f>D424*(BudgetsTable[[#This Row],[lead]]=K424)+(BudgetsTable[[#This Row],[prop_id]]&lt;&gt;A424)</f>
        <v>2</v>
      </c>
      <c r="E425" s="78">
        <v>43005.677777777775</v>
      </c>
      <c r="F425" s="79" t="s">
        <v>524</v>
      </c>
      <c r="G425" s="79" t="s">
        <v>477</v>
      </c>
      <c r="H425" s="79" t="s">
        <v>582</v>
      </c>
      <c r="I425" s="77" t="s">
        <v>611</v>
      </c>
      <c r="J425" s="77" t="s">
        <v>13</v>
      </c>
      <c r="K425" s="79" t="s">
        <v>1372</v>
      </c>
      <c r="L425" s="7" t="str">
        <f>IF(BudgetsTable[[#This Row],[pi_last_name]]=" ","",HYPERLINK("https://www.ejacket.nsf.gov/ej/showProposal.do?Continue=Y&amp;ID="&amp;BudgetsTable[[#This Row],[prop_id]],BudgetsTable[[#This Row],[prop_id]]))</f>
        <v/>
      </c>
      <c r="M425" s="15" t="str">
        <f>IF(BudgetsTable[[#This Row],[pi_last_name]]=" ","",HYPERLINK("https://www.ejacket.nsf.gov/ej/processReviewAnalysis.do?dispatch=add&amp;uniqId="&amp;BudgetsTable[[#This Row],[prop_id]]&amp;PO_id,"&gt;ra"))</f>
        <v/>
      </c>
      <c r="N425" s="79" t="s">
        <v>13</v>
      </c>
      <c r="O425" s="7" t="str">
        <f>IF(BudgetsTable[[#This Row],[pi_last_name]]=" ","",HYPERLINK("mailto:"&amp;BudgetsTable[[#This Row],[pi_email]]&amp;"&amp;subject=Your NSF Proposal:  "&amp;BudgetsTable[[#This Row],[prop_id]],BudgetsTable[[#This Row],[pi_email]]))</f>
        <v/>
      </c>
      <c r="P425" s="79" t="s">
        <v>13</v>
      </c>
      <c r="Q425" s="79">
        <v>2</v>
      </c>
      <c r="R425" s="79">
        <v>1.5</v>
      </c>
      <c r="S425" s="80">
        <v>0</v>
      </c>
      <c r="T425" s="80">
        <v>3515</v>
      </c>
      <c r="U425" s="80">
        <v>1750</v>
      </c>
      <c r="V425" s="81">
        <v>131325</v>
      </c>
      <c r="W425" s="79">
        <v>0</v>
      </c>
      <c r="X425" s="79">
        <v>3</v>
      </c>
      <c r="Y425" s="11" t="str">
        <f ca="1">IF(ISBLANK(BudgetsTable[[#This Row],[budg_seq_yr]]),"FY"&amp;fiscalyear,"FY"&amp;fiscalyear-1+BudgetsTable[[#This Row],[budg_seq_yr]])</f>
        <v>FY20</v>
      </c>
      <c r="Z425" s="80">
        <v>131325</v>
      </c>
      <c r="AA425" s="79" t="s">
        <v>477</v>
      </c>
      <c r="AB425" s="79" t="s">
        <v>582</v>
      </c>
      <c r="AC425" s="77" t="s">
        <v>94</v>
      </c>
      <c r="AD425" s="79" t="s">
        <v>1797</v>
      </c>
    </row>
    <row r="426" spans="1:30" x14ac:dyDescent="0.4">
      <c r="A426" s="10" t="s">
        <v>1802</v>
      </c>
      <c r="B426" s="77" t="s">
        <v>493</v>
      </c>
      <c r="C426" s="77">
        <f>C425+(BudgetsTable[[#This Row],[lead]]&lt;&gt;K425)</f>
        <v>81</v>
      </c>
      <c r="D426" s="77">
        <f>D425*(BudgetsTable[[#This Row],[lead]]=K425)+(BudgetsTable[[#This Row],[prop_id]]&lt;&gt;A425)</f>
        <v>2</v>
      </c>
      <c r="E426" s="78">
        <v>43005.677777777775</v>
      </c>
      <c r="F426" s="79" t="s">
        <v>524</v>
      </c>
      <c r="G426" s="79" t="s">
        <v>477</v>
      </c>
      <c r="H426" s="79" t="s">
        <v>582</v>
      </c>
      <c r="I426" s="77" t="s">
        <v>611</v>
      </c>
      <c r="J426" s="77" t="s">
        <v>13</v>
      </c>
      <c r="K426" s="79" t="s">
        <v>1372</v>
      </c>
      <c r="L426" s="7" t="str">
        <f>IF(BudgetsTable[[#This Row],[pi_last_name]]=" ","",HYPERLINK("https://www.ejacket.nsf.gov/ej/showProposal.do?Continue=Y&amp;ID="&amp;BudgetsTable[[#This Row],[prop_id]],BudgetsTable[[#This Row],[prop_id]]))</f>
        <v/>
      </c>
      <c r="M426" s="15" t="str">
        <f>IF(BudgetsTable[[#This Row],[pi_last_name]]=" ","",HYPERLINK("https://www.ejacket.nsf.gov/ej/processReviewAnalysis.do?dispatch=add&amp;uniqId="&amp;BudgetsTable[[#This Row],[prop_id]]&amp;PO_id,"&gt;ra"))</f>
        <v/>
      </c>
      <c r="N426" s="79" t="s">
        <v>13</v>
      </c>
      <c r="O426" s="7" t="str">
        <f>IF(BudgetsTable[[#This Row],[pi_last_name]]=" ","",HYPERLINK("mailto:"&amp;BudgetsTable[[#This Row],[pi_email]]&amp;"&amp;subject=Your NSF Proposal:  "&amp;BudgetsTable[[#This Row],[prop_id]],BudgetsTable[[#This Row],[pi_email]]))</f>
        <v/>
      </c>
      <c r="P426" s="79" t="s">
        <v>13</v>
      </c>
      <c r="Q426" s="79">
        <v>2</v>
      </c>
      <c r="R426" s="79">
        <v>1.5</v>
      </c>
      <c r="S426" s="80">
        <v>0</v>
      </c>
      <c r="T426" s="80">
        <v>3620</v>
      </c>
      <c r="U426" s="80">
        <v>1750</v>
      </c>
      <c r="V426" s="81">
        <v>130552</v>
      </c>
      <c r="W426" s="79">
        <v>0</v>
      </c>
      <c r="X426" s="79">
        <v>4</v>
      </c>
      <c r="Y426" s="11" t="str">
        <f ca="1">IF(ISBLANK(BudgetsTable[[#This Row],[budg_seq_yr]]),"FY"&amp;fiscalyear,"FY"&amp;fiscalyear-1+BudgetsTable[[#This Row],[budg_seq_yr]])</f>
        <v>FY21</v>
      </c>
      <c r="Z426" s="80">
        <v>130552</v>
      </c>
      <c r="AA426" s="79" t="s">
        <v>477</v>
      </c>
      <c r="AB426" s="79" t="s">
        <v>582</v>
      </c>
      <c r="AC426" s="77" t="s">
        <v>94</v>
      </c>
      <c r="AD426" s="79" t="s">
        <v>1797</v>
      </c>
    </row>
    <row r="427" spans="1:30" x14ac:dyDescent="0.4">
      <c r="A427" s="10" t="s">
        <v>1379</v>
      </c>
      <c r="B427" s="77" t="s">
        <v>95</v>
      </c>
      <c r="C427" s="77">
        <f>C426+(BudgetsTable[[#This Row],[lead]]&lt;&gt;K426)</f>
        <v>82</v>
      </c>
      <c r="D427" s="77">
        <f>D426*(BudgetsTable[[#This Row],[lead]]=K426)+(BudgetsTable[[#This Row],[prop_id]]&lt;&gt;A426)</f>
        <v>1</v>
      </c>
      <c r="E427" s="78">
        <v>43005.654861111114</v>
      </c>
      <c r="F427" s="79" t="s">
        <v>524</v>
      </c>
      <c r="G427" s="79" t="s">
        <v>477</v>
      </c>
      <c r="H427" s="79" t="s">
        <v>582</v>
      </c>
      <c r="I427" s="77" t="s">
        <v>654</v>
      </c>
      <c r="J427" s="77" t="s">
        <v>1808</v>
      </c>
      <c r="K427" s="79" t="s">
        <v>1379</v>
      </c>
      <c r="L427" s="7" t="str">
        <f>IF(BudgetsTable[[#This Row],[pi_last_name]]=" ","",HYPERLINK("https://www.ejacket.nsf.gov/ej/showProposal.do?Continue=Y&amp;ID="&amp;BudgetsTable[[#This Row],[prop_id]],BudgetsTable[[#This Row],[prop_id]]))</f>
        <v>1763887</v>
      </c>
      <c r="M427" s="15" t="e">
        <f>IF(BudgetsTable[[#This Row],[pi_last_name]]=" ","",HYPERLINK("https://www.ejacket.nsf.gov/ej/processReviewAnalysis.do?dispatch=add&amp;uniqId="&amp;BudgetsTable[[#This Row],[prop_id]]&amp;PO_id,"&gt;ra"))</f>
        <v>#REF!</v>
      </c>
      <c r="N427" s="79" t="s">
        <v>1380</v>
      </c>
      <c r="O427" s="7" t="str">
        <f>IF(BudgetsTable[[#This Row],[pi_last_name]]=" ","",HYPERLINK("mailto:"&amp;BudgetsTable[[#This Row],[pi_email]]&amp;"&amp;subject=Your NSF Proposal:  "&amp;BudgetsTable[[#This Row],[prop_id]],BudgetsTable[[#This Row],[pi_email]]))</f>
        <v>dwoodruf@andrew.cmu.edu</v>
      </c>
      <c r="P427" s="79" t="s">
        <v>497</v>
      </c>
      <c r="Q427" s="79"/>
      <c r="R427" s="79"/>
      <c r="S427" s="80"/>
      <c r="T427" s="80"/>
      <c r="U427" s="80"/>
      <c r="V427" s="81"/>
      <c r="W427" s="79">
        <v>0</v>
      </c>
      <c r="X427" s="79"/>
      <c r="Y427" s="11" t="str">
        <f ca="1">IF(ISBLANK(BudgetsTable[[#This Row],[budg_seq_yr]]),"FY"&amp;fiscalyear,"FY"&amp;fiscalyear-1+BudgetsTable[[#This Row],[budg_seq_yr]])</f>
        <v>FY18</v>
      </c>
      <c r="Z427" s="80">
        <v>1191636</v>
      </c>
      <c r="AA427" s="79" t="s">
        <v>477</v>
      </c>
      <c r="AB427" s="79" t="s">
        <v>582</v>
      </c>
      <c r="AC427" s="77" t="s">
        <v>94</v>
      </c>
      <c r="AD427" s="79" t="s">
        <v>1806</v>
      </c>
    </row>
    <row r="428" spans="1:30" x14ac:dyDescent="0.4">
      <c r="A428" s="10" t="s">
        <v>1379</v>
      </c>
      <c r="B428" s="77" t="s">
        <v>95</v>
      </c>
      <c r="C428" s="77">
        <f>C427+(BudgetsTable[[#This Row],[lead]]&lt;&gt;K427)</f>
        <v>82</v>
      </c>
      <c r="D428" s="77">
        <f>D427*(BudgetsTable[[#This Row],[lead]]=K427)+(BudgetsTable[[#This Row],[prop_id]]&lt;&gt;A427)</f>
        <v>1</v>
      </c>
      <c r="E428" s="78">
        <v>43005.654861111114</v>
      </c>
      <c r="F428" s="79" t="s">
        <v>524</v>
      </c>
      <c r="G428" s="79" t="s">
        <v>477</v>
      </c>
      <c r="H428" s="79" t="s">
        <v>582</v>
      </c>
      <c r="I428" s="77" t="s">
        <v>654</v>
      </c>
      <c r="J428" s="77" t="s">
        <v>13</v>
      </c>
      <c r="K428" s="79" t="s">
        <v>1379</v>
      </c>
      <c r="L428" s="7" t="str">
        <f>IF(BudgetsTable[[#This Row],[pi_last_name]]=" ","",HYPERLINK("https://www.ejacket.nsf.gov/ej/showProposal.do?Continue=Y&amp;ID="&amp;BudgetsTable[[#This Row],[prop_id]],BudgetsTable[[#This Row],[prop_id]]))</f>
        <v/>
      </c>
      <c r="M428" s="15" t="str">
        <f>IF(BudgetsTable[[#This Row],[pi_last_name]]=" ","",HYPERLINK("https://www.ejacket.nsf.gov/ej/processReviewAnalysis.do?dispatch=add&amp;uniqId="&amp;BudgetsTable[[#This Row],[prop_id]]&amp;PO_id,"&gt;ra"))</f>
        <v/>
      </c>
      <c r="N428" s="79" t="s">
        <v>13</v>
      </c>
      <c r="O428" s="7" t="str">
        <f>IF(BudgetsTable[[#This Row],[pi_last_name]]=" ","",HYPERLINK("mailto:"&amp;BudgetsTable[[#This Row],[pi_email]]&amp;"&amp;subject=Your NSF Proposal:  "&amp;BudgetsTable[[#This Row],[prop_id]],BudgetsTable[[#This Row],[pi_email]]))</f>
        <v/>
      </c>
      <c r="P428" s="79" t="s">
        <v>13</v>
      </c>
      <c r="Q428" s="79">
        <v>2</v>
      </c>
      <c r="R428" s="79">
        <v>2</v>
      </c>
      <c r="S428" s="80">
        <v>0</v>
      </c>
      <c r="T428" s="80">
        <v>3054</v>
      </c>
      <c r="U428" s="80">
        <v>0</v>
      </c>
      <c r="V428" s="81">
        <v>284837</v>
      </c>
      <c r="W428" s="79">
        <v>0</v>
      </c>
      <c r="X428" s="79">
        <v>1</v>
      </c>
      <c r="Y428" s="11" t="str">
        <f ca="1">IF(ISBLANK(BudgetsTable[[#This Row],[budg_seq_yr]]),"FY"&amp;fiscalyear,"FY"&amp;fiscalyear-1+BudgetsTable[[#This Row],[budg_seq_yr]])</f>
        <v>FY18</v>
      </c>
      <c r="Z428" s="80">
        <v>284837</v>
      </c>
      <c r="AA428" s="79" t="s">
        <v>477</v>
      </c>
      <c r="AB428" s="79" t="s">
        <v>582</v>
      </c>
      <c r="AC428" s="77" t="s">
        <v>94</v>
      </c>
      <c r="AD428" s="79" t="s">
        <v>1806</v>
      </c>
    </row>
    <row r="429" spans="1:30" x14ac:dyDescent="0.4">
      <c r="A429" s="10" t="s">
        <v>1379</v>
      </c>
      <c r="B429" s="77" t="s">
        <v>95</v>
      </c>
      <c r="C429" s="77">
        <f>C428+(BudgetsTable[[#This Row],[lead]]&lt;&gt;K428)</f>
        <v>82</v>
      </c>
      <c r="D429" s="77">
        <f>D428*(BudgetsTable[[#This Row],[lead]]=K428)+(BudgetsTable[[#This Row],[prop_id]]&lt;&gt;A428)</f>
        <v>1</v>
      </c>
      <c r="E429" s="78">
        <v>43005.654861111114</v>
      </c>
      <c r="F429" s="79" t="s">
        <v>524</v>
      </c>
      <c r="G429" s="79" t="s">
        <v>477</v>
      </c>
      <c r="H429" s="79" t="s">
        <v>582</v>
      </c>
      <c r="I429" s="77" t="s">
        <v>654</v>
      </c>
      <c r="J429" s="77" t="s">
        <v>13</v>
      </c>
      <c r="K429" s="79" t="s">
        <v>1379</v>
      </c>
      <c r="L429" s="7" t="str">
        <f>IF(BudgetsTable[[#This Row],[pi_last_name]]=" ","",HYPERLINK("https://www.ejacket.nsf.gov/ej/showProposal.do?Continue=Y&amp;ID="&amp;BudgetsTable[[#This Row],[prop_id]],BudgetsTable[[#This Row],[prop_id]]))</f>
        <v/>
      </c>
      <c r="M429" s="15" t="str">
        <f>IF(BudgetsTable[[#This Row],[pi_last_name]]=" ","",HYPERLINK("https://www.ejacket.nsf.gov/ej/processReviewAnalysis.do?dispatch=add&amp;uniqId="&amp;BudgetsTable[[#This Row],[prop_id]]&amp;PO_id,"&gt;ra"))</f>
        <v/>
      </c>
      <c r="N429" s="79" t="s">
        <v>13</v>
      </c>
      <c r="O429" s="7" t="str">
        <f>IF(BudgetsTable[[#This Row],[pi_last_name]]=" ","",HYPERLINK("mailto:"&amp;BudgetsTable[[#This Row],[pi_email]]&amp;"&amp;subject=Your NSF Proposal:  "&amp;BudgetsTable[[#This Row],[prop_id]],BudgetsTable[[#This Row],[pi_email]]))</f>
        <v/>
      </c>
      <c r="P429" s="79" t="s">
        <v>13</v>
      </c>
      <c r="Q429" s="79">
        <v>2</v>
      </c>
      <c r="R429" s="79">
        <v>2</v>
      </c>
      <c r="S429" s="80">
        <v>0</v>
      </c>
      <c r="T429" s="80">
        <v>3146</v>
      </c>
      <c r="U429" s="80">
        <v>0</v>
      </c>
      <c r="V429" s="81">
        <v>293377</v>
      </c>
      <c r="W429" s="79">
        <v>0</v>
      </c>
      <c r="X429" s="79">
        <v>2</v>
      </c>
      <c r="Y429" s="11" t="str">
        <f ca="1">IF(ISBLANK(BudgetsTable[[#This Row],[budg_seq_yr]]),"FY"&amp;fiscalyear,"FY"&amp;fiscalyear-1+BudgetsTable[[#This Row],[budg_seq_yr]])</f>
        <v>FY19</v>
      </c>
      <c r="Z429" s="80">
        <v>293377</v>
      </c>
      <c r="AA429" s="79" t="s">
        <v>477</v>
      </c>
      <c r="AB429" s="79" t="s">
        <v>582</v>
      </c>
      <c r="AC429" s="77" t="s">
        <v>94</v>
      </c>
      <c r="AD429" s="79" t="s">
        <v>1806</v>
      </c>
    </row>
    <row r="430" spans="1:30" x14ac:dyDescent="0.4">
      <c r="A430" s="10" t="s">
        <v>1379</v>
      </c>
      <c r="B430" s="77" t="s">
        <v>95</v>
      </c>
      <c r="C430" s="77">
        <f>C429+(BudgetsTable[[#This Row],[lead]]&lt;&gt;K429)</f>
        <v>82</v>
      </c>
      <c r="D430" s="77">
        <f>D429*(BudgetsTable[[#This Row],[lead]]=K429)+(BudgetsTable[[#This Row],[prop_id]]&lt;&gt;A429)</f>
        <v>1</v>
      </c>
      <c r="E430" s="78">
        <v>43005.654861111114</v>
      </c>
      <c r="F430" s="79" t="s">
        <v>524</v>
      </c>
      <c r="G430" s="79" t="s">
        <v>477</v>
      </c>
      <c r="H430" s="79" t="s">
        <v>582</v>
      </c>
      <c r="I430" s="77" t="s">
        <v>654</v>
      </c>
      <c r="J430" s="77" t="s">
        <v>13</v>
      </c>
      <c r="K430" s="79" t="s">
        <v>1379</v>
      </c>
      <c r="L430" s="7" t="str">
        <f>IF(BudgetsTable[[#This Row],[pi_last_name]]=" ","",HYPERLINK("https://www.ejacket.nsf.gov/ej/showProposal.do?Continue=Y&amp;ID="&amp;BudgetsTable[[#This Row],[prop_id]],BudgetsTable[[#This Row],[prop_id]]))</f>
        <v/>
      </c>
      <c r="M430" s="15" t="str">
        <f>IF(BudgetsTable[[#This Row],[pi_last_name]]=" ","",HYPERLINK("https://www.ejacket.nsf.gov/ej/processReviewAnalysis.do?dispatch=add&amp;uniqId="&amp;BudgetsTable[[#This Row],[prop_id]]&amp;PO_id,"&gt;ra"))</f>
        <v/>
      </c>
      <c r="N430" s="79" t="s">
        <v>13</v>
      </c>
      <c r="O430" s="7" t="str">
        <f>IF(BudgetsTable[[#This Row],[pi_last_name]]=" ","",HYPERLINK("mailto:"&amp;BudgetsTable[[#This Row],[pi_email]]&amp;"&amp;subject=Your NSF Proposal:  "&amp;BudgetsTable[[#This Row],[prop_id]],BudgetsTable[[#This Row],[pi_email]]))</f>
        <v/>
      </c>
      <c r="P430" s="79" t="s">
        <v>13</v>
      </c>
      <c r="Q430" s="79">
        <v>2</v>
      </c>
      <c r="R430" s="79">
        <v>2</v>
      </c>
      <c r="S430" s="80">
        <v>0</v>
      </c>
      <c r="T430" s="80">
        <v>3240</v>
      </c>
      <c r="U430" s="80">
        <v>0</v>
      </c>
      <c r="V430" s="81">
        <v>302183</v>
      </c>
      <c r="W430" s="79">
        <v>0</v>
      </c>
      <c r="X430" s="79">
        <v>3</v>
      </c>
      <c r="Y430" s="11" t="str">
        <f ca="1">IF(ISBLANK(BudgetsTable[[#This Row],[budg_seq_yr]]),"FY"&amp;fiscalyear,"FY"&amp;fiscalyear-1+BudgetsTable[[#This Row],[budg_seq_yr]])</f>
        <v>FY20</v>
      </c>
      <c r="Z430" s="80">
        <v>302183</v>
      </c>
      <c r="AA430" s="79" t="s">
        <v>477</v>
      </c>
      <c r="AB430" s="79" t="s">
        <v>582</v>
      </c>
      <c r="AC430" s="77" t="s">
        <v>94</v>
      </c>
      <c r="AD430" s="79" t="s">
        <v>1806</v>
      </c>
    </row>
    <row r="431" spans="1:30" x14ac:dyDescent="0.4">
      <c r="A431" s="10" t="s">
        <v>1379</v>
      </c>
      <c r="B431" s="77" t="s">
        <v>95</v>
      </c>
      <c r="C431" s="77">
        <f>C430+(BudgetsTable[[#This Row],[lead]]&lt;&gt;K430)</f>
        <v>82</v>
      </c>
      <c r="D431" s="77">
        <f>D430*(BudgetsTable[[#This Row],[lead]]=K430)+(BudgetsTable[[#This Row],[prop_id]]&lt;&gt;A430)</f>
        <v>1</v>
      </c>
      <c r="E431" s="78">
        <v>43005.654861111114</v>
      </c>
      <c r="F431" s="79" t="s">
        <v>524</v>
      </c>
      <c r="G431" s="79" t="s">
        <v>477</v>
      </c>
      <c r="H431" s="79" t="s">
        <v>582</v>
      </c>
      <c r="I431" s="77" t="s">
        <v>654</v>
      </c>
      <c r="J431" s="77" t="s">
        <v>13</v>
      </c>
      <c r="K431" s="79" t="s">
        <v>1379</v>
      </c>
      <c r="L431" s="7" t="str">
        <f>IF(BudgetsTable[[#This Row],[pi_last_name]]=" ","",HYPERLINK("https://www.ejacket.nsf.gov/ej/showProposal.do?Continue=Y&amp;ID="&amp;BudgetsTable[[#This Row],[prop_id]],BudgetsTable[[#This Row],[prop_id]]))</f>
        <v/>
      </c>
      <c r="M431" s="15" t="str">
        <f>IF(BudgetsTable[[#This Row],[pi_last_name]]=" ","",HYPERLINK("https://www.ejacket.nsf.gov/ej/processReviewAnalysis.do?dispatch=add&amp;uniqId="&amp;BudgetsTable[[#This Row],[prop_id]]&amp;PO_id,"&gt;ra"))</f>
        <v/>
      </c>
      <c r="N431" s="79" t="s">
        <v>13</v>
      </c>
      <c r="O431" s="7" t="str">
        <f>IF(BudgetsTable[[#This Row],[pi_last_name]]=" ","",HYPERLINK("mailto:"&amp;BudgetsTable[[#This Row],[pi_email]]&amp;"&amp;subject=Your NSF Proposal:  "&amp;BudgetsTable[[#This Row],[prop_id]],BudgetsTable[[#This Row],[pi_email]]))</f>
        <v/>
      </c>
      <c r="P431" s="79" t="s">
        <v>13</v>
      </c>
      <c r="Q431" s="79">
        <v>2</v>
      </c>
      <c r="R431" s="79">
        <v>2</v>
      </c>
      <c r="S431" s="80">
        <v>0</v>
      </c>
      <c r="T431" s="80">
        <v>3337</v>
      </c>
      <c r="U431" s="80">
        <v>0</v>
      </c>
      <c r="V431" s="81">
        <v>311239</v>
      </c>
      <c r="W431" s="79">
        <v>0</v>
      </c>
      <c r="X431" s="79">
        <v>4</v>
      </c>
      <c r="Y431" s="11" t="str">
        <f ca="1">IF(ISBLANK(BudgetsTable[[#This Row],[budg_seq_yr]]),"FY"&amp;fiscalyear,"FY"&amp;fiscalyear-1+BudgetsTable[[#This Row],[budg_seq_yr]])</f>
        <v>FY21</v>
      </c>
      <c r="Z431" s="80">
        <v>311239</v>
      </c>
      <c r="AA431" s="79" t="s">
        <v>477</v>
      </c>
      <c r="AB431" s="79" t="s">
        <v>582</v>
      </c>
      <c r="AC431" s="77" t="s">
        <v>94</v>
      </c>
      <c r="AD431" s="79" t="s">
        <v>1806</v>
      </c>
    </row>
    <row r="432" spans="1:30" x14ac:dyDescent="0.4">
      <c r="A432" s="10" t="s">
        <v>1387</v>
      </c>
      <c r="B432" s="77" t="s">
        <v>491</v>
      </c>
      <c r="C432" s="77">
        <f>C431+(BudgetsTable[[#This Row],[lead]]&lt;&gt;K431)</f>
        <v>83</v>
      </c>
      <c r="D432" s="77">
        <f>D431*(BudgetsTable[[#This Row],[lead]]=K431)+(BudgetsTable[[#This Row],[prop_id]]&lt;&gt;A431)</f>
        <v>1</v>
      </c>
      <c r="E432" s="78">
        <v>43005.67291666667</v>
      </c>
      <c r="F432" s="79" t="s">
        <v>524</v>
      </c>
      <c r="G432" s="79" t="s">
        <v>477</v>
      </c>
      <c r="H432" s="79" t="s">
        <v>582</v>
      </c>
      <c r="I432" s="77" t="s">
        <v>611</v>
      </c>
      <c r="J432" s="77" t="s">
        <v>1812</v>
      </c>
      <c r="K432" s="79" t="s">
        <v>1387</v>
      </c>
      <c r="L432" s="7" t="str">
        <f>IF(BudgetsTable[[#This Row],[pi_last_name]]=" ","",HYPERLINK("https://www.ejacket.nsf.gov/ej/showProposal.do?Continue=Y&amp;ID="&amp;BudgetsTable[[#This Row],[prop_id]],BudgetsTable[[#This Row],[prop_id]]))</f>
        <v>1763937</v>
      </c>
      <c r="M432" s="15" t="e">
        <f>IF(BudgetsTable[[#This Row],[pi_last_name]]=" ","",HYPERLINK("https://www.ejacket.nsf.gov/ej/processReviewAnalysis.do?dispatch=add&amp;uniqId="&amp;BudgetsTable[[#This Row],[prop_id]]&amp;PO_id,"&gt;ra"))</f>
        <v>#REF!</v>
      </c>
      <c r="N432" s="79" t="s">
        <v>1388</v>
      </c>
      <c r="O432" s="7" t="str">
        <f>IF(BudgetsTable[[#This Row],[pi_last_name]]=" ","",HYPERLINK("mailto:"&amp;BudgetsTable[[#This Row],[pi_email]]&amp;"&amp;subject=Your NSF Proposal:  "&amp;BudgetsTable[[#This Row],[prop_id]],BudgetsTable[[#This Row],[pi_email]]))</f>
        <v>edemaine@mit.edu</v>
      </c>
      <c r="P432" s="79" t="s">
        <v>1487</v>
      </c>
      <c r="Q432" s="79"/>
      <c r="R432" s="79"/>
      <c r="S432" s="80"/>
      <c r="T432" s="80"/>
      <c r="U432" s="80"/>
      <c r="V432" s="81"/>
      <c r="W432" s="79">
        <v>0</v>
      </c>
      <c r="X432" s="79"/>
      <c r="Y432" s="11" t="str">
        <f ca="1">IF(ISBLANK(BudgetsTable[[#This Row],[budg_seq_yr]]),"FY"&amp;fiscalyear,"FY"&amp;fiscalyear-1+BudgetsTable[[#This Row],[budg_seq_yr]])</f>
        <v>FY18</v>
      </c>
      <c r="Z432" s="80">
        <v>600000</v>
      </c>
      <c r="AA432" s="79" t="s">
        <v>477</v>
      </c>
      <c r="AB432" s="79" t="s">
        <v>582</v>
      </c>
      <c r="AC432" s="77" t="s">
        <v>94</v>
      </c>
      <c r="AD432" s="79" t="s">
        <v>1809</v>
      </c>
    </row>
    <row r="433" spans="1:30" x14ac:dyDescent="0.4">
      <c r="A433" s="10" t="s">
        <v>1387</v>
      </c>
      <c r="B433" s="77" t="s">
        <v>491</v>
      </c>
      <c r="C433" s="77">
        <f>C432+(BudgetsTable[[#This Row],[lead]]&lt;&gt;K432)</f>
        <v>83</v>
      </c>
      <c r="D433" s="77">
        <f>D432*(BudgetsTable[[#This Row],[lead]]=K432)+(BudgetsTable[[#This Row],[prop_id]]&lt;&gt;A432)</f>
        <v>1</v>
      </c>
      <c r="E433" s="78">
        <v>43005.67291666667</v>
      </c>
      <c r="F433" s="79" t="s">
        <v>524</v>
      </c>
      <c r="G433" s="79" t="s">
        <v>477</v>
      </c>
      <c r="H433" s="79" t="s">
        <v>582</v>
      </c>
      <c r="I433" s="77" t="s">
        <v>611</v>
      </c>
      <c r="J433" s="77" t="s">
        <v>13</v>
      </c>
      <c r="K433" s="79" t="s">
        <v>1387</v>
      </c>
      <c r="L433" s="7" t="str">
        <f>IF(BudgetsTable[[#This Row],[pi_last_name]]=" ","",HYPERLINK("https://www.ejacket.nsf.gov/ej/showProposal.do?Continue=Y&amp;ID="&amp;BudgetsTable[[#This Row],[prop_id]],BudgetsTable[[#This Row],[prop_id]]))</f>
        <v/>
      </c>
      <c r="M433" s="15" t="str">
        <f>IF(BudgetsTable[[#This Row],[pi_last_name]]=" ","",HYPERLINK("https://www.ejacket.nsf.gov/ej/processReviewAnalysis.do?dispatch=add&amp;uniqId="&amp;BudgetsTable[[#This Row],[prop_id]]&amp;PO_id,"&gt;ra"))</f>
        <v/>
      </c>
      <c r="N433" s="79" t="s">
        <v>13</v>
      </c>
      <c r="O433" s="7" t="str">
        <f>IF(BudgetsTable[[#This Row],[pi_last_name]]=" ","",HYPERLINK("mailto:"&amp;BudgetsTable[[#This Row],[pi_email]]&amp;"&amp;subject=Your NSF Proposal:  "&amp;BudgetsTable[[#This Row],[prop_id]],BudgetsTable[[#This Row],[pi_email]]))</f>
        <v/>
      </c>
      <c r="P433" s="79" t="s">
        <v>13</v>
      </c>
      <c r="Q433" s="79">
        <v>1</v>
      </c>
      <c r="R433" s="79">
        <v>0.5</v>
      </c>
      <c r="S433" s="80">
        <v>0</v>
      </c>
      <c r="T433" s="80">
        <v>0</v>
      </c>
      <c r="U433" s="80">
        <v>0</v>
      </c>
      <c r="V433" s="81">
        <v>147726</v>
      </c>
      <c r="W433" s="79">
        <v>0</v>
      </c>
      <c r="X433" s="79">
        <v>1</v>
      </c>
      <c r="Y433" s="11" t="str">
        <f ca="1">IF(ISBLANK(BudgetsTable[[#This Row],[budg_seq_yr]]),"FY"&amp;fiscalyear,"FY"&amp;fiscalyear-1+BudgetsTable[[#This Row],[budg_seq_yr]])</f>
        <v>FY18</v>
      </c>
      <c r="Z433" s="80">
        <v>147726</v>
      </c>
      <c r="AA433" s="79" t="s">
        <v>477</v>
      </c>
      <c r="AB433" s="79" t="s">
        <v>582</v>
      </c>
      <c r="AC433" s="77" t="s">
        <v>94</v>
      </c>
      <c r="AD433" s="79" t="s">
        <v>1809</v>
      </c>
    </row>
    <row r="434" spans="1:30" x14ac:dyDescent="0.4">
      <c r="A434" s="10" t="s">
        <v>1387</v>
      </c>
      <c r="B434" s="77" t="s">
        <v>491</v>
      </c>
      <c r="C434" s="77">
        <f>C433+(BudgetsTable[[#This Row],[lead]]&lt;&gt;K433)</f>
        <v>83</v>
      </c>
      <c r="D434" s="77">
        <f>D433*(BudgetsTable[[#This Row],[lead]]=K433)+(BudgetsTable[[#This Row],[prop_id]]&lt;&gt;A433)</f>
        <v>1</v>
      </c>
      <c r="E434" s="78">
        <v>43005.67291666667</v>
      </c>
      <c r="F434" s="79" t="s">
        <v>524</v>
      </c>
      <c r="G434" s="79" t="s">
        <v>477</v>
      </c>
      <c r="H434" s="79" t="s">
        <v>582</v>
      </c>
      <c r="I434" s="77" t="s">
        <v>611</v>
      </c>
      <c r="J434" s="77" t="s">
        <v>13</v>
      </c>
      <c r="K434" s="79" t="s">
        <v>1387</v>
      </c>
      <c r="L434" s="7" t="str">
        <f>IF(BudgetsTable[[#This Row],[pi_last_name]]=" ","",HYPERLINK("https://www.ejacket.nsf.gov/ej/showProposal.do?Continue=Y&amp;ID="&amp;BudgetsTable[[#This Row],[prop_id]],BudgetsTable[[#This Row],[prop_id]]))</f>
        <v/>
      </c>
      <c r="M434" s="15" t="str">
        <f>IF(BudgetsTable[[#This Row],[pi_last_name]]=" ","",HYPERLINK("https://www.ejacket.nsf.gov/ej/processReviewAnalysis.do?dispatch=add&amp;uniqId="&amp;BudgetsTable[[#This Row],[prop_id]]&amp;PO_id,"&gt;ra"))</f>
        <v/>
      </c>
      <c r="N434" s="79" t="s">
        <v>13</v>
      </c>
      <c r="O434" s="7" t="str">
        <f>IF(BudgetsTable[[#This Row],[pi_last_name]]=" ","",HYPERLINK("mailto:"&amp;BudgetsTable[[#This Row],[pi_email]]&amp;"&amp;subject=Your NSF Proposal:  "&amp;BudgetsTable[[#This Row],[prop_id]],BudgetsTable[[#This Row],[pi_email]]))</f>
        <v/>
      </c>
      <c r="P434" s="79" t="s">
        <v>13</v>
      </c>
      <c r="Q434" s="79">
        <v>1</v>
      </c>
      <c r="R434" s="79">
        <v>0.5</v>
      </c>
      <c r="S434" s="80">
        <v>0</v>
      </c>
      <c r="T434" s="80">
        <v>0</v>
      </c>
      <c r="U434" s="80">
        <v>0</v>
      </c>
      <c r="V434" s="81">
        <v>147125</v>
      </c>
      <c r="W434" s="79">
        <v>0</v>
      </c>
      <c r="X434" s="79">
        <v>2</v>
      </c>
      <c r="Y434" s="11" t="str">
        <f ca="1">IF(ISBLANK(BudgetsTable[[#This Row],[budg_seq_yr]]),"FY"&amp;fiscalyear,"FY"&amp;fiscalyear-1+BudgetsTable[[#This Row],[budg_seq_yr]])</f>
        <v>FY19</v>
      </c>
      <c r="Z434" s="80">
        <v>147125</v>
      </c>
      <c r="AA434" s="79" t="s">
        <v>477</v>
      </c>
      <c r="AB434" s="79" t="s">
        <v>582</v>
      </c>
      <c r="AC434" s="77" t="s">
        <v>94</v>
      </c>
      <c r="AD434" s="79" t="s">
        <v>1809</v>
      </c>
    </row>
    <row r="435" spans="1:30" x14ac:dyDescent="0.4">
      <c r="A435" s="10" t="s">
        <v>1387</v>
      </c>
      <c r="B435" s="77" t="s">
        <v>491</v>
      </c>
      <c r="C435" s="77">
        <f>C434+(BudgetsTable[[#This Row],[lead]]&lt;&gt;K434)</f>
        <v>83</v>
      </c>
      <c r="D435" s="77">
        <f>D434*(BudgetsTable[[#This Row],[lead]]=K434)+(BudgetsTable[[#This Row],[prop_id]]&lt;&gt;A434)</f>
        <v>1</v>
      </c>
      <c r="E435" s="78">
        <v>43005.67291666667</v>
      </c>
      <c r="F435" s="79" t="s">
        <v>524</v>
      </c>
      <c r="G435" s="79" t="s">
        <v>477</v>
      </c>
      <c r="H435" s="79" t="s">
        <v>582</v>
      </c>
      <c r="I435" s="77" t="s">
        <v>611</v>
      </c>
      <c r="J435" s="77" t="s">
        <v>13</v>
      </c>
      <c r="K435" s="79" t="s">
        <v>1387</v>
      </c>
      <c r="L435" s="7" t="str">
        <f>IF(BudgetsTable[[#This Row],[pi_last_name]]=" ","",HYPERLINK("https://www.ejacket.nsf.gov/ej/showProposal.do?Continue=Y&amp;ID="&amp;BudgetsTable[[#This Row],[prop_id]],BudgetsTable[[#This Row],[prop_id]]))</f>
        <v/>
      </c>
      <c r="M435" s="15" t="str">
        <f>IF(BudgetsTable[[#This Row],[pi_last_name]]=" ","",HYPERLINK("https://www.ejacket.nsf.gov/ej/processReviewAnalysis.do?dispatch=add&amp;uniqId="&amp;BudgetsTable[[#This Row],[prop_id]]&amp;PO_id,"&gt;ra"))</f>
        <v/>
      </c>
      <c r="N435" s="79" t="s">
        <v>13</v>
      </c>
      <c r="O435" s="7" t="str">
        <f>IF(BudgetsTable[[#This Row],[pi_last_name]]=" ","",HYPERLINK("mailto:"&amp;BudgetsTable[[#This Row],[pi_email]]&amp;"&amp;subject=Your NSF Proposal:  "&amp;BudgetsTable[[#This Row],[prop_id]],BudgetsTable[[#This Row],[pi_email]]))</f>
        <v/>
      </c>
      <c r="P435" s="79" t="s">
        <v>13</v>
      </c>
      <c r="Q435" s="79">
        <v>1</v>
      </c>
      <c r="R435" s="79">
        <v>0.5</v>
      </c>
      <c r="S435" s="80">
        <v>0</v>
      </c>
      <c r="T435" s="80">
        <v>0</v>
      </c>
      <c r="U435" s="80">
        <v>0</v>
      </c>
      <c r="V435" s="81">
        <v>150248</v>
      </c>
      <c r="W435" s="79">
        <v>0</v>
      </c>
      <c r="X435" s="79">
        <v>3</v>
      </c>
      <c r="Y435" s="11" t="str">
        <f ca="1">IF(ISBLANK(BudgetsTable[[#This Row],[budg_seq_yr]]),"FY"&amp;fiscalyear,"FY"&amp;fiscalyear-1+BudgetsTable[[#This Row],[budg_seq_yr]])</f>
        <v>FY20</v>
      </c>
      <c r="Z435" s="80">
        <v>150248</v>
      </c>
      <c r="AA435" s="79" t="s">
        <v>477</v>
      </c>
      <c r="AB435" s="79" t="s">
        <v>582</v>
      </c>
      <c r="AC435" s="77" t="s">
        <v>94</v>
      </c>
      <c r="AD435" s="79" t="s">
        <v>1809</v>
      </c>
    </row>
    <row r="436" spans="1:30" x14ac:dyDescent="0.4">
      <c r="A436" s="10" t="s">
        <v>1387</v>
      </c>
      <c r="B436" s="77" t="s">
        <v>491</v>
      </c>
      <c r="C436" s="77">
        <f>C435+(BudgetsTable[[#This Row],[lead]]&lt;&gt;K435)</f>
        <v>83</v>
      </c>
      <c r="D436" s="77">
        <f>D435*(BudgetsTable[[#This Row],[lead]]=K435)+(BudgetsTable[[#This Row],[prop_id]]&lt;&gt;A435)</f>
        <v>1</v>
      </c>
      <c r="E436" s="78">
        <v>43005.67291666667</v>
      </c>
      <c r="F436" s="79" t="s">
        <v>524</v>
      </c>
      <c r="G436" s="79" t="s">
        <v>477</v>
      </c>
      <c r="H436" s="79" t="s">
        <v>582</v>
      </c>
      <c r="I436" s="77" t="s">
        <v>611</v>
      </c>
      <c r="J436" s="77" t="s">
        <v>13</v>
      </c>
      <c r="K436" s="79" t="s">
        <v>1387</v>
      </c>
      <c r="L436" s="7" t="str">
        <f>IF(BudgetsTable[[#This Row],[pi_last_name]]=" ","",HYPERLINK("https://www.ejacket.nsf.gov/ej/showProposal.do?Continue=Y&amp;ID="&amp;BudgetsTable[[#This Row],[prop_id]],BudgetsTable[[#This Row],[prop_id]]))</f>
        <v/>
      </c>
      <c r="M436" s="15" t="str">
        <f>IF(BudgetsTable[[#This Row],[pi_last_name]]=" ","",HYPERLINK("https://www.ejacket.nsf.gov/ej/processReviewAnalysis.do?dispatch=add&amp;uniqId="&amp;BudgetsTable[[#This Row],[prop_id]]&amp;PO_id,"&gt;ra"))</f>
        <v/>
      </c>
      <c r="N436" s="79" t="s">
        <v>13</v>
      </c>
      <c r="O436" s="7" t="str">
        <f>IF(BudgetsTable[[#This Row],[pi_last_name]]=" ","",HYPERLINK("mailto:"&amp;BudgetsTable[[#This Row],[pi_email]]&amp;"&amp;subject=Your NSF Proposal:  "&amp;BudgetsTable[[#This Row],[prop_id]],BudgetsTable[[#This Row],[pi_email]]))</f>
        <v/>
      </c>
      <c r="P436" s="79" t="s">
        <v>13</v>
      </c>
      <c r="Q436" s="79">
        <v>1</v>
      </c>
      <c r="R436" s="79">
        <v>0.5</v>
      </c>
      <c r="S436" s="80">
        <v>0</v>
      </c>
      <c r="T436" s="80">
        <v>0</v>
      </c>
      <c r="U436" s="80">
        <v>0</v>
      </c>
      <c r="V436" s="81">
        <v>154901</v>
      </c>
      <c r="W436" s="79">
        <v>0</v>
      </c>
      <c r="X436" s="79">
        <v>4</v>
      </c>
      <c r="Y436" s="11" t="str">
        <f ca="1">IF(ISBLANK(BudgetsTable[[#This Row],[budg_seq_yr]]),"FY"&amp;fiscalyear,"FY"&amp;fiscalyear-1+BudgetsTable[[#This Row],[budg_seq_yr]])</f>
        <v>FY21</v>
      </c>
      <c r="Z436" s="80">
        <v>154901</v>
      </c>
      <c r="AA436" s="79" t="s">
        <v>477</v>
      </c>
      <c r="AB436" s="79" t="s">
        <v>582</v>
      </c>
      <c r="AC436" s="77" t="s">
        <v>94</v>
      </c>
      <c r="AD436" s="79" t="s">
        <v>1809</v>
      </c>
    </row>
    <row r="437" spans="1:30" x14ac:dyDescent="0.4">
      <c r="A437" s="10" t="s">
        <v>1813</v>
      </c>
      <c r="B437" s="77" t="s">
        <v>493</v>
      </c>
      <c r="C437" s="77">
        <f>C436+(BudgetsTable[[#This Row],[lead]]&lt;&gt;K436)</f>
        <v>83</v>
      </c>
      <c r="D437" s="77">
        <f>D436*(BudgetsTable[[#This Row],[lead]]=K436)+(BudgetsTable[[#This Row],[prop_id]]&lt;&gt;A436)</f>
        <v>2</v>
      </c>
      <c r="E437" s="78">
        <v>43005.448611111111</v>
      </c>
      <c r="F437" s="79" t="s">
        <v>524</v>
      </c>
      <c r="G437" s="79" t="s">
        <v>477</v>
      </c>
      <c r="H437" s="79" t="s">
        <v>582</v>
      </c>
      <c r="I437" s="77" t="s">
        <v>611</v>
      </c>
      <c r="J437" s="77" t="s">
        <v>1816</v>
      </c>
      <c r="K437" s="79" t="s">
        <v>1387</v>
      </c>
      <c r="L437" s="7" t="str">
        <f>IF(BudgetsTable[[#This Row],[pi_last_name]]=" ","",HYPERLINK("https://www.ejacket.nsf.gov/ej/showProposal.do?Continue=Y&amp;ID="&amp;BudgetsTable[[#This Row],[prop_id]],BudgetsTable[[#This Row],[prop_id]]))</f>
        <v>1763521</v>
      </c>
      <c r="M437" s="15" t="e">
        <f>IF(BudgetsTable[[#This Row],[pi_last_name]]=" ","",HYPERLINK("https://www.ejacket.nsf.gov/ej/processReviewAnalysis.do?dispatch=add&amp;uniqId="&amp;BudgetsTable[[#This Row],[prop_id]]&amp;PO_id,"&gt;ra"))</f>
        <v>#REF!</v>
      </c>
      <c r="N437" s="79" t="s">
        <v>1814</v>
      </c>
      <c r="O437" s="7" t="str">
        <f>IF(BudgetsTable[[#This Row],[pi_last_name]]=" ","",HYPERLINK("mailto:"&amp;BudgetsTable[[#This Row],[pi_email]]&amp;"&amp;subject=Your NSF Proposal:  "&amp;BudgetsTable[[#This Row],[prop_id]],BudgetsTable[[#This Row],[pi_email]]))</f>
        <v>hajiagha@cs.umd.edu</v>
      </c>
      <c r="P437" s="79" t="s">
        <v>500</v>
      </c>
      <c r="Q437" s="79"/>
      <c r="R437" s="79"/>
      <c r="S437" s="80"/>
      <c r="T437" s="80"/>
      <c r="U437" s="80"/>
      <c r="V437" s="81"/>
      <c r="W437" s="79">
        <v>0</v>
      </c>
      <c r="X437" s="79"/>
      <c r="Y437" s="11" t="str">
        <f ca="1">IF(ISBLANK(BudgetsTable[[#This Row],[budg_seq_yr]]),"FY"&amp;fiscalyear,"FY"&amp;fiscalyear-1+BudgetsTable[[#This Row],[budg_seq_yr]])</f>
        <v>FY18</v>
      </c>
      <c r="Z437" s="80">
        <v>600000</v>
      </c>
      <c r="AA437" s="79" t="s">
        <v>477</v>
      </c>
      <c r="AB437" s="79" t="s">
        <v>582</v>
      </c>
      <c r="AC437" s="77" t="s">
        <v>94</v>
      </c>
      <c r="AD437" s="79" t="s">
        <v>1809</v>
      </c>
    </row>
    <row r="438" spans="1:30" x14ac:dyDescent="0.4">
      <c r="A438" s="10" t="s">
        <v>1813</v>
      </c>
      <c r="B438" s="77" t="s">
        <v>493</v>
      </c>
      <c r="C438" s="77">
        <f>C437+(BudgetsTable[[#This Row],[lead]]&lt;&gt;K437)</f>
        <v>83</v>
      </c>
      <c r="D438" s="77">
        <f>D437*(BudgetsTable[[#This Row],[lead]]=K437)+(BudgetsTable[[#This Row],[prop_id]]&lt;&gt;A437)</f>
        <v>2</v>
      </c>
      <c r="E438" s="78">
        <v>43005.448611111111</v>
      </c>
      <c r="F438" s="79" t="s">
        <v>524</v>
      </c>
      <c r="G438" s="79" t="s">
        <v>477</v>
      </c>
      <c r="H438" s="79" t="s">
        <v>582</v>
      </c>
      <c r="I438" s="77" t="s">
        <v>611</v>
      </c>
      <c r="J438" s="77" t="s">
        <v>13</v>
      </c>
      <c r="K438" s="79" t="s">
        <v>1387</v>
      </c>
      <c r="L438" s="7" t="str">
        <f>IF(BudgetsTable[[#This Row],[pi_last_name]]=" ","",HYPERLINK("https://www.ejacket.nsf.gov/ej/showProposal.do?Continue=Y&amp;ID="&amp;BudgetsTable[[#This Row],[prop_id]],BudgetsTable[[#This Row],[prop_id]]))</f>
        <v/>
      </c>
      <c r="M438" s="15" t="str">
        <f>IF(BudgetsTable[[#This Row],[pi_last_name]]=" ","",HYPERLINK("https://www.ejacket.nsf.gov/ej/processReviewAnalysis.do?dispatch=add&amp;uniqId="&amp;BudgetsTable[[#This Row],[prop_id]]&amp;PO_id,"&gt;ra"))</f>
        <v/>
      </c>
      <c r="N438" s="79" t="s">
        <v>13</v>
      </c>
      <c r="O438" s="7" t="str">
        <f>IF(BudgetsTable[[#This Row],[pi_last_name]]=" ","",HYPERLINK("mailto:"&amp;BudgetsTable[[#This Row],[pi_email]]&amp;"&amp;subject=Your NSF Proposal:  "&amp;BudgetsTable[[#This Row],[prop_id]],BudgetsTable[[#This Row],[pi_email]]))</f>
        <v/>
      </c>
      <c r="P438" s="79" t="s">
        <v>13</v>
      </c>
      <c r="Q438" s="79">
        <v>1</v>
      </c>
      <c r="R438" s="79">
        <v>0</v>
      </c>
      <c r="S438" s="80">
        <v>0</v>
      </c>
      <c r="T438" s="80">
        <v>3000</v>
      </c>
      <c r="U438" s="80">
        <v>0</v>
      </c>
      <c r="V438" s="81">
        <v>142710</v>
      </c>
      <c r="W438" s="79">
        <v>0</v>
      </c>
      <c r="X438" s="79">
        <v>1</v>
      </c>
      <c r="Y438" s="11" t="str">
        <f ca="1">IF(ISBLANK(BudgetsTable[[#This Row],[budg_seq_yr]]),"FY"&amp;fiscalyear,"FY"&amp;fiscalyear-1+BudgetsTable[[#This Row],[budg_seq_yr]])</f>
        <v>FY18</v>
      </c>
      <c r="Z438" s="80">
        <v>142710</v>
      </c>
      <c r="AA438" s="79" t="s">
        <v>477</v>
      </c>
      <c r="AB438" s="79" t="s">
        <v>582</v>
      </c>
      <c r="AC438" s="77" t="s">
        <v>94</v>
      </c>
      <c r="AD438" s="79" t="s">
        <v>1809</v>
      </c>
    </row>
    <row r="439" spans="1:30" x14ac:dyDescent="0.4">
      <c r="A439" s="10" t="s">
        <v>1813</v>
      </c>
      <c r="B439" s="77" t="s">
        <v>493</v>
      </c>
      <c r="C439" s="77">
        <f>C438+(BudgetsTable[[#This Row],[lead]]&lt;&gt;K438)</f>
        <v>83</v>
      </c>
      <c r="D439" s="77">
        <f>D438*(BudgetsTable[[#This Row],[lead]]=K438)+(BudgetsTable[[#This Row],[prop_id]]&lt;&gt;A438)</f>
        <v>2</v>
      </c>
      <c r="E439" s="78">
        <v>43005.448611111111</v>
      </c>
      <c r="F439" s="79" t="s">
        <v>524</v>
      </c>
      <c r="G439" s="79" t="s">
        <v>477</v>
      </c>
      <c r="H439" s="79" t="s">
        <v>582</v>
      </c>
      <c r="I439" s="77" t="s">
        <v>611</v>
      </c>
      <c r="J439" s="77" t="s">
        <v>13</v>
      </c>
      <c r="K439" s="79" t="s">
        <v>1387</v>
      </c>
      <c r="L439" s="7" t="str">
        <f>IF(BudgetsTable[[#This Row],[pi_last_name]]=" ","",HYPERLINK("https://www.ejacket.nsf.gov/ej/showProposal.do?Continue=Y&amp;ID="&amp;BudgetsTable[[#This Row],[prop_id]],BudgetsTable[[#This Row],[prop_id]]))</f>
        <v/>
      </c>
      <c r="M439" s="15" t="str">
        <f>IF(BudgetsTable[[#This Row],[pi_last_name]]=" ","",HYPERLINK("https://www.ejacket.nsf.gov/ej/processReviewAnalysis.do?dispatch=add&amp;uniqId="&amp;BudgetsTable[[#This Row],[prop_id]]&amp;PO_id,"&gt;ra"))</f>
        <v/>
      </c>
      <c r="N439" s="79" t="s">
        <v>13</v>
      </c>
      <c r="O439" s="7" t="str">
        <f>IF(BudgetsTable[[#This Row],[pi_last_name]]=" ","",HYPERLINK("mailto:"&amp;BudgetsTable[[#This Row],[pi_email]]&amp;"&amp;subject=Your NSF Proposal:  "&amp;BudgetsTable[[#This Row],[prop_id]],BudgetsTable[[#This Row],[pi_email]]))</f>
        <v/>
      </c>
      <c r="P439" s="79" t="s">
        <v>13</v>
      </c>
      <c r="Q439" s="79">
        <v>1</v>
      </c>
      <c r="R439" s="79">
        <v>0</v>
      </c>
      <c r="S439" s="80">
        <v>0</v>
      </c>
      <c r="T439" s="80">
        <v>3000</v>
      </c>
      <c r="U439" s="80">
        <v>0</v>
      </c>
      <c r="V439" s="81">
        <v>146852</v>
      </c>
      <c r="W439" s="79">
        <v>0</v>
      </c>
      <c r="X439" s="79">
        <v>2</v>
      </c>
      <c r="Y439" s="11" t="str">
        <f ca="1">IF(ISBLANK(BudgetsTable[[#This Row],[budg_seq_yr]]),"FY"&amp;fiscalyear,"FY"&amp;fiscalyear-1+BudgetsTable[[#This Row],[budg_seq_yr]])</f>
        <v>FY19</v>
      </c>
      <c r="Z439" s="80">
        <v>146852</v>
      </c>
      <c r="AA439" s="79" t="s">
        <v>477</v>
      </c>
      <c r="AB439" s="79" t="s">
        <v>582</v>
      </c>
      <c r="AC439" s="77" t="s">
        <v>94</v>
      </c>
      <c r="AD439" s="79" t="s">
        <v>1809</v>
      </c>
    </row>
    <row r="440" spans="1:30" x14ac:dyDescent="0.4">
      <c r="A440" s="10" t="s">
        <v>1813</v>
      </c>
      <c r="B440" s="77" t="s">
        <v>493</v>
      </c>
      <c r="C440" s="77">
        <f>C439+(BudgetsTable[[#This Row],[lead]]&lt;&gt;K439)</f>
        <v>83</v>
      </c>
      <c r="D440" s="77">
        <f>D439*(BudgetsTable[[#This Row],[lead]]=K439)+(BudgetsTable[[#This Row],[prop_id]]&lt;&gt;A439)</f>
        <v>2</v>
      </c>
      <c r="E440" s="78">
        <v>43005.448611111111</v>
      </c>
      <c r="F440" s="79" t="s">
        <v>524</v>
      </c>
      <c r="G440" s="79" t="s">
        <v>477</v>
      </c>
      <c r="H440" s="79" t="s">
        <v>582</v>
      </c>
      <c r="I440" s="77" t="s">
        <v>611</v>
      </c>
      <c r="J440" s="77" t="s">
        <v>13</v>
      </c>
      <c r="K440" s="79" t="s">
        <v>1387</v>
      </c>
      <c r="L440" s="7" t="str">
        <f>IF(BudgetsTable[[#This Row],[pi_last_name]]=" ","",HYPERLINK("https://www.ejacket.nsf.gov/ej/showProposal.do?Continue=Y&amp;ID="&amp;BudgetsTable[[#This Row],[prop_id]],BudgetsTable[[#This Row],[prop_id]]))</f>
        <v/>
      </c>
      <c r="M440" s="15" t="str">
        <f>IF(BudgetsTable[[#This Row],[pi_last_name]]=" ","",HYPERLINK("https://www.ejacket.nsf.gov/ej/processReviewAnalysis.do?dispatch=add&amp;uniqId="&amp;BudgetsTable[[#This Row],[prop_id]]&amp;PO_id,"&gt;ra"))</f>
        <v/>
      </c>
      <c r="N440" s="79" t="s">
        <v>13</v>
      </c>
      <c r="O440" s="7" t="str">
        <f>IF(BudgetsTable[[#This Row],[pi_last_name]]=" ","",HYPERLINK("mailto:"&amp;BudgetsTable[[#This Row],[pi_email]]&amp;"&amp;subject=Your NSF Proposal:  "&amp;BudgetsTable[[#This Row],[prop_id]],BudgetsTable[[#This Row],[pi_email]]))</f>
        <v/>
      </c>
      <c r="P440" s="79" t="s">
        <v>13</v>
      </c>
      <c r="Q440" s="79">
        <v>1</v>
      </c>
      <c r="R440" s="79">
        <v>0</v>
      </c>
      <c r="S440" s="80">
        <v>0</v>
      </c>
      <c r="T440" s="80">
        <v>3000</v>
      </c>
      <c r="U440" s="80">
        <v>0</v>
      </c>
      <c r="V440" s="81">
        <v>151126</v>
      </c>
      <c r="W440" s="79">
        <v>0</v>
      </c>
      <c r="X440" s="79">
        <v>3</v>
      </c>
      <c r="Y440" s="11" t="str">
        <f ca="1">IF(ISBLANK(BudgetsTable[[#This Row],[budg_seq_yr]]),"FY"&amp;fiscalyear,"FY"&amp;fiscalyear-1+BudgetsTable[[#This Row],[budg_seq_yr]])</f>
        <v>FY20</v>
      </c>
      <c r="Z440" s="80">
        <v>151126</v>
      </c>
      <c r="AA440" s="79" t="s">
        <v>477</v>
      </c>
      <c r="AB440" s="79" t="s">
        <v>582</v>
      </c>
      <c r="AC440" s="77" t="s">
        <v>94</v>
      </c>
      <c r="AD440" s="79" t="s">
        <v>1809</v>
      </c>
    </row>
    <row r="441" spans="1:30" x14ac:dyDescent="0.4">
      <c r="A441" s="10" t="s">
        <v>1813</v>
      </c>
      <c r="B441" s="77" t="s">
        <v>493</v>
      </c>
      <c r="C441" s="77">
        <f>C440+(BudgetsTable[[#This Row],[lead]]&lt;&gt;K440)</f>
        <v>83</v>
      </c>
      <c r="D441" s="77">
        <f>D440*(BudgetsTable[[#This Row],[lead]]=K440)+(BudgetsTable[[#This Row],[prop_id]]&lt;&gt;A440)</f>
        <v>2</v>
      </c>
      <c r="E441" s="78">
        <v>43005.448611111111</v>
      </c>
      <c r="F441" s="79" t="s">
        <v>524</v>
      </c>
      <c r="G441" s="79" t="s">
        <v>477</v>
      </c>
      <c r="H441" s="79" t="s">
        <v>582</v>
      </c>
      <c r="I441" s="77" t="s">
        <v>611</v>
      </c>
      <c r="J441" s="77" t="s">
        <v>13</v>
      </c>
      <c r="K441" s="79" t="s">
        <v>1387</v>
      </c>
      <c r="L441" s="7" t="str">
        <f>IF(BudgetsTable[[#This Row],[pi_last_name]]=" ","",HYPERLINK("https://www.ejacket.nsf.gov/ej/showProposal.do?Continue=Y&amp;ID="&amp;BudgetsTable[[#This Row],[prop_id]],BudgetsTable[[#This Row],[prop_id]]))</f>
        <v/>
      </c>
      <c r="M441" s="15" t="str">
        <f>IF(BudgetsTable[[#This Row],[pi_last_name]]=" ","",HYPERLINK("https://www.ejacket.nsf.gov/ej/processReviewAnalysis.do?dispatch=add&amp;uniqId="&amp;BudgetsTable[[#This Row],[prop_id]]&amp;PO_id,"&gt;ra"))</f>
        <v/>
      </c>
      <c r="N441" s="79" t="s">
        <v>13</v>
      </c>
      <c r="O441" s="7" t="str">
        <f>IF(BudgetsTable[[#This Row],[pi_last_name]]=" ","",HYPERLINK("mailto:"&amp;BudgetsTable[[#This Row],[pi_email]]&amp;"&amp;subject=Your NSF Proposal:  "&amp;BudgetsTable[[#This Row],[prop_id]],BudgetsTable[[#This Row],[pi_email]]))</f>
        <v/>
      </c>
      <c r="P441" s="79" t="s">
        <v>13</v>
      </c>
      <c r="Q441" s="79">
        <v>1</v>
      </c>
      <c r="R441" s="79">
        <v>0</v>
      </c>
      <c r="S441" s="80">
        <v>0</v>
      </c>
      <c r="T441" s="80">
        <v>3000</v>
      </c>
      <c r="U441" s="80">
        <v>0</v>
      </c>
      <c r="V441" s="81">
        <v>159312</v>
      </c>
      <c r="W441" s="79">
        <v>0</v>
      </c>
      <c r="X441" s="79">
        <v>4</v>
      </c>
      <c r="Y441" s="11" t="str">
        <f ca="1">IF(ISBLANK(BudgetsTable[[#This Row],[budg_seq_yr]]),"FY"&amp;fiscalyear,"FY"&amp;fiscalyear-1+BudgetsTable[[#This Row],[budg_seq_yr]])</f>
        <v>FY21</v>
      </c>
      <c r="Z441" s="80">
        <v>159312</v>
      </c>
      <c r="AA441" s="79" t="s">
        <v>477</v>
      </c>
      <c r="AB441" s="79" t="s">
        <v>582</v>
      </c>
      <c r="AC441" s="77" t="s">
        <v>94</v>
      </c>
      <c r="AD441" s="79" t="s">
        <v>1809</v>
      </c>
    </row>
    <row r="442" spans="1:30" x14ac:dyDescent="0.4">
      <c r="A442" s="10" t="s">
        <v>1395</v>
      </c>
      <c r="B442" s="77" t="s">
        <v>95</v>
      </c>
      <c r="C442" s="77">
        <f>C441+(BudgetsTable[[#This Row],[lead]]&lt;&gt;K441)</f>
        <v>84</v>
      </c>
      <c r="D442" s="77">
        <f>D441*(BudgetsTable[[#This Row],[lead]]=K441)+(BudgetsTable[[#This Row],[prop_id]]&lt;&gt;A441)</f>
        <v>1</v>
      </c>
      <c r="E442" s="78">
        <v>43005.686805555553</v>
      </c>
      <c r="F442" s="79" t="s">
        <v>524</v>
      </c>
      <c r="G442" s="79" t="s">
        <v>477</v>
      </c>
      <c r="H442" s="79" t="s">
        <v>582</v>
      </c>
      <c r="I442" s="77" t="s">
        <v>654</v>
      </c>
      <c r="J442" s="77" t="s">
        <v>1821</v>
      </c>
      <c r="K442" s="79" t="s">
        <v>1395</v>
      </c>
      <c r="L442" s="7" t="str">
        <f>IF(BudgetsTable[[#This Row],[pi_last_name]]=" ","",HYPERLINK("https://www.ejacket.nsf.gov/ej/showProposal.do?Continue=Y&amp;ID="&amp;BudgetsTable[[#This Row],[prop_id]],BudgetsTable[[#This Row],[prop_id]]))</f>
        <v>1763970</v>
      </c>
      <c r="M442" s="15" t="e">
        <f>IF(BudgetsTable[[#This Row],[pi_last_name]]=" ","",HYPERLINK("https://www.ejacket.nsf.gov/ej/processReviewAnalysis.do?dispatch=add&amp;uniqId="&amp;BudgetsTable[[#This Row],[prop_id]]&amp;PO_id,"&gt;ra"))</f>
        <v>#REF!</v>
      </c>
      <c r="N442" s="79" t="s">
        <v>1396</v>
      </c>
      <c r="O442" s="7" t="str">
        <f>IF(BudgetsTable[[#This Row],[pi_last_name]]=" ","",HYPERLINK("mailto:"&amp;BudgetsTable[[#This Row],[pi_email]]&amp;"&amp;subject=Your NSF Proposal:  "&amp;BudgetsTable[[#This Row],[prop_id]],BudgetsTable[[#This Row],[pi_email]]))</f>
        <v>christos@cs.berkeley.edu</v>
      </c>
      <c r="P442" s="79" t="s">
        <v>1472</v>
      </c>
      <c r="Q442" s="79"/>
      <c r="R442" s="79"/>
      <c r="S442" s="80"/>
      <c r="T442" s="80"/>
      <c r="U442" s="80"/>
      <c r="V442" s="81"/>
      <c r="W442" s="79">
        <v>0</v>
      </c>
      <c r="X442" s="79"/>
      <c r="Y442" s="11" t="str">
        <f ca="1">IF(ISBLANK(BudgetsTable[[#This Row],[budg_seq_yr]]),"FY"&amp;fiscalyear,"FY"&amp;fiscalyear-1+BudgetsTable[[#This Row],[budg_seq_yr]])</f>
        <v>FY18</v>
      </c>
      <c r="Z442" s="80">
        <v>1200000</v>
      </c>
      <c r="AA442" s="79" t="s">
        <v>477</v>
      </c>
      <c r="AB442" s="79" t="s">
        <v>582</v>
      </c>
      <c r="AC442" s="77" t="s">
        <v>94</v>
      </c>
      <c r="AD442" s="79" t="s">
        <v>1817</v>
      </c>
    </row>
    <row r="443" spans="1:30" x14ac:dyDescent="0.4">
      <c r="A443" s="10" t="s">
        <v>1395</v>
      </c>
      <c r="B443" s="77" t="s">
        <v>95</v>
      </c>
      <c r="C443" s="77">
        <f>C442+(BudgetsTable[[#This Row],[lead]]&lt;&gt;K442)</f>
        <v>84</v>
      </c>
      <c r="D443" s="77">
        <f>D442*(BudgetsTable[[#This Row],[lead]]=K442)+(BudgetsTable[[#This Row],[prop_id]]&lt;&gt;A442)</f>
        <v>1</v>
      </c>
      <c r="E443" s="78">
        <v>43005.686805555553</v>
      </c>
      <c r="F443" s="79" t="s">
        <v>524</v>
      </c>
      <c r="G443" s="79" t="s">
        <v>477</v>
      </c>
      <c r="H443" s="79" t="s">
        <v>582</v>
      </c>
      <c r="I443" s="77" t="s">
        <v>654</v>
      </c>
      <c r="J443" s="77" t="s">
        <v>13</v>
      </c>
      <c r="K443" s="79" t="s">
        <v>1395</v>
      </c>
      <c r="L443" s="7" t="str">
        <f>IF(BudgetsTable[[#This Row],[pi_last_name]]=" ","",HYPERLINK("https://www.ejacket.nsf.gov/ej/showProposal.do?Continue=Y&amp;ID="&amp;BudgetsTable[[#This Row],[prop_id]],BudgetsTable[[#This Row],[prop_id]]))</f>
        <v/>
      </c>
      <c r="M443" s="15" t="str">
        <f>IF(BudgetsTable[[#This Row],[pi_last_name]]=" ","",HYPERLINK("https://www.ejacket.nsf.gov/ej/processReviewAnalysis.do?dispatch=add&amp;uniqId="&amp;BudgetsTable[[#This Row],[prop_id]]&amp;PO_id,"&gt;ra"))</f>
        <v/>
      </c>
      <c r="N443" s="79" t="s">
        <v>13</v>
      </c>
      <c r="O443" s="7" t="str">
        <f>IF(BudgetsTable[[#This Row],[pi_last_name]]=" ","",HYPERLINK("mailto:"&amp;BudgetsTable[[#This Row],[pi_email]]&amp;"&amp;subject=Your NSF Proposal:  "&amp;BudgetsTable[[#This Row],[prop_id]],BudgetsTable[[#This Row],[pi_email]]))</f>
        <v/>
      </c>
      <c r="P443" s="79" t="s">
        <v>13</v>
      </c>
      <c r="Q443" s="79">
        <v>2</v>
      </c>
      <c r="R443" s="79">
        <v>0</v>
      </c>
      <c r="S443" s="80">
        <v>0</v>
      </c>
      <c r="T443" s="80">
        <v>0</v>
      </c>
      <c r="U443" s="80">
        <v>0</v>
      </c>
      <c r="V443" s="81">
        <v>186373</v>
      </c>
      <c r="W443" s="79">
        <v>0</v>
      </c>
      <c r="X443" s="79">
        <v>1</v>
      </c>
      <c r="Y443" s="11" t="str">
        <f ca="1">IF(ISBLANK(BudgetsTable[[#This Row],[budg_seq_yr]]),"FY"&amp;fiscalyear,"FY"&amp;fiscalyear-1+BudgetsTable[[#This Row],[budg_seq_yr]])</f>
        <v>FY18</v>
      </c>
      <c r="Z443" s="80">
        <v>186373</v>
      </c>
      <c r="AA443" s="79" t="s">
        <v>477</v>
      </c>
      <c r="AB443" s="79" t="s">
        <v>582</v>
      </c>
      <c r="AC443" s="77" t="s">
        <v>94</v>
      </c>
      <c r="AD443" s="79" t="s">
        <v>1817</v>
      </c>
    </row>
    <row r="444" spans="1:30" x14ac:dyDescent="0.4">
      <c r="A444" s="10" t="s">
        <v>1395</v>
      </c>
      <c r="B444" s="77" t="s">
        <v>95</v>
      </c>
      <c r="C444" s="77">
        <f>C443+(BudgetsTable[[#This Row],[lead]]&lt;&gt;K443)</f>
        <v>84</v>
      </c>
      <c r="D444" s="77">
        <f>D443*(BudgetsTable[[#This Row],[lead]]=K443)+(BudgetsTable[[#This Row],[prop_id]]&lt;&gt;A443)</f>
        <v>1</v>
      </c>
      <c r="E444" s="78">
        <v>43005.686805555553</v>
      </c>
      <c r="F444" s="79" t="s">
        <v>524</v>
      </c>
      <c r="G444" s="79" t="s">
        <v>477</v>
      </c>
      <c r="H444" s="79" t="s">
        <v>582</v>
      </c>
      <c r="I444" s="77" t="s">
        <v>654</v>
      </c>
      <c r="J444" s="77" t="s">
        <v>13</v>
      </c>
      <c r="K444" s="79" t="s">
        <v>1395</v>
      </c>
      <c r="L444" s="7" t="str">
        <f>IF(BudgetsTable[[#This Row],[pi_last_name]]=" ","",HYPERLINK("https://www.ejacket.nsf.gov/ej/showProposal.do?Continue=Y&amp;ID="&amp;BudgetsTable[[#This Row],[prop_id]],BudgetsTable[[#This Row],[prop_id]]))</f>
        <v/>
      </c>
      <c r="M444" s="15" t="str">
        <f>IF(BudgetsTable[[#This Row],[pi_last_name]]=" ","",HYPERLINK("https://www.ejacket.nsf.gov/ej/processReviewAnalysis.do?dispatch=add&amp;uniqId="&amp;BudgetsTable[[#This Row],[prop_id]]&amp;PO_id,"&gt;ra"))</f>
        <v/>
      </c>
      <c r="N444" s="79" t="s">
        <v>13</v>
      </c>
      <c r="O444" s="7" t="str">
        <f>IF(BudgetsTable[[#This Row],[pi_last_name]]=" ","",HYPERLINK("mailto:"&amp;BudgetsTable[[#This Row],[pi_email]]&amp;"&amp;subject=Your NSF Proposal:  "&amp;BudgetsTable[[#This Row],[prop_id]],BudgetsTable[[#This Row],[pi_email]]))</f>
        <v/>
      </c>
      <c r="P444" s="79" t="s">
        <v>13</v>
      </c>
      <c r="Q444" s="79">
        <v>2</v>
      </c>
      <c r="R444" s="79">
        <v>0</v>
      </c>
      <c r="S444" s="80">
        <v>0</v>
      </c>
      <c r="T444" s="80">
        <v>0</v>
      </c>
      <c r="U444" s="80">
        <v>0</v>
      </c>
      <c r="V444" s="81">
        <v>382389</v>
      </c>
      <c r="W444" s="79">
        <v>0</v>
      </c>
      <c r="X444" s="79">
        <v>2</v>
      </c>
      <c r="Y444" s="11" t="str">
        <f ca="1">IF(ISBLANK(BudgetsTable[[#This Row],[budg_seq_yr]]),"FY"&amp;fiscalyear,"FY"&amp;fiscalyear-1+BudgetsTable[[#This Row],[budg_seq_yr]])</f>
        <v>FY19</v>
      </c>
      <c r="Z444" s="80">
        <v>382389</v>
      </c>
      <c r="AA444" s="79" t="s">
        <v>477</v>
      </c>
      <c r="AB444" s="79" t="s">
        <v>582</v>
      </c>
      <c r="AC444" s="77" t="s">
        <v>94</v>
      </c>
      <c r="AD444" s="79" t="s">
        <v>1817</v>
      </c>
    </row>
    <row r="445" spans="1:30" x14ac:dyDescent="0.4">
      <c r="A445" s="10" t="s">
        <v>1395</v>
      </c>
      <c r="B445" s="77" t="s">
        <v>95</v>
      </c>
      <c r="C445" s="77">
        <f>C444+(BudgetsTable[[#This Row],[lead]]&lt;&gt;K444)</f>
        <v>84</v>
      </c>
      <c r="D445" s="77">
        <f>D444*(BudgetsTable[[#This Row],[lead]]=K444)+(BudgetsTable[[#This Row],[prop_id]]&lt;&gt;A444)</f>
        <v>1</v>
      </c>
      <c r="E445" s="78">
        <v>43005.686805555553</v>
      </c>
      <c r="F445" s="79" t="s">
        <v>524</v>
      </c>
      <c r="G445" s="79" t="s">
        <v>477</v>
      </c>
      <c r="H445" s="79" t="s">
        <v>582</v>
      </c>
      <c r="I445" s="77" t="s">
        <v>654</v>
      </c>
      <c r="J445" s="77" t="s">
        <v>13</v>
      </c>
      <c r="K445" s="79" t="s">
        <v>1395</v>
      </c>
      <c r="L445" s="7" t="str">
        <f>IF(BudgetsTable[[#This Row],[pi_last_name]]=" ","",HYPERLINK("https://www.ejacket.nsf.gov/ej/showProposal.do?Continue=Y&amp;ID="&amp;BudgetsTable[[#This Row],[prop_id]],BudgetsTable[[#This Row],[prop_id]]))</f>
        <v/>
      </c>
      <c r="M445" s="15" t="str">
        <f>IF(BudgetsTable[[#This Row],[pi_last_name]]=" ","",HYPERLINK("https://www.ejacket.nsf.gov/ej/processReviewAnalysis.do?dispatch=add&amp;uniqId="&amp;BudgetsTable[[#This Row],[prop_id]]&amp;PO_id,"&gt;ra"))</f>
        <v/>
      </c>
      <c r="N445" s="79" t="s">
        <v>13</v>
      </c>
      <c r="O445" s="7" t="str">
        <f>IF(BudgetsTable[[#This Row],[pi_last_name]]=" ","",HYPERLINK("mailto:"&amp;BudgetsTable[[#This Row],[pi_email]]&amp;"&amp;subject=Your NSF Proposal:  "&amp;BudgetsTable[[#This Row],[prop_id]],BudgetsTable[[#This Row],[pi_email]]))</f>
        <v/>
      </c>
      <c r="P445" s="79" t="s">
        <v>13</v>
      </c>
      <c r="Q445" s="79">
        <v>2</v>
      </c>
      <c r="R445" s="79">
        <v>0</v>
      </c>
      <c r="S445" s="80">
        <v>0</v>
      </c>
      <c r="T445" s="80">
        <v>0</v>
      </c>
      <c r="U445" s="80">
        <v>0</v>
      </c>
      <c r="V445" s="81">
        <v>322496</v>
      </c>
      <c r="W445" s="79">
        <v>0</v>
      </c>
      <c r="X445" s="79">
        <v>3</v>
      </c>
      <c r="Y445" s="11" t="str">
        <f ca="1">IF(ISBLANK(BudgetsTable[[#This Row],[budg_seq_yr]]),"FY"&amp;fiscalyear,"FY"&amp;fiscalyear-1+BudgetsTable[[#This Row],[budg_seq_yr]])</f>
        <v>FY20</v>
      </c>
      <c r="Z445" s="80">
        <v>322496</v>
      </c>
      <c r="AA445" s="79" t="s">
        <v>477</v>
      </c>
      <c r="AB445" s="79" t="s">
        <v>582</v>
      </c>
      <c r="AC445" s="77" t="s">
        <v>94</v>
      </c>
      <c r="AD445" s="79" t="s">
        <v>1817</v>
      </c>
    </row>
    <row r="446" spans="1:30" x14ac:dyDescent="0.4">
      <c r="A446" s="10" t="s">
        <v>1395</v>
      </c>
      <c r="B446" s="77" t="s">
        <v>95</v>
      </c>
      <c r="C446" s="77">
        <f>C445+(BudgetsTable[[#This Row],[lead]]&lt;&gt;K445)</f>
        <v>84</v>
      </c>
      <c r="D446" s="77">
        <f>D445*(BudgetsTable[[#This Row],[lead]]=K445)+(BudgetsTable[[#This Row],[prop_id]]&lt;&gt;A445)</f>
        <v>1</v>
      </c>
      <c r="E446" s="78">
        <v>43005.686805555553</v>
      </c>
      <c r="F446" s="79" t="s">
        <v>524</v>
      </c>
      <c r="G446" s="79" t="s">
        <v>477</v>
      </c>
      <c r="H446" s="79" t="s">
        <v>582</v>
      </c>
      <c r="I446" s="77" t="s">
        <v>654</v>
      </c>
      <c r="J446" s="77" t="s">
        <v>13</v>
      </c>
      <c r="K446" s="79" t="s">
        <v>1395</v>
      </c>
      <c r="L446" s="7" t="str">
        <f>IF(BudgetsTable[[#This Row],[pi_last_name]]=" ","",HYPERLINK("https://www.ejacket.nsf.gov/ej/showProposal.do?Continue=Y&amp;ID="&amp;BudgetsTable[[#This Row],[prop_id]],BudgetsTable[[#This Row],[prop_id]]))</f>
        <v/>
      </c>
      <c r="M446" s="15" t="str">
        <f>IF(BudgetsTable[[#This Row],[pi_last_name]]=" ","",HYPERLINK("https://www.ejacket.nsf.gov/ej/processReviewAnalysis.do?dispatch=add&amp;uniqId="&amp;BudgetsTable[[#This Row],[prop_id]]&amp;PO_id,"&gt;ra"))</f>
        <v/>
      </c>
      <c r="N446" s="79" t="s">
        <v>13</v>
      </c>
      <c r="O446" s="7" t="str">
        <f>IF(BudgetsTable[[#This Row],[pi_last_name]]=" ","",HYPERLINK("mailto:"&amp;BudgetsTable[[#This Row],[pi_email]]&amp;"&amp;subject=Your NSF Proposal:  "&amp;BudgetsTable[[#This Row],[prop_id]],BudgetsTable[[#This Row],[pi_email]]))</f>
        <v/>
      </c>
      <c r="P446" s="79" t="s">
        <v>13</v>
      </c>
      <c r="Q446" s="79">
        <v>2</v>
      </c>
      <c r="R446" s="79">
        <v>0</v>
      </c>
      <c r="S446" s="80">
        <v>0</v>
      </c>
      <c r="T446" s="80">
        <v>0</v>
      </c>
      <c r="U446" s="80">
        <v>0</v>
      </c>
      <c r="V446" s="81">
        <v>308742</v>
      </c>
      <c r="W446" s="79">
        <v>0</v>
      </c>
      <c r="X446" s="79">
        <v>4</v>
      </c>
      <c r="Y446" s="11" t="str">
        <f ca="1">IF(ISBLANK(BudgetsTable[[#This Row],[budg_seq_yr]]),"FY"&amp;fiscalyear,"FY"&amp;fiscalyear-1+BudgetsTable[[#This Row],[budg_seq_yr]])</f>
        <v>FY21</v>
      </c>
      <c r="Z446" s="80">
        <v>308742</v>
      </c>
      <c r="AA446" s="79" t="s">
        <v>477</v>
      </c>
      <c r="AB446" s="79" t="s">
        <v>582</v>
      </c>
      <c r="AC446" s="77" t="s">
        <v>94</v>
      </c>
      <c r="AD446" s="79" t="s">
        <v>1817</v>
      </c>
    </row>
    <row r="447" spans="1:30" x14ac:dyDescent="0.4">
      <c r="A447" s="10" t="s">
        <v>1403</v>
      </c>
      <c r="B447" s="77" t="s">
        <v>491</v>
      </c>
      <c r="C447" s="77">
        <f>C446+(BudgetsTable[[#This Row],[lead]]&lt;&gt;K446)</f>
        <v>85</v>
      </c>
      <c r="D447" s="77">
        <f>D446*(BudgetsTable[[#This Row],[lead]]=K446)+(BudgetsTable[[#This Row],[prop_id]]&lt;&gt;A446)</f>
        <v>1</v>
      </c>
      <c r="E447" s="78">
        <v>43005.713194444441</v>
      </c>
      <c r="F447" s="79" t="s">
        <v>524</v>
      </c>
      <c r="G447" s="79" t="s">
        <v>477</v>
      </c>
      <c r="H447" s="79" t="s">
        <v>582</v>
      </c>
      <c r="I447" s="77" t="s">
        <v>654</v>
      </c>
      <c r="J447" s="77" t="s">
        <v>1825</v>
      </c>
      <c r="K447" s="79" t="s">
        <v>1403</v>
      </c>
      <c r="L447" s="7" t="str">
        <f>IF(BudgetsTable[[#This Row],[pi_last_name]]=" ","",HYPERLINK("https://www.ejacket.nsf.gov/ej/showProposal.do?Continue=Y&amp;ID="&amp;BudgetsTable[[#This Row],[prop_id]],BudgetsTable[[#This Row],[prop_id]]))</f>
        <v>1764032</v>
      </c>
      <c r="M447" s="15" t="e">
        <f>IF(BudgetsTable[[#This Row],[pi_last_name]]=" ","",HYPERLINK("https://www.ejacket.nsf.gov/ej/processReviewAnalysis.do?dispatch=add&amp;uniqId="&amp;BudgetsTable[[#This Row],[prop_id]]&amp;PO_id,"&gt;ra"))</f>
        <v>#REF!</v>
      </c>
      <c r="N447" s="79" t="s">
        <v>1404</v>
      </c>
      <c r="O447" s="7" t="str">
        <f>IF(BudgetsTable[[#This Row],[pi_last_name]]=" ","",HYPERLINK("mailto:"&amp;BudgetsTable[[#This Row],[pi_email]]&amp;"&amp;subject=Your NSF Proposal:  "&amp;BudgetsTable[[#This Row],[prop_id]],BudgetsTable[[#This Row],[pi_email]]))</f>
        <v>nati@ttic.edu</v>
      </c>
      <c r="P447" s="79" t="s">
        <v>1823</v>
      </c>
      <c r="Q447" s="79"/>
      <c r="R447" s="79"/>
      <c r="S447" s="80"/>
      <c r="T447" s="80"/>
      <c r="U447" s="80"/>
      <c r="V447" s="81"/>
      <c r="W447" s="79">
        <v>0</v>
      </c>
      <c r="X447" s="79"/>
      <c r="Y447" s="11" t="str">
        <f ca="1">IF(ISBLANK(BudgetsTable[[#This Row],[budg_seq_yr]]),"FY"&amp;fiscalyear,"FY"&amp;fiscalyear-1+BudgetsTable[[#This Row],[budg_seq_yr]])</f>
        <v>FY18</v>
      </c>
      <c r="Z447" s="80">
        <v>541101</v>
      </c>
      <c r="AA447" s="79" t="s">
        <v>477</v>
      </c>
      <c r="AB447" s="79" t="s">
        <v>582</v>
      </c>
      <c r="AC447" s="77" t="s">
        <v>94</v>
      </c>
      <c r="AD447" s="79" t="s">
        <v>1704</v>
      </c>
    </row>
    <row r="448" spans="1:30" x14ac:dyDescent="0.4">
      <c r="A448" s="10" t="s">
        <v>1403</v>
      </c>
      <c r="B448" s="77" t="s">
        <v>491</v>
      </c>
      <c r="C448" s="77">
        <f>C447+(BudgetsTable[[#This Row],[lead]]&lt;&gt;K447)</f>
        <v>85</v>
      </c>
      <c r="D448" s="77">
        <f>D447*(BudgetsTable[[#This Row],[lead]]=K447)+(BudgetsTable[[#This Row],[prop_id]]&lt;&gt;A447)</f>
        <v>1</v>
      </c>
      <c r="E448" s="78">
        <v>43005.713194444441</v>
      </c>
      <c r="F448" s="79" t="s">
        <v>524</v>
      </c>
      <c r="G448" s="79" t="s">
        <v>477</v>
      </c>
      <c r="H448" s="79" t="s">
        <v>582</v>
      </c>
      <c r="I448" s="77" t="s">
        <v>654</v>
      </c>
      <c r="J448" s="77" t="s">
        <v>13</v>
      </c>
      <c r="K448" s="79" t="s">
        <v>1403</v>
      </c>
      <c r="L448" s="7" t="str">
        <f>IF(BudgetsTable[[#This Row],[pi_last_name]]=" ","",HYPERLINK("https://www.ejacket.nsf.gov/ej/showProposal.do?Continue=Y&amp;ID="&amp;BudgetsTable[[#This Row],[prop_id]],BudgetsTable[[#This Row],[prop_id]]))</f>
        <v/>
      </c>
      <c r="M448" s="15" t="str">
        <f>IF(BudgetsTable[[#This Row],[pi_last_name]]=" ","",HYPERLINK("https://www.ejacket.nsf.gov/ej/processReviewAnalysis.do?dispatch=add&amp;uniqId="&amp;BudgetsTable[[#This Row],[prop_id]]&amp;PO_id,"&gt;ra"))</f>
        <v/>
      </c>
      <c r="N448" s="79" t="s">
        <v>13</v>
      </c>
      <c r="O448" s="7" t="str">
        <f>IF(BudgetsTable[[#This Row],[pi_last_name]]=" ","",HYPERLINK("mailto:"&amp;BudgetsTable[[#This Row],[pi_email]]&amp;"&amp;subject=Your NSF Proposal:  "&amp;BudgetsTable[[#This Row],[prop_id]],BudgetsTable[[#This Row],[pi_email]]))</f>
        <v/>
      </c>
      <c r="P448" s="79" t="s">
        <v>13</v>
      </c>
      <c r="Q448" s="79">
        <v>3</v>
      </c>
      <c r="R448" s="79">
        <v>2.5</v>
      </c>
      <c r="S448" s="80">
        <v>0</v>
      </c>
      <c r="T448" s="80">
        <v>8000</v>
      </c>
      <c r="U448" s="80">
        <v>0</v>
      </c>
      <c r="V448" s="81">
        <v>147005</v>
      </c>
      <c r="W448" s="79">
        <v>0</v>
      </c>
      <c r="X448" s="79">
        <v>1</v>
      </c>
      <c r="Y448" s="11" t="str">
        <f ca="1">IF(ISBLANK(BudgetsTable[[#This Row],[budg_seq_yr]]),"FY"&amp;fiscalyear,"FY"&amp;fiscalyear-1+BudgetsTable[[#This Row],[budg_seq_yr]])</f>
        <v>FY18</v>
      </c>
      <c r="Z448" s="80">
        <v>147005</v>
      </c>
      <c r="AA448" s="79" t="s">
        <v>477</v>
      </c>
      <c r="AB448" s="79" t="s">
        <v>582</v>
      </c>
      <c r="AC448" s="77" t="s">
        <v>94</v>
      </c>
      <c r="AD448" s="79" t="s">
        <v>1704</v>
      </c>
    </row>
    <row r="449" spans="1:30" x14ac:dyDescent="0.4">
      <c r="A449" s="10" t="s">
        <v>1403</v>
      </c>
      <c r="B449" s="77" t="s">
        <v>491</v>
      </c>
      <c r="C449" s="77">
        <f>C448+(BudgetsTable[[#This Row],[lead]]&lt;&gt;K448)</f>
        <v>85</v>
      </c>
      <c r="D449" s="77">
        <f>D448*(BudgetsTable[[#This Row],[lead]]=K448)+(BudgetsTable[[#This Row],[prop_id]]&lt;&gt;A448)</f>
        <v>1</v>
      </c>
      <c r="E449" s="78">
        <v>43005.713194444441</v>
      </c>
      <c r="F449" s="79" t="s">
        <v>524</v>
      </c>
      <c r="G449" s="79" t="s">
        <v>477</v>
      </c>
      <c r="H449" s="79" t="s">
        <v>582</v>
      </c>
      <c r="I449" s="77" t="s">
        <v>654</v>
      </c>
      <c r="J449" s="77" t="s">
        <v>13</v>
      </c>
      <c r="K449" s="79" t="s">
        <v>1403</v>
      </c>
      <c r="L449" s="7" t="str">
        <f>IF(BudgetsTable[[#This Row],[pi_last_name]]=" ","",HYPERLINK("https://www.ejacket.nsf.gov/ej/showProposal.do?Continue=Y&amp;ID="&amp;BudgetsTable[[#This Row],[prop_id]],BudgetsTable[[#This Row],[prop_id]]))</f>
        <v/>
      </c>
      <c r="M449" s="15" t="str">
        <f>IF(BudgetsTable[[#This Row],[pi_last_name]]=" ","",HYPERLINK("https://www.ejacket.nsf.gov/ej/processReviewAnalysis.do?dispatch=add&amp;uniqId="&amp;BudgetsTable[[#This Row],[prop_id]]&amp;PO_id,"&gt;ra"))</f>
        <v/>
      </c>
      <c r="N449" s="79" t="s">
        <v>13</v>
      </c>
      <c r="O449" s="7" t="str">
        <f>IF(BudgetsTable[[#This Row],[pi_last_name]]=" ","",HYPERLINK("mailto:"&amp;BudgetsTable[[#This Row],[pi_email]]&amp;"&amp;subject=Your NSF Proposal:  "&amp;BudgetsTable[[#This Row],[prop_id]],BudgetsTable[[#This Row],[pi_email]]))</f>
        <v/>
      </c>
      <c r="P449" s="79" t="s">
        <v>13</v>
      </c>
      <c r="Q449" s="79">
        <v>2</v>
      </c>
      <c r="R449" s="79">
        <v>1.5</v>
      </c>
      <c r="S449" s="80">
        <v>46000</v>
      </c>
      <c r="T449" s="80">
        <v>8240</v>
      </c>
      <c r="U449" s="80">
        <v>0</v>
      </c>
      <c r="V449" s="81">
        <v>201220</v>
      </c>
      <c r="W449" s="79">
        <v>0</v>
      </c>
      <c r="X449" s="79">
        <v>2</v>
      </c>
      <c r="Y449" s="11" t="str">
        <f ca="1">IF(ISBLANK(BudgetsTable[[#This Row],[budg_seq_yr]]),"FY"&amp;fiscalyear,"FY"&amp;fiscalyear-1+BudgetsTable[[#This Row],[budg_seq_yr]])</f>
        <v>FY19</v>
      </c>
      <c r="Z449" s="80">
        <v>201220</v>
      </c>
      <c r="AA449" s="79" t="s">
        <v>477</v>
      </c>
      <c r="AB449" s="79" t="s">
        <v>582</v>
      </c>
      <c r="AC449" s="77" t="s">
        <v>94</v>
      </c>
      <c r="AD449" s="79" t="s">
        <v>1704</v>
      </c>
    </row>
    <row r="450" spans="1:30" x14ac:dyDescent="0.4">
      <c r="A450" s="10" t="s">
        <v>1403</v>
      </c>
      <c r="B450" s="77" t="s">
        <v>491</v>
      </c>
      <c r="C450" s="77">
        <f>C449+(BudgetsTable[[#This Row],[lead]]&lt;&gt;K449)</f>
        <v>85</v>
      </c>
      <c r="D450" s="77">
        <f>D449*(BudgetsTable[[#This Row],[lead]]=K449)+(BudgetsTable[[#This Row],[prop_id]]&lt;&gt;A449)</f>
        <v>1</v>
      </c>
      <c r="E450" s="78">
        <v>43005.713194444441</v>
      </c>
      <c r="F450" s="79" t="s">
        <v>524</v>
      </c>
      <c r="G450" s="79" t="s">
        <v>477</v>
      </c>
      <c r="H450" s="79" t="s">
        <v>582</v>
      </c>
      <c r="I450" s="77" t="s">
        <v>654</v>
      </c>
      <c r="J450" s="77" t="s">
        <v>13</v>
      </c>
      <c r="K450" s="79" t="s">
        <v>1403</v>
      </c>
      <c r="L450" s="7" t="str">
        <f>IF(BudgetsTable[[#This Row],[pi_last_name]]=" ","",HYPERLINK("https://www.ejacket.nsf.gov/ej/showProposal.do?Continue=Y&amp;ID="&amp;BudgetsTable[[#This Row],[prop_id]],BudgetsTable[[#This Row],[prop_id]]))</f>
        <v/>
      </c>
      <c r="M450" s="15" t="str">
        <f>IF(BudgetsTable[[#This Row],[pi_last_name]]=" ","",HYPERLINK("https://www.ejacket.nsf.gov/ej/processReviewAnalysis.do?dispatch=add&amp;uniqId="&amp;BudgetsTable[[#This Row],[prop_id]]&amp;PO_id,"&gt;ra"))</f>
        <v/>
      </c>
      <c r="N450" s="79" t="s">
        <v>13</v>
      </c>
      <c r="O450" s="7" t="str">
        <f>IF(BudgetsTable[[#This Row],[pi_last_name]]=" ","",HYPERLINK("mailto:"&amp;BudgetsTable[[#This Row],[pi_email]]&amp;"&amp;subject=Your NSF Proposal:  "&amp;BudgetsTable[[#This Row],[prop_id]],BudgetsTable[[#This Row],[pi_email]]))</f>
        <v/>
      </c>
      <c r="P450" s="79" t="s">
        <v>13</v>
      </c>
      <c r="Q450" s="79">
        <v>1</v>
      </c>
      <c r="R450" s="79">
        <v>1</v>
      </c>
      <c r="S450" s="80">
        <v>46000</v>
      </c>
      <c r="T450" s="80">
        <v>8487</v>
      </c>
      <c r="U450" s="80">
        <v>0</v>
      </c>
      <c r="V450" s="81">
        <v>192876</v>
      </c>
      <c r="W450" s="79">
        <v>0</v>
      </c>
      <c r="X450" s="79">
        <v>3</v>
      </c>
      <c r="Y450" s="11" t="str">
        <f ca="1">IF(ISBLANK(BudgetsTable[[#This Row],[budg_seq_yr]]),"FY"&amp;fiscalyear,"FY"&amp;fiscalyear-1+BudgetsTable[[#This Row],[budg_seq_yr]])</f>
        <v>FY20</v>
      </c>
      <c r="Z450" s="80">
        <v>192876</v>
      </c>
      <c r="AA450" s="79" t="s">
        <v>477</v>
      </c>
      <c r="AB450" s="79" t="s">
        <v>582</v>
      </c>
      <c r="AC450" s="77" t="s">
        <v>94</v>
      </c>
      <c r="AD450" s="79" t="s">
        <v>1704</v>
      </c>
    </row>
    <row r="451" spans="1:30" x14ac:dyDescent="0.4">
      <c r="A451" s="10" t="s">
        <v>1826</v>
      </c>
      <c r="B451" s="77" t="s">
        <v>493</v>
      </c>
      <c r="C451" s="77">
        <f>C450+(BudgetsTable[[#This Row],[lead]]&lt;&gt;K450)</f>
        <v>85</v>
      </c>
      <c r="D451" s="77">
        <f>D450*(BudgetsTable[[#This Row],[lead]]=K450)+(BudgetsTable[[#This Row],[prop_id]]&lt;&gt;A450)</f>
        <v>2</v>
      </c>
      <c r="E451" s="78">
        <v>43005.481944444444</v>
      </c>
      <c r="F451" s="79" t="s">
        <v>524</v>
      </c>
      <c r="G451" s="79" t="s">
        <v>477</v>
      </c>
      <c r="H451" s="79" t="s">
        <v>582</v>
      </c>
      <c r="I451" s="77" t="s">
        <v>654</v>
      </c>
      <c r="J451" s="77" t="s">
        <v>1829</v>
      </c>
      <c r="K451" s="79" t="s">
        <v>1403</v>
      </c>
      <c r="L451" s="7" t="str">
        <f>IF(BudgetsTable[[#This Row],[pi_last_name]]=" ","",HYPERLINK("https://www.ejacket.nsf.gov/ej/showProposal.do?Continue=Y&amp;ID="&amp;BudgetsTable[[#This Row],[prop_id]],BudgetsTable[[#This Row],[prop_id]]))</f>
        <v>1763562</v>
      </c>
      <c r="M451" s="15" t="e">
        <f>IF(BudgetsTable[[#This Row],[pi_last_name]]=" ","",HYPERLINK("https://www.ejacket.nsf.gov/ej/processReviewAnalysis.do?dispatch=add&amp;uniqId="&amp;BudgetsTable[[#This Row],[prop_id]]&amp;PO_id,"&gt;ra"))</f>
        <v>#REF!</v>
      </c>
      <c r="N451" s="79" t="s">
        <v>1827</v>
      </c>
      <c r="O451" s="7" t="str">
        <f>IF(BudgetsTable[[#This Row],[pi_last_name]]=" ","",HYPERLINK("mailto:"&amp;BudgetsTable[[#This Row],[pi_email]]&amp;"&amp;subject=Your NSF Proposal:  "&amp;BudgetsTable[[#This Row],[prop_id]],BudgetsTable[[#This Row],[pi_email]]))</f>
        <v>rsalakhu@cs.cmu.edu</v>
      </c>
      <c r="P451" s="79" t="s">
        <v>497</v>
      </c>
      <c r="Q451" s="79"/>
      <c r="R451" s="79"/>
      <c r="S451" s="80"/>
      <c r="T451" s="80"/>
      <c r="U451" s="80"/>
      <c r="V451" s="81"/>
      <c r="W451" s="79">
        <v>0</v>
      </c>
      <c r="X451" s="79"/>
      <c r="Y451" s="11" t="str">
        <f ca="1">IF(ISBLANK(BudgetsTable[[#This Row],[budg_seq_yr]]),"FY"&amp;fiscalyear,"FY"&amp;fiscalyear-1+BudgetsTable[[#This Row],[budg_seq_yr]])</f>
        <v>FY18</v>
      </c>
      <c r="Z451" s="80">
        <v>329074</v>
      </c>
      <c r="AA451" s="79" t="s">
        <v>477</v>
      </c>
      <c r="AB451" s="79" t="s">
        <v>582</v>
      </c>
      <c r="AC451" s="77" t="s">
        <v>94</v>
      </c>
      <c r="AD451" s="79" t="s">
        <v>1704</v>
      </c>
    </row>
    <row r="452" spans="1:30" x14ac:dyDescent="0.4">
      <c r="A452" s="10" t="s">
        <v>1826</v>
      </c>
      <c r="B452" s="77" t="s">
        <v>493</v>
      </c>
      <c r="C452" s="77">
        <f>C451+(BudgetsTable[[#This Row],[lead]]&lt;&gt;K451)</f>
        <v>85</v>
      </c>
      <c r="D452" s="77">
        <f>D451*(BudgetsTable[[#This Row],[lead]]=K451)+(BudgetsTable[[#This Row],[prop_id]]&lt;&gt;A451)</f>
        <v>2</v>
      </c>
      <c r="E452" s="78">
        <v>43005.481944444444</v>
      </c>
      <c r="F452" s="79" t="s">
        <v>524</v>
      </c>
      <c r="G452" s="79" t="s">
        <v>477</v>
      </c>
      <c r="H452" s="79" t="s">
        <v>582</v>
      </c>
      <c r="I452" s="77" t="s">
        <v>654</v>
      </c>
      <c r="J452" s="77" t="s">
        <v>13</v>
      </c>
      <c r="K452" s="79" t="s">
        <v>1403</v>
      </c>
      <c r="L452" s="7" t="str">
        <f>IF(BudgetsTable[[#This Row],[pi_last_name]]=" ","",HYPERLINK("https://www.ejacket.nsf.gov/ej/showProposal.do?Continue=Y&amp;ID="&amp;BudgetsTable[[#This Row],[prop_id]],BudgetsTable[[#This Row],[prop_id]]))</f>
        <v/>
      </c>
      <c r="M452" s="15" t="str">
        <f>IF(BudgetsTable[[#This Row],[pi_last_name]]=" ","",HYPERLINK("https://www.ejacket.nsf.gov/ej/processReviewAnalysis.do?dispatch=add&amp;uniqId="&amp;BudgetsTable[[#This Row],[prop_id]]&amp;PO_id,"&gt;ra"))</f>
        <v/>
      </c>
      <c r="N452" s="79" t="s">
        <v>13</v>
      </c>
      <c r="O452" s="7" t="str">
        <f>IF(BudgetsTable[[#This Row],[pi_last_name]]=" ","",HYPERLINK("mailto:"&amp;BudgetsTable[[#This Row],[pi_email]]&amp;"&amp;subject=Your NSF Proposal:  "&amp;BudgetsTable[[#This Row],[prop_id]],BudgetsTable[[#This Row],[pi_email]]))</f>
        <v/>
      </c>
      <c r="P452" s="79" t="s">
        <v>13</v>
      </c>
      <c r="Q452" s="79">
        <v>1</v>
      </c>
      <c r="R452" s="79">
        <v>0.7</v>
      </c>
      <c r="S452" s="80">
        <v>0</v>
      </c>
      <c r="T452" s="80">
        <v>5288</v>
      </c>
      <c r="U452" s="80">
        <v>0</v>
      </c>
      <c r="V452" s="81">
        <v>107302</v>
      </c>
      <c r="W452" s="79">
        <v>0</v>
      </c>
      <c r="X452" s="79">
        <v>1</v>
      </c>
      <c r="Y452" s="11" t="str">
        <f ca="1">IF(ISBLANK(BudgetsTable[[#This Row],[budg_seq_yr]]),"FY"&amp;fiscalyear,"FY"&amp;fiscalyear-1+BudgetsTable[[#This Row],[budg_seq_yr]])</f>
        <v>FY18</v>
      </c>
      <c r="Z452" s="80">
        <v>107302</v>
      </c>
      <c r="AA452" s="79" t="s">
        <v>477</v>
      </c>
      <c r="AB452" s="79" t="s">
        <v>582</v>
      </c>
      <c r="AC452" s="77" t="s">
        <v>94</v>
      </c>
      <c r="AD452" s="79" t="s">
        <v>1704</v>
      </c>
    </row>
    <row r="453" spans="1:30" x14ac:dyDescent="0.4">
      <c r="A453" s="10" t="s">
        <v>1826</v>
      </c>
      <c r="B453" s="77" t="s">
        <v>493</v>
      </c>
      <c r="C453" s="77">
        <f>C452+(BudgetsTable[[#This Row],[lead]]&lt;&gt;K452)</f>
        <v>85</v>
      </c>
      <c r="D453" s="77">
        <f>D452*(BudgetsTable[[#This Row],[lead]]=K452)+(BudgetsTable[[#This Row],[prop_id]]&lt;&gt;A452)</f>
        <v>2</v>
      </c>
      <c r="E453" s="78">
        <v>43005.481944444444</v>
      </c>
      <c r="F453" s="79" t="s">
        <v>524</v>
      </c>
      <c r="G453" s="79" t="s">
        <v>477</v>
      </c>
      <c r="H453" s="79" t="s">
        <v>582</v>
      </c>
      <c r="I453" s="77" t="s">
        <v>654</v>
      </c>
      <c r="J453" s="77" t="s">
        <v>13</v>
      </c>
      <c r="K453" s="79" t="s">
        <v>1403</v>
      </c>
      <c r="L453" s="7" t="str">
        <f>IF(BudgetsTable[[#This Row],[pi_last_name]]=" ","",HYPERLINK("https://www.ejacket.nsf.gov/ej/showProposal.do?Continue=Y&amp;ID="&amp;BudgetsTable[[#This Row],[prop_id]],BudgetsTable[[#This Row],[prop_id]]))</f>
        <v/>
      </c>
      <c r="M453" s="15" t="str">
        <f>IF(BudgetsTable[[#This Row],[pi_last_name]]=" ","",HYPERLINK("https://www.ejacket.nsf.gov/ej/processReviewAnalysis.do?dispatch=add&amp;uniqId="&amp;BudgetsTable[[#This Row],[prop_id]]&amp;PO_id,"&gt;ra"))</f>
        <v/>
      </c>
      <c r="N453" s="79" t="s">
        <v>13</v>
      </c>
      <c r="O453" s="7" t="str">
        <f>IF(BudgetsTable[[#This Row],[pi_last_name]]=" ","",HYPERLINK("mailto:"&amp;BudgetsTable[[#This Row],[pi_email]]&amp;"&amp;subject=Your NSF Proposal:  "&amp;BudgetsTable[[#This Row],[prop_id]],BudgetsTable[[#This Row],[pi_email]]))</f>
        <v/>
      </c>
      <c r="P453" s="79" t="s">
        <v>13</v>
      </c>
      <c r="Q453" s="79">
        <v>1</v>
      </c>
      <c r="R453" s="79">
        <v>0.7</v>
      </c>
      <c r="S453" s="80">
        <v>0</v>
      </c>
      <c r="T453" s="80">
        <v>5447</v>
      </c>
      <c r="U453" s="80">
        <v>0</v>
      </c>
      <c r="V453" s="81">
        <v>109660</v>
      </c>
      <c r="W453" s="79">
        <v>0</v>
      </c>
      <c r="X453" s="79">
        <v>2</v>
      </c>
      <c r="Y453" s="11" t="str">
        <f ca="1">IF(ISBLANK(BudgetsTable[[#This Row],[budg_seq_yr]]),"FY"&amp;fiscalyear,"FY"&amp;fiscalyear-1+BudgetsTable[[#This Row],[budg_seq_yr]])</f>
        <v>FY19</v>
      </c>
      <c r="Z453" s="80">
        <v>109660</v>
      </c>
      <c r="AA453" s="79" t="s">
        <v>477</v>
      </c>
      <c r="AB453" s="79" t="s">
        <v>582</v>
      </c>
      <c r="AC453" s="77" t="s">
        <v>94</v>
      </c>
      <c r="AD453" s="79" t="s">
        <v>1704</v>
      </c>
    </row>
    <row r="454" spans="1:30" x14ac:dyDescent="0.4">
      <c r="A454" s="10" t="s">
        <v>1826</v>
      </c>
      <c r="B454" s="77" t="s">
        <v>493</v>
      </c>
      <c r="C454" s="77">
        <f>C453+(BudgetsTable[[#This Row],[lead]]&lt;&gt;K453)</f>
        <v>85</v>
      </c>
      <c r="D454" s="77">
        <f>D453*(BudgetsTable[[#This Row],[lead]]=K453)+(BudgetsTable[[#This Row],[prop_id]]&lt;&gt;A453)</f>
        <v>2</v>
      </c>
      <c r="E454" s="78">
        <v>43005.481944444444</v>
      </c>
      <c r="F454" s="79" t="s">
        <v>524</v>
      </c>
      <c r="G454" s="79" t="s">
        <v>477</v>
      </c>
      <c r="H454" s="79" t="s">
        <v>582</v>
      </c>
      <c r="I454" s="77" t="s">
        <v>654</v>
      </c>
      <c r="J454" s="77" t="s">
        <v>13</v>
      </c>
      <c r="K454" s="79" t="s">
        <v>1403</v>
      </c>
      <c r="L454" s="7" t="str">
        <f>IF(BudgetsTable[[#This Row],[pi_last_name]]=" ","",HYPERLINK("https://www.ejacket.nsf.gov/ej/showProposal.do?Continue=Y&amp;ID="&amp;BudgetsTable[[#This Row],[prop_id]],BudgetsTable[[#This Row],[prop_id]]))</f>
        <v/>
      </c>
      <c r="M454" s="15" t="str">
        <f>IF(BudgetsTable[[#This Row],[pi_last_name]]=" ","",HYPERLINK("https://www.ejacket.nsf.gov/ej/processReviewAnalysis.do?dispatch=add&amp;uniqId="&amp;BudgetsTable[[#This Row],[prop_id]]&amp;PO_id,"&gt;ra"))</f>
        <v/>
      </c>
      <c r="N454" s="79" t="s">
        <v>13</v>
      </c>
      <c r="O454" s="7" t="str">
        <f>IF(BudgetsTable[[#This Row],[pi_last_name]]=" ","",HYPERLINK("mailto:"&amp;BudgetsTable[[#This Row],[pi_email]]&amp;"&amp;subject=Your NSF Proposal:  "&amp;BudgetsTable[[#This Row],[prop_id]],BudgetsTable[[#This Row],[pi_email]]))</f>
        <v/>
      </c>
      <c r="P454" s="79" t="s">
        <v>13</v>
      </c>
      <c r="Q454" s="79">
        <v>1</v>
      </c>
      <c r="R454" s="79">
        <v>0.7</v>
      </c>
      <c r="S454" s="80">
        <v>0</v>
      </c>
      <c r="T454" s="80">
        <v>5610</v>
      </c>
      <c r="U454" s="80">
        <v>0</v>
      </c>
      <c r="V454" s="81">
        <v>112112</v>
      </c>
      <c r="W454" s="79">
        <v>0</v>
      </c>
      <c r="X454" s="79">
        <v>3</v>
      </c>
      <c r="Y454" s="11" t="str">
        <f ca="1">IF(ISBLANK(BudgetsTable[[#This Row],[budg_seq_yr]]),"FY"&amp;fiscalyear,"FY"&amp;fiscalyear-1+BudgetsTable[[#This Row],[budg_seq_yr]])</f>
        <v>FY20</v>
      </c>
      <c r="Z454" s="80">
        <v>112112</v>
      </c>
      <c r="AA454" s="79" t="s">
        <v>477</v>
      </c>
      <c r="AB454" s="79" t="s">
        <v>582</v>
      </c>
      <c r="AC454" s="77" t="s">
        <v>94</v>
      </c>
      <c r="AD454" s="79" t="s">
        <v>1704</v>
      </c>
    </row>
    <row r="455" spans="1:30" x14ac:dyDescent="0.4">
      <c r="A455" s="10" t="s">
        <v>1830</v>
      </c>
      <c r="B455" s="77" t="s">
        <v>493</v>
      </c>
      <c r="C455" s="77">
        <f>C454+(BudgetsTable[[#This Row],[lead]]&lt;&gt;K454)</f>
        <v>85</v>
      </c>
      <c r="D455" s="77">
        <f>D454*(BudgetsTable[[#This Row],[lead]]=K454)+(BudgetsTable[[#This Row],[prop_id]]&lt;&gt;A454)</f>
        <v>3</v>
      </c>
      <c r="E455" s="78">
        <v>43005.713888888888</v>
      </c>
      <c r="F455" s="79" t="s">
        <v>524</v>
      </c>
      <c r="G455" s="79" t="s">
        <v>477</v>
      </c>
      <c r="H455" s="79" t="s">
        <v>582</v>
      </c>
      <c r="I455" s="77" t="s">
        <v>654</v>
      </c>
      <c r="J455" s="77" t="s">
        <v>1557</v>
      </c>
      <c r="K455" s="79" t="s">
        <v>1403</v>
      </c>
      <c r="L455" s="7" t="str">
        <f>IF(BudgetsTable[[#This Row],[pi_last_name]]=" ","",HYPERLINK("https://www.ejacket.nsf.gov/ej/showProposal.do?Continue=Y&amp;ID="&amp;BudgetsTable[[#This Row],[prop_id]],BudgetsTable[[#This Row],[prop_id]]))</f>
        <v>1764033</v>
      </c>
      <c r="M455" s="15" t="e">
        <f>IF(BudgetsTable[[#This Row],[pi_last_name]]=" ","",HYPERLINK("https://www.ejacket.nsf.gov/ej/processReviewAnalysis.do?dispatch=add&amp;uniqId="&amp;BudgetsTable[[#This Row],[prop_id]]&amp;PO_id,"&gt;ra"))</f>
        <v>#REF!</v>
      </c>
      <c r="N455" s="79" t="s">
        <v>937</v>
      </c>
      <c r="O455" s="7" t="str">
        <f>IF(BudgetsTable[[#This Row],[pi_last_name]]=" ","",HYPERLINK("mailto:"&amp;BudgetsTable[[#This Row],[pi_email]]&amp;"&amp;subject=Your NSF Proposal:  "&amp;BudgetsTable[[#This Row],[prop_id]],BudgetsTable[[#This Row],[pi_email]]))</f>
        <v xml:space="preserve"> hardt@eecs.berkeley.edu</v>
      </c>
      <c r="P455" s="79" t="s">
        <v>501</v>
      </c>
      <c r="Q455" s="79"/>
      <c r="R455" s="79"/>
      <c r="S455" s="80"/>
      <c r="T455" s="80"/>
      <c r="U455" s="80"/>
      <c r="V455" s="81"/>
      <c r="W455" s="79">
        <v>0</v>
      </c>
      <c r="X455" s="79"/>
      <c r="Y455" s="11" t="str">
        <f ca="1">IF(ISBLANK(BudgetsTable[[#This Row],[budg_seq_yr]]),"FY"&amp;fiscalyear,"FY"&amp;fiscalyear-1+BudgetsTable[[#This Row],[budg_seq_yr]])</f>
        <v>FY18</v>
      </c>
      <c r="Z455" s="80">
        <v>328204</v>
      </c>
      <c r="AA455" s="79" t="s">
        <v>477</v>
      </c>
      <c r="AB455" s="79" t="s">
        <v>582</v>
      </c>
      <c r="AC455" s="77" t="s">
        <v>94</v>
      </c>
      <c r="AD455" s="79" t="s">
        <v>1704</v>
      </c>
    </row>
    <row r="456" spans="1:30" x14ac:dyDescent="0.4">
      <c r="A456" s="10" t="s">
        <v>1830</v>
      </c>
      <c r="B456" s="77" t="s">
        <v>493</v>
      </c>
      <c r="C456" s="77">
        <f>C455+(BudgetsTable[[#This Row],[lead]]&lt;&gt;K455)</f>
        <v>85</v>
      </c>
      <c r="D456" s="77">
        <f>D455*(BudgetsTable[[#This Row],[lead]]=K455)+(BudgetsTable[[#This Row],[prop_id]]&lt;&gt;A455)</f>
        <v>3</v>
      </c>
      <c r="E456" s="78">
        <v>43005.713888888888</v>
      </c>
      <c r="F456" s="79" t="s">
        <v>524</v>
      </c>
      <c r="G456" s="79" t="s">
        <v>477</v>
      </c>
      <c r="H456" s="79" t="s">
        <v>582</v>
      </c>
      <c r="I456" s="77" t="s">
        <v>654</v>
      </c>
      <c r="J456" s="77" t="s">
        <v>13</v>
      </c>
      <c r="K456" s="79" t="s">
        <v>1403</v>
      </c>
      <c r="L456" s="7" t="str">
        <f>IF(BudgetsTable[[#This Row],[pi_last_name]]=" ","",HYPERLINK("https://www.ejacket.nsf.gov/ej/showProposal.do?Continue=Y&amp;ID="&amp;BudgetsTable[[#This Row],[prop_id]],BudgetsTable[[#This Row],[prop_id]]))</f>
        <v/>
      </c>
      <c r="M456" s="15" t="str">
        <f>IF(BudgetsTable[[#This Row],[pi_last_name]]=" ","",HYPERLINK("https://www.ejacket.nsf.gov/ej/processReviewAnalysis.do?dispatch=add&amp;uniqId="&amp;BudgetsTable[[#This Row],[prop_id]]&amp;PO_id,"&gt;ra"))</f>
        <v/>
      </c>
      <c r="N456" s="79" t="s">
        <v>13</v>
      </c>
      <c r="O456" s="7" t="str">
        <f>IF(BudgetsTable[[#This Row],[pi_last_name]]=" ","",HYPERLINK("mailto:"&amp;BudgetsTable[[#This Row],[pi_email]]&amp;"&amp;subject=Your NSF Proposal:  "&amp;BudgetsTable[[#This Row],[prop_id]],BudgetsTable[[#This Row],[pi_email]]))</f>
        <v/>
      </c>
      <c r="P456" s="79" t="s">
        <v>13</v>
      </c>
      <c r="Q456" s="79">
        <v>1</v>
      </c>
      <c r="R456" s="79">
        <v>0.5</v>
      </c>
      <c r="S456" s="80">
        <v>0</v>
      </c>
      <c r="T456" s="80">
        <v>0</v>
      </c>
      <c r="U456" s="80">
        <v>0</v>
      </c>
      <c r="V456" s="81">
        <v>105807</v>
      </c>
      <c r="W456" s="79">
        <v>0</v>
      </c>
      <c r="X456" s="79">
        <v>1</v>
      </c>
      <c r="Y456" s="11" t="str">
        <f ca="1">IF(ISBLANK(BudgetsTable[[#This Row],[budg_seq_yr]]),"FY"&amp;fiscalyear,"FY"&amp;fiscalyear-1+BudgetsTable[[#This Row],[budg_seq_yr]])</f>
        <v>FY18</v>
      </c>
      <c r="Z456" s="80">
        <v>105807</v>
      </c>
      <c r="AA456" s="79" t="s">
        <v>477</v>
      </c>
      <c r="AB456" s="79" t="s">
        <v>582</v>
      </c>
      <c r="AC456" s="77" t="s">
        <v>94</v>
      </c>
      <c r="AD456" s="79" t="s">
        <v>1704</v>
      </c>
    </row>
    <row r="457" spans="1:30" x14ac:dyDescent="0.4">
      <c r="A457" s="10" t="s">
        <v>1830</v>
      </c>
      <c r="B457" s="77" t="s">
        <v>493</v>
      </c>
      <c r="C457" s="77">
        <f>C456+(BudgetsTable[[#This Row],[lead]]&lt;&gt;K456)</f>
        <v>85</v>
      </c>
      <c r="D457" s="77">
        <f>D456*(BudgetsTable[[#This Row],[lead]]=K456)+(BudgetsTable[[#This Row],[prop_id]]&lt;&gt;A456)</f>
        <v>3</v>
      </c>
      <c r="E457" s="78">
        <v>43005.713888888888</v>
      </c>
      <c r="F457" s="79" t="s">
        <v>524</v>
      </c>
      <c r="G457" s="79" t="s">
        <v>477</v>
      </c>
      <c r="H457" s="79" t="s">
        <v>582</v>
      </c>
      <c r="I457" s="77" t="s">
        <v>654</v>
      </c>
      <c r="J457" s="77" t="s">
        <v>13</v>
      </c>
      <c r="K457" s="79" t="s">
        <v>1403</v>
      </c>
      <c r="L457" s="7" t="str">
        <f>IF(BudgetsTable[[#This Row],[pi_last_name]]=" ","",HYPERLINK("https://www.ejacket.nsf.gov/ej/showProposal.do?Continue=Y&amp;ID="&amp;BudgetsTable[[#This Row],[prop_id]],BudgetsTable[[#This Row],[prop_id]]))</f>
        <v/>
      </c>
      <c r="M457" s="15" t="str">
        <f>IF(BudgetsTable[[#This Row],[pi_last_name]]=" ","",HYPERLINK("https://www.ejacket.nsf.gov/ej/processReviewAnalysis.do?dispatch=add&amp;uniqId="&amp;BudgetsTable[[#This Row],[prop_id]]&amp;PO_id,"&gt;ra"))</f>
        <v/>
      </c>
      <c r="N457" s="79" t="s">
        <v>13</v>
      </c>
      <c r="O457" s="7" t="str">
        <f>IF(BudgetsTable[[#This Row],[pi_last_name]]=" ","",HYPERLINK("mailto:"&amp;BudgetsTable[[#This Row],[pi_email]]&amp;"&amp;subject=Your NSF Proposal:  "&amp;BudgetsTable[[#This Row],[prop_id]],BudgetsTable[[#This Row],[pi_email]]))</f>
        <v/>
      </c>
      <c r="P457" s="79" t="s">
        <v>13</v>
      </c>
      <c r="Q457" s="79">
        <v>1</v>
      </c>
      <c r="R457" s="79">
        <v>0.5</v>
      </c>
      <c r="S457" s="80">
        <v>0</v>
      </c>
      <c r="T457" s="80">
        <v>0</v>
      </c>
      <c r="U457" s="80">
        <v>0</v>
      </c>
      <c r="V457" s="81">
        <v>110970</v>
      </c>
      <c r="W457" s="79">
        <v>0</v>
      </c>
      <c r="X457" s="79">
        <v>2</v>
      </c>
      <c r="Y457" s="11" t="str">
        <f ca="1">IF(ISBLANK(BudgetsTable[[#This Row],[budg_seq_yr]]),"FY"&amp;fiscalyear,"FY"&amp;fiscalyear-1+BudgetsTable[[#This Row],[budg_seq_yr]])</f>
        <v>FY19</v>
      </c>
      <c r="Z457" s="80">
        <v>110970</v>
      </c>
      <c r="AA457" s="79" t="s">
        <v>477</v>
      </c>
      <c r="AB457" s="79" t="s">
        <v>582</v>
      </c>
      <c r="AC457" s="77" t="s">
        <v>94</v>
      </c>
      <c r="AD457" s="79" t="s">
        <v>1704</v>
      </c>
    </row>
    <row r="458" spans="1:30" x14ac:dyDescent="0.4">
      <c r="A458" s="10" t="s">
        <v>1830</v>
      </c>
      <c r="B458" s="77" t="s">
        <v>493</v>
      </c>
      <c r="C458" s="77">
        <f>C457+(BudgetsTable[[#This Row],[lead]]&lt;&gt;K457)</f>
        <v>85</v>
      </c>
      <c r="D458" s="77">
        <f>D457*(BudgetsTable[[#This Row],[lead]]=K457)+(BudgetsTable[[#This Row],[prop_id]]&lt;&gt;A457)</f>
        <v>3</v>
      </c>
      <c r="E458" s="78">
        <v>43005.713888888888</v>
      </c>
      <c r="F458" s="79" t="s">
        <v>524</v>
      </c>
      <c r="G458" s="79" t="s">
        <v>477</v>
      </c>
      <c r="H458" s="79" t="s">
        <v>582</v>
      </c>
      <c r="I458" s="77" t="s">
        <v>654</v>
      </c>
      <c r="J458" s="77" t="s">
        <v>13</v>
      </c>
      <c r="K458" s="79" t="s">
        <v>1403</v>
      </c>
      <c r="L458" s="7" t="str">
        <f>IF(BudgetsTable[[#This Row],[pi_last_name]]=" ","",HYPERLINK("https://www.ejacket.nsf.gov/ej/showProposal.do?Continue=Y&amp;ID="&amp;BudgetsTable[[#This Row],[prop_id]],BudgetsTable[[#This Row],[prop_id]]))</f>
        <v/>
      </c>
      <c r="M458" s="15" t="str">
        <f>IF(BudgetsTable[[#This Row],[pi_last_name]]=" ","",HYPERLINK("https://www.ejacket.nsf.gov/ej/processReviewAnalysis.do?dispatch=add&amp;uniqId="&amp;BudgetsTable[[#This Row],[prop_id]]&amp;PO_id,"&gt;ra"))</f>
        <v/>
      </c>
      <c r="N458" s="79" t="s">
        <v>13</v>
      </c>
      <c r="O458" s="7" t="str">
        <f>IF(BudgetsTable[[#This Row],[pi_last_name]]=" ","",HYPERLINK("mailto:"&amp;BudgetsTable[[#This Row],[pi_email]]&amp;"&amp;subject=Your NSF Proposal:  "&amp;BudgetsTable[[#This Row],[prop_id]],BudgetsTable[[#This Row],[pi_email]]))</f>
        <v/>
      </c>
      <c r="P458" s="79" t="s">
        <v>13</v>
      </c>
      <c r="Q458" s="79">
        <v>1</v>
      </c>
      <c r="R458" s="79">
        <v>0.5</v>
      </c>
      <c r="S458" s="80">
        <v>0</v>
      </c>
      <c r="T458" s="80">
        <v>0</v>
      </c>
      <c r="U458" s="80">
        <v>0</v>
      </c>
      <c r="V458" s="81">
        <v>111427</v>
      </c>
      <c r="W458" s="79">
        <v>0</v>
      </c>
      <c r="X458" s="79">
        <v>3</v>
      </c>
      <c r="Y458" s="11" t="str">
        <f ca="1">IF(ISBLANK(BudgetsTable[[#This Row],[budg_seq_yr]]),"FY"&amp;fiscalyear,"FY"&amp;fiscalyear-1+BudgetsTable[[#This Row],[budg_seq_yr]])</f>
        <v>FY20</v>
      </c>
      <c r="Z458" s="80">
        <v>111427</v>
      </c>
      <c r="AA458" s="79" t="s">
        <v>477</v>
      </c>
      <c r="AB458" s="79" t="s">
        <v>582</v>
      </c>
      <c r="AC458" s="77" t="s">
        <v>94</v>
      </c>
      <c r="AD458" s="79" t="s">
        <v>1704</v>
      </c>
    </row>
    <row r="459" spans="1:30" x14ac:dyDescent="0.4">
      <c r="A459" s="10" t="s">
        <v>1411</v>
      </c>
      <c r="B459" s="77" t="s">
        <v>95</v>
      </c>
      <c r="C459" s="77">
        <f>C458+(BudgetsTable[[#This Row],[lead]]&lt;&gt;K458)</f>
        <v>86</v>
      </c>
      <c r="D459" s="77">
        <f>D458*(BudgetsTable[[#This Row],[lead]]=K458)+(BudgetsTable[[#This Row],[prop_id]]&lt;&gt;A458)</f>
        <v>1</v>
      </c>
      <c r="E459" s="78">
        <v>43005.740277777775</v>
      </c>
      <c r="F459" s="79" t="s">
        <v>1831</v>
      </c>
      <c r="G459" s="79" t="s">
        <v>1622</v>
      </c>
      <c r="H459" s="79" t="s">
        <v>580</v>
      </c>
      <c r="I459" s="77" t="s">
        <v>1166</v>
      </c>
      <c r="J459" s="77" t="s">
        <v>1837</v>
      </c>
      <c r="K459" s="79" t="s">
        <v>1411</v>
      </c>
      <c r="L459" s="7" t="str">
        <f>IF(BudgetsTable[[#This Row],[pi_last_name]]=" ","",HYPERLINK("https://www.ejacket.nsf.gov/ej/showProposal.do?Continue=Y&amp;ID="&amp;BudgetsTable[[#This Row],[prop_id]],BudgetsTable[[#This Row],[prop_id]]))</f>
        <v>1764056</v>
      </c>
      <c r="M459" s="15" t="e">
        <f>IF(BudgetsTable[[#This Row],[pi_last_name]]=" ","",HYPERLINK("https://www.ejacket.nsf.gov/ej/processReviewAnalysis.do?dispatch=add&amp;uniqId="&amp;BudgetsTable[[#This Row],[prop_id]]&amp;PO_id,"&gt;ra"))</f>
        <v>#REF!</v>
      </c>
      <c r="N459" s="79" t="s">
        <v>1412</v>
      </c>
      <c r="O459" s="7" t="str">
        <f>IF(BudgetsTable[[#This Row],[pi_last_name]]=" ","",HYPERLINK("mailto:"&amp;BudgetsTable[[#This Row],[pi_email]]&amp;"&amp;subject=Your NSF Proposal:  "&amp;BudgetsTable[[#This Row],[prop_id]],BudgetsTable[[#This Row],[pi_email]]))</f>
        <v>mmahoney@icsi.berkeley.edu</v>
      </c>
      <c r="P459" s="79" t="s">
        <v>1834</v>
      </c>
      <c r="Q459" s="79"/>
      <c r="R459" s="79"/>
      <c r="S459" s="80"/>
      <c r="T459" s="80"/>
      <c r="U459" s="80"/>
      <c r="V459" s="81"/>
      <c r="W459" s="79">
        <v>0</v>
      </c>
      <c r="X459" s="79"/>
      <c r="Y459" s="11" t="str">
        <f ca="1">IF(ISBLANK(BudgetsTable[[#This Row],[budg_seq_yr]]),"FY"&amp;fiscalyear,"FY"&amp;fiscalyear-1+BudgetsTable[[#This Row],[budg_seq_yr]])</f>
        <v>FY18</v>
      </c>
      <c r="Z459" s="80">
        <v>1200000</v>
      </c>
      <c r="AA459" s="79" t="s">
        <v>1622</v>
      </c>
      <c r="AB459" s="79" t="s">
        <v>580</v>
      </c>
      <c r="AC459" s="77" t="s">
        <v>94</v>
      </c>
      <c r="AD459" s="79" t="s">
        <v>1833</v>
      </c>
    </row>
    <row r="460" spans="1:30" x14ac:dyDescent="0.4">
      <c r="A460" s="10" t="s">
        <v>1411</v>
      </c>
      <c r="B460" s="77" t="s">
        <v>95</v>
      </c>
      <c r="C460" s="77">
        <f>C459+(BudgetsTable[[#This Row],[lead]]&lt;&gt;K459)</f>
        <v>86</v>
      </c>
      <c r="D460" s="77">
        <f>D459*(BudgetsTable[[#This Row],[lead]]=K459)+(BudgetsTable[[#This Row],[prop_id]]&lt;&gt;A459)</f>
        <v>1</v>
      </c>
      <c r="E460" s="78">
        <v>43005.740277777775</v>
      </c>
      <c r="F460" s="79" t="s">
        <v>1831</v>
      </c>
      <c r="G460" s="79" t="s">
        <v>1622</v>
      </c>
      <c r="H460" s="79" t="s">
        <v>580</v>
      </c>
      <c r="I460" s="77" t="s">
        <v>1166</v>
      </c>
      <c r="J460" s="77" t="s">
        <v>13</v>
      </c>
      <c r="K460" s="79" t="s">
        <v>1411</v>
      </c>
      <c r="L460" s="7" t="str">
        <f>IF(BudgetsTable[[#This Row],[pi_last_name]]=" ","",HYPERLINK("https://www.ejacket.nsf.gov/ej/showProposal.do?Continue=Y&amp;ID="&amp;BudgetsTable[[#This Row],[prop_id]],BudgetsTable[[#This Row],[prop_id]]))</f>
        <v/>
      </c>
      <c r="M460" s="15" t="str">
        <f>IF(BudgetsTable[[#This Row],[pi_last_name]]=" ","",HYPERLINK("https://www.ejacket.nsf.gov/ej/processReviewAnalysis.do?dispatch=add&amp;uniqId="&amp;BudgetsTable[[#This Row],[prop_id]]&amp;PO_id,"&gt;ra"))</f>
        <v/>
      </c>
      <c r="N460" s="79" t="s">
        <v>13</v>
      </c>
      <c r="O460" s="7" t="str">
        <f>IF(BudgetsTable[[#This Row],[pi_last_name]]=" ","",HYPERLINK("mailto:"&amp;BudgetsTable[[#This Row],[pi_email]]&amp;"&amp;subject=Your NSF Proposal:  "&amp;BudgetsTable[[#This Row],[prop_id]],BudgetsTable[[#This Row],[pi_email]]))</f>
        <v/>
      </c>
      <c r="P460" s="79" t="s">
        <v>13</v>
      </c>
      <c r="Q460" s="79">
        <v>1</v>
      </c>
      <c r="R460" s="79">
        <v>0</v>
      </c>
      <c r="S460" s="80">
        <v>0</v>
      </c>
      <c r="T460" s="80">
        <v>12000</v>
      </c>
      <c r="U460" s="80">
        <v>0</v>
      </c>
      <c r="V460" s="81">
        <v>294721</v>
      </c>
      <c r="W460" s="79">
        <v>0</v>
      </c>
      <c r="X460" s="79">
        <v>1</v>
      </c>
      <c r="Y460" s="11" t="str">
        <f ca="1">IF(ISBLANK(BudgetsTable[[#This Row],[budg_seq_yr]]),"FY"&amp;fiscalyear,"FY"&amp;fiscalyear-1+BudgetsTable[[#This Row],[budg_seq_yr]])</f>
        <v>FY18</v>
      </c>
      <c r="Z460" s="80">
        <v>294721</v>
      </c>
      <c r="AA460" s="79" t="s">
        <v>1622</v>
      </c>
      <c r="AB460" s="79" t="s">
        <v>580</v>
      </c>
      <c r="AC460" s="77" t="s">
        <v>94</v>
      </c>
      <c r="AD460" s="79" t="s">
        <v>1833</v>
      </c>
    </row>
    <row r="461" spans="1:30" x14ac:dyDescent="0.4">
      <c r="A461" s="10" t="s">
        <v>1411</v>
      </c>
      <c r="B461" s="77" t="s">
        <v>95</v>
      </c>
      <c r="C461" s="77">
        <f>C460+(BudgetsTable[[#This Row],[lead]]&lt;&gt;K460)</f>
        <v>86</v>
      </c>
      <c r="D461" s="77">
        <f>D460*(BudgetsTable[[#This Row],[lead]]=K460)+(BudgetsTable[[#This Row],[prop_id]]&lt;&gt;A460)</f>
        <v>1</v>
      </c>
      <c r="E461" s="78">
        <v>43005.740277777775</v>
      </c>
      <c r="F461" s="79" t="s">
        <v>1831</v>
      </c>
      <c r="G461" s="79" t="s">
        <v>1622</v>
      </c>
      <c r="H461" s="79" t="s">
        <v>580</v>
      </c>
      <c r="I461" s="77" t="s">
        <v>1166</v>
      </c>
      <c r="J461" s="77" t="s">
        <v>13</v>
      </c>
      <c r="K461" s="79" t="s">
        <v>1411</v>
      </c>
      <c r="L461" s="7" t="str">
        <f>IF(BudgetsTable[[#This Row],[pi_last_name]]=" ","",HYPERLINK("https://www.ejacket.nsf.gov/ej/showProposal.do?Continue=Y&amp;ID="&amp;BudgetsTable[[#This Row],[prop_id]],BudgetsTable[[#This Row],[prop_id]]))</f>
        <v/>
      </c>
      <c r="M461" s="15" t="str">
        <f>IF(BudgetsTable[[#This Row],[pi_last_name]]=" ","",HYPERLINK("https://www.ejacket.nsf.gov/ej/processReviewAnalysis.do?dispatch=add&amp;uniqId="&amp;BudgetsTable[[#This Row],[prop_id]]&amp;PO_id,"&gt;ra"))</f>
        <v/>
      </c>
      <c r="N461" s="79" t="s">
        <v>13</v>
      </c>
      <c r="O461" s="7" t="str">
        <f>IF(BudgetsTable[[#This Row],[pi_last_name]]=" ","",HYPERLINK("mailto:"&amp;BudgetsTable[[#This Row],[pi_email]]&amp;"&amp;subject=Your NSF Proposal:  "&amp;BudgetsTable[[#This Row],[prop_id]],BudgetsTable[[#This Row],[pi_email]]))</f>
        <v/>
      </c>
      <c r="P461" s="79" t="s">
        <v>13</v>
      </c>
      <c r="Q461" s="79">
        <v>1</v>
      </c>
      <c r="R461" s="79">
        <v>0</v>
      </c>
      <c r="S461" s="80">
        <v>0</v>
      </c>
      <c r="T461" s="80">
        <v>12000</v>
      </c>
      <c r="U461" s="80">
        <v>0</v>
      </c>
      <c r="V461" s="81">
        <v>309552</v>
      </c>
      <c r="W461" s="79">
        <v>0</v>
      </c>
      <c r="X461" s="79">
        <v>2</v>
      </c>
      <c r="Y461" s="11" t="str">
        <f ca="1">IF(ISBLANK(BudgetsTable[[#This Row],[budg_seq_yr]]),"FY"&amp;fiscalyear,"FY"&amp;fiscalyear-1+BudgetsTable[[#This Row],[budg_seq_yr]])</f>
        <v>FY19</v>
      </c>
      <c r="Z461" s="80">
        <v>309552</v>
      </c>
      <c r="AA461" s="79" t="s">
        <v>1622</v>
      </c>
      <c r="AB461" s="79" t="s">
        <v>580</v>
      </c>
      <c r="AC461" s="77" t="s">
        <v>94</v>
      </c>
      <c r="AD461" s="79" t="s">
        <v>1833</v>
      </c>
    </row>
    <row r="462" spans="1:30" x14ac:dyDescent="0.4">
      <c r="A462" s="10" t="s">
        <v>1411</v>
      </c>
      <c r="B462" s="77" t="s">
        <v>95</v>
      </c>
      <c r="C462" s="77">
        <f>C461+(BudgetsTable[[#This Row],[lead]]&lt;&gt;K461)</f>
        <v>86</v>
      </c>
      <c r="D462" s="77">
        <f>D461*(BudgetsTable[[#This Row],[lead]]=K461)+(BudgetsTable[[#This Row],[prop_id]]&lt;&gt;A461)</f>
        <v>1</v>
      </c>
      <c r="E462" s="78">
        <v>43005.740277777775</v>
      </c>
      <c r="F462" s="79" t="s">
        <v>1831</v>
      </c>
      <c r="G462" s="79" t="s">
        <v>1622</v>
      </c>
      <c r="H462" s="79" t="s">
        <v>580</v>
      </c>
      <c r="I462" s="77" t="s">
        <v>1166</v>
      </c>
      <c r="J462" s="77" t="s">
        <v>13</v>
      </c>
      <c r="K462" s="79" t="s">
        <v>1411</v>
      </c>
      <c r="L462" s="7" t="str">
        <f>IF(BudgetsTable[[#This Row],[pi_last_name]]=" ","",HYPERLINK("https://www.ejacket.nsf.gov/ej/showProposal.do?Continue=Y&amp;ID="&amp;BudgetsTable[[#This Row],[prop_id]],BudgetsTable[[#This Row],[prop_id]]))</f>
        <v/>
      </c>
      <c r="M462" s="15" t="str">
        <f>IF(BudgetsTable[[#This Row],[pi_last_name]]=" ","",HYPERLINK("https://www.ejacket.nsf.gov/ej/processReviewAnalysis.do?dispatch=add&amp;uniqId="&amp;BudgetsTable[[#This Row],[prop_id]]&amp;PO_id,"&gt;ra"))</f>
        <v/>
      </c>
      <c r="N462" s="79" t="s">
        <v>13</v>
      </c>
      <c r="O462" s="7" t="str">
        <f>IF(BudgetsTable[[#This Row],[pi_last_name]]=" ","",HYPERLINK("mailto:"&amp;BudgetsTable[[#This Row],[pi_email]]&amp;"&amp;subject=Your NSF Proposal:  "&amp;BudgetsTable[[#This Row],[prop_id]],BudgetsTable[[#This Row],[pi_email]]))</f>
        <v/>
      </c>
      <c r="P462" s="79" t="s">
        <v>13</v>
      </c>
      <c r="Q462" s="79">
        <v>1</v>
      </c>
      <c r="R462" s="79">
        <v>0</v>
      </c>
      <c r="S462" s="80">
        <v>0</v>
      </c>
      <c r="T462" s="80">
        <v>12000</v>
      </c>
      <c r="U462" s="80">
        <v>0</v>
      </c>
      <c r="V462" s="81">
        <v>296522</v>
      </c>
      <c r="W462" s="79">
        <v>0</v>
      </c>
      <c r="X462" s="79">
        <v>3</v>
      </c>
      <c r="Y462" s="11" t="str">
        <f ca="1">IF(ISBLANK(BudgetsTable[[#This Row],[budg_seq_yr]]),"FY"&amp;fiscalyear,"FY"&amp;fiscalyear-1+BudgetsTable[[#This Row],[budg_seq_yr]])</f>
        <v>FY20</v>
      </c>
      <c r="Z462" s="80">
        <v>296522</v>
      </c>
      <c r="AA462" s="79" t="s">
        <v>1622</v>
      </c>
      <c r="AB462" s="79" t="s">
        <v>580</v>
      </c>
      <c r="AC462" s="77" t="s">
        <v>94</v>
      </c>
      <c r="AD462" s="79" t="s">
        <v>1833</v>
      </c>
    </row>
    <row r="463" spans="1:30" x14ac:dyDescent="0.4">
      <c r="A463" s="10" t="s">
        <v>1411</v>
      </c>
      <c r="B463" s="77" t="s">
        <v>95</v>
      </c>
      <c r="C463" s="77">
        <f>C462+(BudgetsTable[[#This Row],[lead]]&lt;&gt;K462)</f>
        <v>86</v>
      </c>
      <c r="D463" s="77">
        <f>D462*(BudgetsTable[[#This Row],[lead]]=K462)+(BudgetsTable[[#This Row],[prop_id]]&lt;&gt;A462)</f>
        <v>1</v>
      </c>
      <c r="E463" s="78">
        <v>43005.740277777775</v>
      </c>
      <c r="F463" s="79" t="s">
        <v>1831</v>
      </c>
      <c r="G463" s="79" t="s">
        <v>1622</v>
      </c>
      <c r="H463" s="79" t="s">
        <v>580</v>
      </c>
      <c r="I463" s="77" t="s">
        <v>1166</v>
      </c>
      <c r="J463" s="77" t="s">
        <v>13</v>
      </c>
      <c r="K463" s="79" t="s">
        <v>1411</v>
      </c>
      <c r="L463" s="7" t="str">
        <f>IF(BudgetsTable[[#This Row],[pi_last_name]]=" ","",HYPERLINK("https://www.ejacket.nsf.gov/ej/showProposal.do?Continue=Y&amp;ID="&amp;BudgetsTable[[#This Row],[prop_id]],BudgetsTable[[#This Row],[prop_id]]))</f>
        <v/>
      </c>
      <c r="M463" s="15" t="str">
        <f>IF(BudgetsTable[[#This Row],[pi_last_name]]=" ","",HYPERLINK("https://www.ejacket.nsf.gov/ej/processReviewAnalysis.do?dispatch=add&amp;uniqId="&amp;BudgetsTable[[#This Row],[prop_id]]&amp;PO_id,"&gt;ra"))</f>
        <v/>
      </c>
      <c r="N463" s="79" t="s">
        <v>13</v>
      </c>
      <c r="O463" s="7" t="str">
        <f>IF(BudgetsTable[[#This Row],[pi_last_name]]=" ","",HYPERLINK("mailto:"&amp;BudgetsTable[[#This Row],[pi_email]]&amp;"&amp;subject=Your NSF Proposal:  "&amp;BudgetsTable[[#This Row],[prop_id]],BudgetsTable[[#This Row],[pi_email]]))</f>
        <v/>
      </c>
      <c r="P463" s="79" t="s">
        <v>13</v>
      </c>
      <c r="Q463" s="79">
        <v>1</v>
      </c>
      <c r="R463" s="79">
        <v>0</v>
      </c>
      <c r="S463" s="80">
        <v>0</v>
      </c>
      <c r="T463" s="80">
        <v>12000</v>
      </c>
      <c r="U463" s="80">
        <v>0</v>
      </c>
      <c r="V463" s="81">
        <v>299205</v>
      </c>
      <c r="W463" s="79">
        <v>0</v>
      </c>
      <c r="X463" s="79">
        <v>4</v>
      </c>
      <c r="Y463" s="11" t="str">
        <f ca="1">IF(ISBLANK(BudgetsTable[[#This Row],[budg_seq_yr]]),"FY"&amp;fiscalyear,"FY"&amp;fiscalyear-1+BudgetsTable[[#This Row],[budg_seq_yr]])</f>
        <v>FY21</v>
      </c>
      <c r="Z463" s="80">
        <v>299205</v>
      </c>
      <c r="AA463" s="79" t="s">
        <v>1622</v>
      </c>
      <c r="AB463" s="79" t="s">
        <v>580</v>
      </c>
      <c r="AC463" s="77" t="s">
        <v>94</v>
      </c>
      <c r="AD463" s="79" t="s">
        <v>1833</v>
      </c>
    </row>
    <row r="464" spans="1:30" x14ac:dyDescent="0.4">
      <c r="A464" s="10" t="s">
        <v>1420</v>
      </c>
      <c r="B464" s="77" t="s">
        <v>491</v>
      </c>
      <c r="C464" s="77">
        <f>C463+(BudgetsTable[[#This Row],[lead]]&lt;&gt;K463)</f>
        <v>87</v>
      </c>
      <c r="D464" s="77">
        <f>D463*(BudgetsTable[[#This Row],[lead]]=K463)+(BudgetsTable[[#This Row],[prop_id]]&lt;&gt;A463)</f>
        <v>1</v>
      </c>
      <c r="E464" s="78">
        <v>43005.743750000001</v>
      </c>
      <c r="F464" s="79" t="s">
        <v>524</v>
      </c>
      <c r="G464" s="79" t="s">
        <v>477</v>
      </c>
      <c r="H464" s="79" t="s">
        <v>582</v>
      </c>
      <c r="I464" s="77" t="s">
        <v>611</v>
      </c>
      <c r="J464" s="77" t="s">
        <v>1842</v>
      </c>
      <c r="K464" s="79" t="s">
        <v>1420</v>
      </c>
      <c r="L464" s="7" t="str">
        <f>IF(BudgetsTable[[#This Row],[pi_last_name]]=" ","",HYPERLINK("https://www.ejacket.nsf.gov/ej/showProposal.do?Continue=Y&amp;ID="&amp;BudgetsTable[[#This Row],[prop_id]],BudgetsTable[[#This Row],[prop_id]]))</f>
        <v>1764063</v>
      </c>
      <c r="M464" s="15" t="e">
        <f>IF(BudgetsTable[[#This Row],[pi_last_name]]=" ","",HYPERLINK("https://www.ejacket.nsf.gov/ej/processReviewAnalysis.do?dispatch=add&amp;uniqId="&amp;BudgetsTable[[#This Row],[prop_id]]&amp;PO_id,"&gt;ra"))</f>
        <v>#REF!</v>
      </c>
      <c r="N464" s="79" t="s">
        <v>1421</v>
      </c>
      <c r="O464" s="7" t="str">
        <f>IF(BudgetsTable[[#This Row],[pi_last_name]]=" ","",HYPERLINK("mailto:"&amp;BudgetsTable[[#This Row],[pi_email]]&amp;"&amp;subject=Your NSF Proposal:  "&amp;BudgetsTable[[#This Row],[prop_id]],BudgetsTable[[#This Row],[pi_email]]))</f>
        <v>wbwu@galton.uchicago.edu</v>
      </c>
      <c r="P464" s="79" t="s">
        <v>1839</v>
      </c>
      <c r="Q464" s="79"/>
      <c r="R464" s="79"/>
      <c r="S464" s="80"/>
      <c r="T464" s="80"/>
      <c r="U464" s="80"/>
      <c r="V464" s="81"/>
      <c r="W464" s="79">
        <v>0</v>
      </c>
      <c r="X464" s="79"/>
      <c r="Y464" s="11" t="str">
        <f ca="1">IF(ISBLANK(BudgetsTable[[#This Row],[budg_seq_yr]]),"FY"&amp;fiscalyear,"FY"&amp;fiscalyear-1+BudgetsTable[[#This Row],[budg_seq_yr]])</f>
        <v>FY18</v>
      </c>
      <c r="Z464" s="80">
        <v>399414</v>
      </c>
      <c r="AA464" s="79" t="s">
        <v>477</v>
      </c>
      <c r="AB464" s="79" t="s">
        <v>582</v>
      </c>
      <c r="AC464" s="77" t="s">
        <v>94</v>
      </c>
      <c r="AD464" s="79" t="s">
        <v>1704</v>
      </c>
    </row>
    <row r="465" spans="1:30" x14ac:dyDescent="0.4">
      <c r="A465" s="10" t="s">
        <v>1420</v>
      </c>
      <c r="B465" s="77" t="s">
        <v>491</v>
      </c>
      <c r="C465" s="77">
        <f>C464+(BudgetsTable[[#This Row],[lead]]&lt;&gt;K464)</f>
        <v>87</v>
      </c>
      <c r="D465" s="77">
        <f>D464*(BudgetsTable[[#This Row],[lead]]=K464)+(BudgetsTable[[#This Row],[prop_id]]&lt;&gt;A464)</f>
        <v>1</v>
      </c>
      <c r="E465" s="78">
        <v>43005.743750000001</v>
      </c>
      <c r="F465" s="79" t="s">
        <v>524</v>
      </c>
      <c r="G465" s="79" t="s">
        <v>477</v>
      </c>
      <c r="H465" s="79" t="s">
        <v>582</v>
      </c>
      <c r="I465" s="77" t="s">
        <v>611</v>
      </c>
      <c r="J465" s="77" t="s">
        <v>13</v>
      </c>
      <c r="K465" s="79" t="s">
        <v>1420</v>
      </c>
      <c r="L465" s="7" t="str">
        <f>IF(BudgetsTable[[#This Row],[pi_last_name]]=" ","",HYPERLINK("https://www.ejacket.nsf.gov/ej/showProposal.do?Continue=Y&amp;ID="&amp;BudgetsTable[[#This Row],[prop_id]],BudgetsTable[[#This Row],[prop_id]]))</f>
        <v/>
      </c>
      <c r="M465" s="15" t="str">
        <f>IF(BudgetsTable[[#This Row],[pi_last_name]]=" ","",HYPERLINK("https://www.ejacket.nsf.gov/ej/processReviewAnalysis.do?dispatch=add&amp;uniqId="&amp;BudgetsTable[[#This Row],[prop_id]]&amp;PO_id,"&gt;ra"))</f>
        <v/>
      </c>
      <c r="N465" s="79" t="s">
        <v>13</v>
      </c>
      <c r="O465" s="7" t="str">
        <f>IF(BudgetsTable[[#This Row],[pi_last_name]]=" ","",HYPERLINK("mailto:"&amp;BudgetsTable[[#This Row],[pi_email]]&amp;"&amp;subject=Your NSF Proposal:  "&amp;BudgetsTable[[#This Row],[prop_id]],BudgetsTable[[#This Row],[pi_email]]))</f>
        <v/>
      </c>
      <c r="P465" s="79" t="s">
        <v>13</v>
      </c>
      <c r="Q465" s="79">
        <v>1</v>
      </c>
      <c r="R465" s="79">
        <v>0.75</v>
      </c>
      <c r="S465" s="80">
        <v>0</v>
      </c>
      <c r="T465" s="80">
        <v>3000</v>
      </c>
      <c r="U465" s="80">
        <v>0</v>
      </c>
      <c r="V465" s="81">
        <v>67369</v>
      </c>
      <c r="W465" s="79">
        <v>0</v>
      </c>
      <c r="X465" s="79">
        <v>1</v>
      </c>
      <c r="Y465" s="11" t="str">
        <f ca="1">IF(ISBLANK(BudgetsTable[[#This Row],[budg_seq_yr]]),"FY"&amp;fiscalyear,"FY"&amp;fiscalyear-1+BudgetsTable[[#This Row],[budg_seq_yr]])</f>
        <v>FY18</v>
      </c>
      <c r="Z465" s="80">
        <v>67369</v>
      </c>
      <c r="AA465" s="79" t="s">
        <v>477</v>
      </c>
      <c r="AB465" s="79" t="s">
        <v>582</v>
      </c>
      <c r="AC465" s="77" t="s">
        <v>94</v>
      </c>
      <c r="AD465" s="79" t="s">
        <v>1704</v>
      </c>
    </row>
    <row r="466" spans="1:30" x14ac:dyDescent="0.4">
      <c r="A466" s="10" t="s">
        <v>1420</v>
      </c>
      <c r="B466" s="77" t="s">
        <v>491</v>
      </c>
      <c r="C466" s="77">
        <f>C465+(BudgetsTable[[#This Row],[lead]]&lt;&gt;K465)</f>
        <v>87</v>
      </c>
      <c r="D466" s="77">
        <f>D465*(BudgetsTable[[#This Row],[lead]]=K465)+(BudgetsTable[[#This Row],[prop_id]]&lt;&gt;A465)</f>
        <v>1</v>
      </c>
      <c r="E466" s="78">
        <v>43005.743750000001</v>
      </c>
      <c r="F466" s="79" t="s">
        <v>524</v>
      </c>
      <c r="G466" s="79" t="s">
        <v>477</v>
      </c>
      <c r="H466" s="79" t="s">
        <v>582</v>
      </c>
      <c r="I466" s="77" t="s">
        <v>611</v>
      </c>
      <c r="J466" s="77" t="s">
        <v>13</v>
      </c>
      <c r="K466" s="79" t="s">
        <v>1420</v>
      </c>
      <c r="L466" s="7" t="str">
        <f>IF(BudgetsTable[[#This Row],[pi_last_name]]=" ","",HYPERLINK("https://www.ejacket.nsf.gov/ej/showProposal.do?Continue=Y&amp;ID="&amp;BudgetsTable[[#This Row],[prop_id]],BudgetsTable[[#This Row],[prop_id]]))</f>
        <v/>
      </c>
      <c r="M466" s="15" t="str">
        <f>IF(BudgetsTable[[#This Row],[pi_last_name]]=" ","",HYPERLINK("https://www.ejacket.nsf.gov/ej/processReviewAnalysis.do?dispatch=add&amp;uniqId="&amp;BudgetsTable[[#This Row],[prop_id]]&amp;PO_id,"&gt;ra"))</f>
        <v/>
      </c>
      <c r="N466" s="79" t="s">
        <v>13</v>
      </c>
      <c r="O466" s="7" t="str">
        <f>IF(BudgetsTable[[#This Row],[pi_last_name]]=" ","",HYPERLINK("mailto:"&amp;BudgetsTable[[#This Row],[pi_email]]&amp;"&amp;subject=Your NSF Proposal:  "&amp;BudgetsTable[[#This Row],[prop_id]],BudgetsTable[[#This Row],[pi_email]]))</f>
        <v/>
      </c>
      <c r="P466" s="79" t="s">
        <v>13</v>
      </c>
      <c r="Q466" s="79">
        <v>1</v>
      </c>
      <c r="R466" s="79">
        <v>1.75</v>
      </c>
      <c r="S466" s="80">
        <v>0</v>
      </c>
      <c r="T466" s="80">
        <v>3090</v>
      </c>
      <c r="U466" s="80">
        <v>0</v>
      </c>
      <c r="V466" s="81">
        <v>101924</v>
      </c>
      <c r="W466" s="79">
        <v>0</v>
      </c>
      <c r="X466" s="79">
        <v>2</v>
      </c>
      <c r="Y466" s="11" t="str">
        <f ca="1">IF(ISBLANK(BudgetsTable[[#This Row],[budg_seq_yr]]),"FY"&amp;fiscalyear,"FY"&amp;fiscalyear-1+BudgetsTable[[#This Row],[budg_seq_yr]])</f>
        <v>FY19</v>
      </c>
      <c r="Z466" s="80">
        <v>101924</v>
      </c>
      <c r="AA466" s="79" t="s">
        <v>477</v>
      </c>
      <c r="AB466" s="79" t="s">
        <v>582</v>
      </c>
      <c r="AC466" s="77" t="s">
        <v>94</v>
      </c>
      <c r="AD466" s="79" t="s">
        <v>1704</v>
      </c>
    </row>
    <row r="467" spans="1:30" x14ac:dyDescent="0.4">
      <c r="A467" s="10" t="s">
        <v>1420</v>
      </c>
      <c r="B467" s="77" t="s">
        <v>491</v>
      </c>
      <c r="C467" s="77">
        <f>C466+(BudgetsTable[[#This Row],[lead]]&lt;&gt;K466)</f>
        <v>87</v>
      </c>
      <c r="D467" s="77">
        <f>D466*(BudgetsTable[[#This Row],[lead]]=K466)+(BudgetsTable[[#This Row],[prop_id]]&lt;&gt;A466)</f>
        <v>1</v>
      </c>
      <c r="E467" s="78">
        <v>43005.743750000001</v>
      </c>
      <c r="F467" s="79" t="s">
        <v>524</v>
      </c>
      <c r="G467" s="79" t="s">
        <v>477</v>
      </c>
      <c r="H467" s="79" t="s">
        <v>582</v>
      </c>
      <c r="I467" s="77" t="s">
        <v>611</v>
      </c>
      <c r="J467" s="77" t="s">
        <v>13</v>
      </c>
      <c r="K467" s="79" t="s">
        <v>1420</v>
      </c>
      <c r="L467" s="7" t="str">
        <f>IF(BudgetsTable[[#This Row],[pi_last_name]]=" ","",HYPERLINK("https://www.ejacket.nsf.gov/ej/showProposal.do?Continue=Y&amp;ID="&amp;BudgetsTable[[#This Row],[prop_id]],BudgetsTable[[#This Row],[prop_id]]))</f>
        <v/>
      </c>
      <c r="M467" s="15" t="str">
        <f>IF(BudgetsTable[[#This Row],[pi_last_name]]=" ","",HYPERLINK("https://www.ejacket.nsf.gov/ej/processReviewAnalysis.do?dispatch=add&amp;uniqId="&amp;BudgetsTable[[#This Row],[prop_id]]&amp;PO_id,"&gt;ra"))</f>
        <v/>
      </c>
      <c r="N467" s="79" t="s">
        <v>13</v>
      </c>
      <c r="O467" s="7" t="str">
        <f>IF(BudgetsTable[[#This Row],[pi_last_name]]=" ","",HYPERLINK("mailto:"&amp;BudgetsTable[[#This Row],[pi_email]]&amp;"&amp;subject=Your NSF Proposal:  "&amp;BudgetsTable[[#This Row],[prop_id]],BudgetsTable[[#This Row],[pi_email]]))</f>
        <v/>
      </c>
      <c r="P467" s="79" t="s">
        <v>13</v>
      </c>
      <c r="Q467" s="79">
        <v>1</v>
      </c>
      <c r="R467" s="79">
        <v>2</v>
      </c>
      <c r="S467" s="80">
        <v>0</v>
      </c>
      <c r="T467" s="80">
        <v>3183</v>
      </c>
      <c r="U467" s="80">
        <v>0</v>
      </c>
      <c r="V467" s="81">
        <v>113361</v>
      </c>
      <c r="W467" s="79">
        <v>0</v>
      </c>
      <c r="X467" s="79">
        <v>3</v>
      </c>
      <c r="Y467" s="11" t="str">
        <f ca="1">IF(ISBLANK(BudgetsTable[[#This Row],[budg_seq_yr]]),"FY"&amp;fiscalyear,"FY"&amp;fiscalyear-1+BudgetsTable[[#This Row],[budg_seq_yr]])</f>
        <v>FY20</v>
      </c>
      <c r="Z467" s="80">
        <v>113361</v>
      </c>
      <c r="AA467" s="79" t="s">
        <v>477</v>
      </c>
      <c r="AB467" s="79" t="s">
        <v>582</v>
      </c>
      <c r="AC467" s="77" t="s">
        <v>94</v>
      </c>
      <c r="AD467" s="79" t="s">
        <v>1704</v>
      </c>
    </row>
    <row r="468" spans="1:30" x14ac:dyDescent="0.4">
      <c r="A468" s="10" t="s">
        <v>1420</v>
      </c>
      <c r="B468" s="77" t="s">
        <v>491</v>
      </c>
      <c r="C468" s="77">
        <f>C467+(BudgetsTable[[#This Row],[lead]]&lt;&gt;K467)</f>
        <v>87</v>
      </c>
      <c r="D468" s="77">
        <f>D467*(BudgetsTable[[#This Row],[lead]]=K467)+(BudgetsTable[[#This Row],[prop_id]]&lt;&gt;A467)</f>
        <v>1</v>
      </c>
      <c r="E468" s="78">
        <v>43005.743750000001</v>
      </c>
      <c r="F468" s="79" t="s">
        <v>524</v>
      </c>
      <c r="G468" s="79" t="s">
        <v>477</v>
      </c>
      <c r="H468" s="79" t="s">
        <v>582</v>
      </c>
      <c r="I468" s="77" t="s">
        <v>611</v>
      </c>
      <c r="J468" s="77" t="s">
        <v>13</v>
      </c>
      <c r="K468" s="79" t="s">
        <v>1420</v>
      </c>
      <c r="L468" s="7" t="str">
        <f>IF(BudgetsTable[[#This Row],[pi_last_name]]=" ","",HYPERLINK("https://www.ejacket.nsf.gov/ej/showProposal.do?Continue=Y&amp;ID="&amp;BudgetsTable[[#This Row],[prop_id]],BudgetsTable[[#This Row],[prop_id]]))</f>
        <v/>
      </c>
      <c r="M468" s="15" t="str">
        <f>IF(BudgetsTable[[#This Row],[pi_last_name]]=" ","",HYPERLINK("https://www.ejacket.nsf.gov/ej/processReviewAnalysis.do?dispatch=add&amp;uniqId="&amp;BudgetsTable[[#This Row],[prop_id]]&amp;PO_id,"&gt;ra"))</f>
        <v/>
      </c>
      <c r="N468" s="79" t="s">
        <v>13</v>
      </c>
      <c r="O468" s="7" t="str">
        <f>IF(BudgetsTable[[#This Row],[pi_last_name]]=" ","",HYPERLINK("mailto:"&amp;BudgetsTable[[#This Row],[pi_email]]&amp;"&amp;subject=Your NSF Proposal:  "&amp;BudgetsTable[[#This Row],[prop_id]],BudgetsTable[[#This Row],[pi_email]]))</f>
        <v/>
      </c>
      <c r="P468" s="79" t="s">
        <v>13</v>
      </c>
      <c r="Q468" s="79">
        <v>1</v>
      </c>
      <c r="R468" s="79">
        <v>2</v>
      </c>
      <c r="S468" s="80">
        <v>0</v>
      </c>
      <c r="T468" s="80">
        <v>3278</v>
      </c>
      <c r="U468" s="80">
        <v>0</v>
      </c>
      <c r="V468" s="81">
        <v>116760</v>
      </c>
      <c r="W468" s="79">
        <v>0</v>
      </c>
      <c r="X468" s="79">
        <v>4</v>
      </c>
      <c r="Y468" s="11" t="str">
        <f ca="1">IF(ISBLANK(BudgetsTable[[#This Row],[budg_seq_yr]]),"FY"&amp;fiscalyear,"FY"&amp;fiscalyear-1+BudgetsTable[[#This Row],[budg_seq_yr]])</f>
        <v>FY21</v>
      </c>
      <c r="Z468" s="80">
        <v>116760</v>
      </c>
      <c r="AA468" s="79" t="s">
        <v>477</v>
      </c>
      <c r="AB468" s="79" t="s">
        <v>582</v>
      </c>
      <c r="AC468" s="77" t="s">
        <v>94</v>
      </c>
      <c r="AD468" s="79" t="s">
        <v>1704</v>
      </c>
    </row>
    <row r="469" spans="1:30" x14ac:dyDescent="0.4">
      <c r="A469" s="10" t="s">
        <v>1843</v>
      </c>
      <c r="B469" s="77" t="s">
        <v>493</v>
      </c>
      <c r="C469" s="77">
        <f>C468+(BudgetsTable[[#This Row],[lead]]&lt;&gt;K468)</f>
        <v>87</v>
      </c>
      <c r="D469" s="77">
        <f>D468*(BudgetsTable[[#This Row],[lead]]=K468)+(BudgetsTable[[#This Row],[prop_id]]&lt;&gt;A468)</f>
        <v>2</v>
      </c>
      <c r="E469" s="78">
        <v>43005.654166666667</v>
      </c>
      <c r="F469" s="79" t="s">
        <v>524</v>
      </c>
      <c r="G469" s="79" t="s">
        <v>477</v>
      </c>
      <c r="H469" s="79" t="s">
        <v>582</v>
      </c>
      <c r="I469" s="77" t="s">
        <v>611</v>
      </c>
      <c r="J469" s="77" t="s">
        <v>1846</v>
      </c>
      <c r="K469" s="79" t="s">
        <v>1420</v>
      </c>
      <c r="L469" s="7" t="str">
        <f>IF(BudgetsTable[[#This Row],[pi_last_name]]=" ","",HYPERLINK("https://www.ejacket.nsf.gov/ej/showProposal.do?Continue=Y&amp;ID="&amp;BudgetsTable[[#This Row],[prop_id]],BudgetsTable[[#This Row],[prop_id]]))</f>
        <v>1763885</v>
      </c>
      <c r="M469" s="15" t="e">
        <f>IF(BudgetsTable[[#This Row],[pi_last_name]]=" ","",HYPERLINK("https://www.ejacket.nsf.gov/ej/processReviewAnalysis.do?dispatch=add&amp;uniqId="&amp;BudgetsTable[[#This Row],[prop_id]]&amp;PO_id,"&gt;ra"))</f>
        <v>#REF!</v>
      </c>
      <c r="N469" s="79" t="s">
        <v>1352</v>
      </c>
      <c r="O469" s="7" t="str">
        <f>IF(BudgetsTable[[#This Row],[pi_last_name]]=" ","",HYPERLINK("mailto:"&amp;BudgetsTable[[#This Row],[pi_email]]&amp;"&amp;subject=Your NSF Proposal:  "&amp;BudgetsTable[[#This Row],[prop_id]],BudgetsTable[[#This Row],[pi_email]]))</f>
        <v>maggie.cheng@njit.edu</v>
      </c>
      <c r="P469" s="79" t="s">
        <v>1845</v>
      </c>
      <c r="Q469" s="79"/>
      <c r="R469" s="79"/>
      <c r="S469" s="80"/>
      <c r="T469" s="80"/>
      <c r="U469" s="80"/>
      <c r="V469" s="81"/>
      <c r="W469" s="79">
        <v>0</v>
      </c>
      <c r="X469" s="79"/>
      <c r="Y469" s="11" t="str">
        <f ca="1">IF(ISBLANK(BudgetsTable[[#This Row],[budg_seq_yr]]),"FY"&amp;fiscalyear,"FY"&amp;fiscalyear-1+BudgetsTable[[#This Row],[budg_seq_yr]])</f>
        <v>FY18</v>
      </c>
      <c r="Z469" s="80">
        <v>398685</v>
      </c>
      <c r="AA469" s="79" t="s">
        <v>477</v>
      </c>
      <c r="AB469" s="79" t="s">
        <v>582</v>
      </c>
      <c r="AC469" s="77" t="s">
        <v>94</v>
      </c>
      <c r="AD469" s="79" t="s">
        <v>1704</v>
      </c>
    </row>
    <row r="470" spans="1:30" x14ac:dyDescent="0.4">
      <c r="A470" s="10" t="s">
        <v>1843</v>
      </c>
      <c r="B470" s="77" t="s">
        <v>493</v>
      </c>
      <c r="C470" s="77">
        <f>C469+(BudgetsTable[[#This Row],[lead]]&lt;&gt;K469)</f>
        <v>87</v>
      </c>
      <c r="D470" s="77">
        <f>D469*(BudgetsTable[[#This Row],[lead]]=K469)+(BudgetsTable[[#This Row],[prop_id]]&lt;&gt;A469)</f>
        <v>2</v>
      </c>
      <c r="E470" s="78">
        <v>43005.654166666667</v>
      </c>
      <c r="F470" s="79" t="s">
        <v>524</v>
      </c>
      <c r="G470" s="79" t="s">
        <v>477</v>
      </c>
      <c r="H470" s="79" t="s">
        <v>582</v>
      </c>
      <c r="I470" s="77" t="s">
        <v>611</v>
      </c>
      <c r="J470" s="77" t="s">
        <v>13</v>
      </c>
      <c r="K470" s="79" t="s">
        <v>1420</v>
      </c>
      <c r="L470" s="7" t="str">
        <f>IF(BudgetsTable[[#This Row],[pi_last_name]]=" ","",HYPERLINK("https://www.ejacket.nsf.gov/ej/showProposal.do?Continue=Y&amp;ID="&amp;BudgetsTable[[#This Row],[prop_id]],BudgetsTable[[#This Row],[prop_id]]))</f>
        <v/>
      </c>
      <c r="M470" s="15" t="str">
        <f>IF(BudgetsTable[[#This Row],[pi_last_name]]=" ","",HYPERLINK("https://www.ejacket.nsf.gov/ej/processReviewAnalysis.do?dispatch=add&amp;uniqId="&amp;BudgetsTable[[#This Row],[prop_id]]&amp;PO_id,"&gt;ra"))</f>
        <v/>
      </c>
      <c r="N470" s="79" t="s">
        <v>13</v>
      </c>
      <c r="O470" s="7" t="str">
        <f>IF(BudgetsTable[[#This Row],[pi_last_name]]=" ","",HYPERLINK("mailto:"&amp;BudgetsTable[[#This Row],[pi_email]]&amp;"&amp;subject=Your NSF Proposal:  "&amp;BudgetsTable[[#This Row],[prop_id]],BudgetsTable[[#This Row],[pi_email]]))</f>
        <v/>
      </c>
      <c r="P470" s="79" t="s">
        <v>13</v>
      </c>
      <c r="Q470" s="79">
        <v>1</v>
      </c>
      <c r="R470" s="79">
        <v>1</v>
      </c>
      <c r="S470" s="80">
        <v>0</v>
      </c>
      <c r="T470" s="80">
        <v>2000</v>
      </c>
      <c r="U470" s="80">
        <v>0</v>
      </c>
      <c r="V470" s="81">
        <v>93421</v>
      </c>
      <c r="W470" s="79">
        <v>0</v>
      </c>
      <c r="X470" s="79">
        <v>1</v>
      </c>
      <c r="Y470" s="11" t="str">
        <f ca="1">IF(ISBLANK(BudgetsTable[[#This Row],[budg_seq_yr]]),"FY"&amp;fiscalyear,"FY"&amp;fiscalyear-1+BudgetsTable[[#This Row],[budg_seq_yr]])</f>
        <v>FY18</v>
      </c>
      <c r="Z470" s="80">
        <v>93421</v>
      </c>
      <c r="AA470" s="79" t="s">
        <v>477</v>
      </c>
      <c r="AB470" s="79" t="s">
        <v>582</v>
      </c>
      <c r="AC470" s="77" t="s">
        <v>94</v>
      </c>
      <c r="AD470" s="79" t="s">
        <v>1704</v>
      </c>
    </row>
    <row r="471" spans="1:30" x14ac:dyDescent="0.4">
      <c r="A471" s="10" t="s">
        <v>1843</v>
      </c>
      <c r="B471" s="77" t="s">
        <v>493</v>
      </c>
      <c r="C471" s="77">
        <f>C470+(BudgetsTable[[#This Row],[lead]]&lt;&gt;K470)</f>
        <v>87</v>
      </c>
      <c r="D471" s="77">
        <f>D470*(BudgetsTable[[#This Row],[lead]]=K470)+(BudgetsTable[[#This Row],[prop_id]]&lt;&gt;A470)</f>
        <v>2</v>
      </c>
      <c r="E471" s="78">
        <v>43005.654166666667</v>
      </c>
      <c r="F471" s="79" t="s">
        <v>524</v>
      </c>
      <c r="G471" s="79" t="s">
        <v>477</v>
      </c>
      <c r="H471" s="79" t="s">
        <v>582</v>
      </c>
      <c r="I471" s="77" t="s">
        <v>611</v>
      </c>
      <c r="J471" s="77" t="s">
        <v>13</v>
      </c>
      <c r="K471" s="79" t="s">
        <v>1420</v>
      </c>
      <c r="L471" s="7" t="str">
        <f>IF(BudgetsTable[[#This Row],[pi_last_name]]=" ","",HYPERLINK("https://www.ejacket.nsf.gov/ej/showProposal.do?Continue=Y&amp;ID="&amp;BudgetsTable[[#This Row],[prop_id]],BudgetsTable[[#This Row],[prop_id]]))</f>
        <v/>
      </c>
      <c r="M471" s="15" t="str">
        <f>IF(BudgetsTable[[#This Row],[pi_last_name]]=" ","",HYPERLINK("https://www.ejacket.nsf.gov/ej/processReviewAnalysis.do?dispatch=add&amp;uniqId="&amp;BudgetsTable[[#This Row],[prop_id]]&amp;PO_id,"&gt;ra"))</f>
        <v/>
      </c>
      <c r="N471" s="79" t="s">
        <v>13</v>
      </c>
      <c r="O471" s="7" t="str">
        <f>IF(BudgetsTable[[#This Row],[pi_last_name]]=" ","",HYPERLINK("mailto:"&amp;BudgetsTable[[#This Row],[pi_email]]&amp;"&amp;subject=Your NSF Proposal:  "&amp;BudgetsTable[[#This Row],[prop_id]],BudgetsTable[[#This Row],[pi_email]]))</f>
        <v/>
      </c>
      <c r="P471" s="79" t="s">
        <v>13</v>
      </c>
      <c r="Q471" s="79">
        <v>1</v>
      </c>
      <c r="R471" s="79">
        <v>1</v>
      </c>
      <c r="S471" s="80">
        <v>0</v>
      </c>
      <c r="T471" s="80">
        <v>2000</v>
      </c>
      <c r="U471" s="80">
        <v>0</v>
      </c>
      <c r="V471" s="81">
        <v>97447</v>
      </c>
      <c r="W471" s="79">
        <v>0</v>
      </c>
      <c r="X471" s="79">
        <v>2</v>
      </c>
      <c r="Y471" s="11" t="str">
        <f ca="1">IF(ISBLANK(BudgetsTable[[#This Row],[budg_seq_yr]]),"FY"&amp;fiscalyear,"FY"&amp;fiscalyear-1+BudgetsTable[[#This Row],[budg_seq_yr]])</f>
        <v>FY19</v>
      </c>
      <c r="Z471" s="80">
        <v>97447</v>
      </c>
      <c r="AA471" s="79" t="s">
        <v>477</v>
      </c>
      <c r="AB471" s="79" t="s">
        <v>582</v>
      </c>
      <c r="AC471" s="77" t="s">
        <v>94</v>
      </c>
      <c r="AD471" s="79" t="s">
        <v>1704</v>
      </c>
    </row>
    <row r="472" spans="1:30" x14ac:dyDescent="0.4">
      <c r="A472" s="10" t="s">
        <v>1843</v>
      </c>
      <c r="B472" s="77" t="s">
        <v>493</v>
      </c>
      <c r="C472" s="77">
        <f>C471+(BudgetsTable[[#This Row],[lead]]&lt;&gt;K471)</f>
        <v>87</v>
      </c>
      <c r="D472" s="77">
        <f>D471*(BudgetsTable[[#This Row],[lead]]=K471)+(BudgetsTable[[#This Row],[prop_id]]&lt;&gt;A471)</f>
        <v>2</v>
      </c>
      <c r="E472" s="78">
        <v>43005.654166666667</v>
      </c>
      <c r="F472" s="79" t="s">
        <v>524</v>
      </c>
      <c r="G472" s="79" t="s">
        <v>477</v>
      </c>
      <c r="H472" s="79" t="s">
        <v>582</v>
      </c>
      <c r="I472" s="77" t="s">
        <v>611</v>
      </c>
      <c r="J472" s="77" t="s">
        <v>13</v>
      </c>
      <c r="K472" s="79" t="s">
        <v>1420</v>
      </c>
      <c r="L472" s="7" t="str">
        <f>IF(BudgetsTable[[#This Row],[pi_last_name]]=" ","",HYPERLINK("https://www.ejacket.nsf.gov/ej/showProposal.do?Continue=Y&amp;ID="&amp;BudgetsTable[[#This Row],[prop_id]],BudgetsTable[[#This Row],[prop_id]]))</f>
        <v/>
      </c>
      <c r="M472" s="15" t="str">
        <f>IF(BudgetsTable[[#This Row],[pi_last_name]]=" ","",HYPERLINK("https://www.ejacket.nsf.gov/ej/processReviewAnalysis.do?dispatch=add&amp;uniqId="&amp;BudgetsTable[[#This Row],[prop_id]]&amp;PO_id,"&gt;ra"))</f>
        <v/>
      </c>
      <c r="N472" s="79" t="s">
        <v>13</v>
      </c>
      <c r="O472" s="7" t="str">
        <f>IF(BudgetsTable[[#This Row],[pi_last_name]]=" ","",HYPERLINK("mailto:"&amp;BudgetsTable[[#This Row],[pi_email]]&amp;"&amp;subject=Your NSF Proposal:  "&amp;BudgetsTable[[#This Row],[prop_id]],BudgetsTable[[#This Row],[pi_email]]))</f>
        <v/>
      </c>
      <c r="P472" s="79" t="s">
        <v>13</v>
      </c>
      <c r="Q472" s="79">
        <v>1</v>
      </c>
      <c r="R472" s="79">
        <v>1</v>
      </c>
      <c r="S472" s="80">
        <v>0</v>
      </c>
      <c r="T472" s="80">
        <v>2000</v>
      </c>
      <c r="U472" s="80">
        <v>0</v>
      </c>
      <c r="V472" s="81">
        <v>101681</v>
      </c>
      <c r="W472" s="79">
        <v>0</v>
      </c>
      <c r="X472" s="79">
        <v>3</v>
      </c>
      <c r="Y472" s="11" t="str">
        <f ca="1">IF(ISBLANK(BudgetsTable[[#This Row],[budg_seq_yr]]),"FY"&amp;fiscalyear,"FY"&amp;fiscalyear-1+BudgetsTable[[#This Row],[budg_seq_yr]])</f>
        <v>FY20</v>
      </c>
      <c r="Z472" s="80">
        <v>101681</v>
      </c>
      <c r="AA472" s="79" t="s">
        <v>477</v>
      </c>
      <c r="AB472" s="79" t="s">
        <v>582</v>
      </c>
      <c r="AC472" s="77" t="s">
        <v>94</v>
      </c>
      <c r="AD472" s="79" t="s">
        <v>1704</v>
      </c>
    </row>
    <row r="473" spans="1:30" x14ac:dyDescent="0.4">
      <c r="A473" s="10" t="s">
        <v>1843</v>
      </c>
      <c r="B473" s="77" t="s">
        <v>493</v>
      </c>
      <c r="C473" s="77">
        <f>C472+(BudgetsTable[[#This Row],[lead]]&lt;&gt;K472)</f>
        <v>87</v>
      </c>
      <c r="D473" s="77">
        <f>D472*(BudgetsTable[[#This Row],[lead]]=K472)+(BudgetsTable[[#This Row],[prop_id]]&lt;&gt;A472)</f>
        <v>2</v>
      </c>
      <c r="E473" s="78">
        <v>43005.654166666667</v>
      </c>
      <c r="F473" s="79" t="s">
        <v>524</v>
      </c>
      <c r="G473" s="79" t="s">
        <v>477</v>
      </c>
      <c r="H473" s="79" t="s">
        <v>582</v>
      </c>
      <c r="I473" s="77" t="s">
        <v>611</v>
      </c>
      <c r="J473" s="77" t="s">
        <v>13</v>
      </c>
      <c r="K473" s="79" t="s">
        <v>1420</v>
      </c>
      <c r="L473" s="7" t="str">
        <f>IF(BudgetsTable[[#This Row],[pi_last_name]]=" ","",HYPERLINK("https://www.ejacket.nsf.gov/ej/showProposal.do?Continue=Y&amp;ID="&amp;BudgetsTable[[#This Row],[prop_id]],BudgetsTable[[#This Row],[prop_id]]))</f>
        <v/>
      </c>
      <c r="M473" s="15" t="str">
        <f>IF(BudgetsTable[[#This Row],[pi_last_name]]=" ","",HYPERLINK("https://www.ejacket.nsf.gov/ej/processReviewAnalysis.do?dispatch=add&amp;uniqId="&amp;BudgetsTable[[#This Row],[prop_id]]&amp;PO_id,"&gt;ra"))</f>
        <v/>
      </c>
      <c r="N473" s="79" t="s">
        <v>13</v>
      </c>
      <c r="O473" s="7" t="str">
        <f>IF(BudgetsTable[[#This Row],[pi_last_name]]=" ","",HYPERLINK("mailto:"&amp;BudgetsTable[[#This Row],[pi_email]]&amp;"&amp;subject=Your NSF Proposal:  "&amp;BudgetsTable[[#This Row],[prop_id]],BudgetsTable[[#This Row],[pi_email]]))</f>
        <v/>
      </c>
      <c r="P473" s="79" t="s">
        <v>13</v>
      </c>
      <c r="Q473" s="79">
        <v>1</v>
      </c>
      <c r="R473" s="79">
        <v>1</v>
      </c>
      <c r="S473" s="80">
        <v>0</v>
      </c>
      <c r="T473" s="80">
        <v>2000</v>
      </c>
      <c r="U473" s="80">
        <v>0</v>
      </c>
      <c r="V473" s="81">
        <v>106136</v>
      </c>
      <c r="W473" s="79">
        <v>0</v>
      </c>
      <c r="X473" s="79">
        <v>4</v>
      </c>
      <c r="Y473" s="11" t="str">
        <f ca="1">IF(ISBLANK(BudgetsTable[[#This Row],[budg_seq_yr]]),"FY"&amp;fiscalyear,"FY"&amp;fiscalyear-1+BudgetsTable[[#This Row],[budg_seq_yr]])</f>
        <v>FY21</v>
      </c>
      <c r="Z473" s="80">
        <v>106136</v>
      </c>
      <c r="AA473" s="79" t="s">
        <v>477</v>
      </c>
      <c r="AB473" s="79" t="s">
        <v>582</v>
      </c>
      <c r="AC473" s="77" t="s">
        <v>94</v>
      </c>
      <c r="AD473" s="79" t="s">
        <v>1704</v>
      </c>
    </row>
  </sheetData>
  <conditionalFormatting sqref="A4:AD473">
    <cfRule type="expression" dxfId="14" priority="1684">
      <formula>MOD($C4,2)</formula>
    </cfRule>
  </conditionalFormatting>
  <conditionalFormatting sqref="L4:AD473">
    <cfRule type="expression" dxfId="13" priority="1579">
      <formula>MOD($D4+1,2)</formula>
    </cfRule>
    <cfRule type="expression" dxfId="12"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4" sqref="E4"/>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283</v>
      </c>
      <c r="D1" s="63" t="s">
        <v>457</v>
      </c>
      <c r="V1" s="40" t="s">
        <v>228</v>
      </c>
      <c r="AH1" s="40" t="s">
        <v>222</v>
      </c>
      <c r="AI1" s="40"/>
      <c r="AJ1" s="40"/>
      <c r="AK1" s="40"/>
      <c r="AL1" s="40"/>
      <c r="AM1" s="40"/>
      <c r="AN1" s="41" t="s">
        <v>223</v>
      </c>
      <c r="AO1" s="40"/>
      <c r="AP1" s="40"/>
      <c r="AQ1" s="40"/>
      <c r="AR1" s="42" t="s">
        <v>221</v>
      </c>
      <c r="AS1" s="40"/>
      <c r="AT1" s="40"/>
      <c r="AU1" s="40"/>
      <c r="AV1" s="40"/>
      <c r="AW1" s="40"/>
      <c r="AX1" s="40" t="s">
        <v>224</v>
      </c>
    </row>
    <row r="2" spans="1:50" x14ac:dyDescent="0.4">
      <c r="A2" s="25" t="s">
        <v>285</v>
      </c>
      <c r="B2" t="s">
        <v>286</v>
      </c>
      <c r="D2" s="6" t="s">
        <v>366</v>
      </c>
      <c r="E2" s="6" t="s">
        <v>458</v>
      </c>
      <c r="H2"/>
      <c r="I2"/>
      <c r="J2"/>
      <c r="K2"/>
      <c r="L2"/>
      <c r="S2"/>
      <c r="T2"/>
      <c r="U2"/>
      <c r="Y2"/>
      <c r="AA2"/>
      <c r="AB2"/>
      <c r="AN2"/>
      <c r="AR2"/>
    </row>
    <row r="3" spans="1:50" x14ac:dyDescent="0.4">
      <c r="A3" s="105" t="s">
        <v>584</v>
      </c>
      <c r="B3" t="s">
        <v>585</v>
      </c>
      <c r="D3" s="105" t="s">
        <v>578</v>
      </c>
      <c r="E3" t="s">
        <v>579</v>
      </c>
      <c r="H3"/>
      <c r="I3"/>
      <c r="J3"/>
      <c r="K3"/>
      <c r="L3"/>
      <c r="S3"/>
      <c r="T3"/>
      <c r="U3"/>
      <c r="Y3"/>
      <c r="AA3"/>
      <c r="AB3"/>
      <c r="AN3"/>
      <c r="AR3"/>
    </row>
    <row r="4" spans="1:50" x14ac:dyDescent="0.4">
      <c r="A4" s="105" t="s">
        <v>580</v>
      </c>
      <c r="B4" t="s">
        <v>581</v>
      </c>
      <c r="D4" s="105" t="s">
        <v>580</v>
      </c>
      <c r="E4" t="s">
        <v>581</v>
      </c>
      <c r="H4"/>
      <c r="I4"/>
      <c r="J4"/>
      <c r="K4"/>
      <c r="L4"/>
      <c r="S4"/>
      <c r="T4"/>
      <c r="U4"/>
      <c r="Y4"/>
      <c r="AA4"/>
      <c r="AB4"/>
      <c r="AN4"/>
      <c r="AR4"/>
    </row>
    <row r="5" spans="1:50" x14ac:dyDescent="0.4">
      <c r="A5" s="105" t="s">
        <v>519</v>
      </c>
      <c r="B5" t="s">
        <v>520</v>
      </c>
      <c r="D5" s="105" t="s">
        <v>582</v>
      </c>
      <c r="E5" t="s">
        <v>583</v>
      </c>
      <c r="H5"/>
      <c r="I5"/>
      <c r="J5"/>
      <c r="K5"/>
      <c r="L5"/>
      <c r="S5"/>
      <c r="T5"/>
      <c r="U5"/>
      <c r="Y5"/>
      <c r="AA5"/>
      <c r="AB5"/>
      <c r="AN5"/>
      <c r="AR5"/>
    </row>
    <row r="6" spans="1:50" x14ac:dyDescent="0.4">
      <c r="A6" s="105" t="s">
        <v>586</v>
      </c>
      <c r="B6" t="s">
        <v>587</v>
      </c>
      <c r="H6"/>
      <c r="I6"/>
      <c r="J6"/>
      <c r="K6"/>
      <c r="L6"/>
      <c r="S6"/>
      <c r="T6"/>
      <c r="U6"/>
      <c r="Y6"/>
      <c r="AA6"/>
      <c r="AB6"/>
      <c r="AN6"/>
      <c r="AR6"/>
    </row>
    <row r="7" spans="1:50" x14ac:dyDescent="0.4">
      <c r="A7" s="105" t="s">
        <v>588</v>
      </c>
      <c r="B7" t="s">
        <v>589</v>
      </c>
      <c r="H7"/>
      <c r="I7"/>
      <c r="J7"/>
      <c r="K7"/>
      <c r="L7"/>
      <c r="S7"/>
      <c r="T7"/>
      <c r="U7"/>
      <c r="Y7"/>
      <c r="AA7"/>
      <c r="AB7"/>
      <c r="AN7"/>
      <c r="AR7"/>
    </row>
    <row r="8" spans="1:50" x14ac:dyDescent="0.4">
      <c r="A8" s="105" t="s">
        <v>590</v>
      </c>
      <c r="B8" t="s">
        <v>591</v>
      </c>
      <c r="H8"/>
      <c r="I8"/>
      <c r="J8"/>
      <c r="K8"/>
      <c r="L8"/>
      <c r="S8"/>
      <c r="T8"/>
      <c r="U8"/>
      <c r="Y8"/>
      <c r="AA8"/>
      <c r="AB8"/>
      <c r="AN8"/>
      <c r="AR8"/>
    </row>
    <row r="9" spans="1:50" x14ac:dyDescent="0.4">
      <c r="A9" s="105" t="s">
        <v>592</v>
      </c>
      <c r="B9" t="s">
        <v>593</v>
      </c>
      <c r="H9"/>
      <c r="I9"/>
      <c r="J9"/>
      <c r="K9"/>
      <c r="L9"/>
      <c r="S9"/>
      <c r="T9"/>
      <c r="U9"/>
      <c r="Y9"/>
      <c r="AA9"/>
      <c r="AB9"/>
      <c r="AN9"/>
      <c r="AR9"/>
    </row>
    <row r="10" spans="1:50" x14ac:dyDescent="0.4">
      <c r="A10" s="105" t="s">
        <v>594</v>
      </c>
      <c r="B10" t="s">
        <v>595</v>
      </c>
      <c r="K10"/>
      <c r="L10"/>
      <c r="S10"/>
      <c r="T10"/>
      <c r="U10"/>
      <c r="Y10"/>
      <c r="AA10"/>
      <c r="AB10"/>
      <c r="AN10"/>
      <c r="AR10"/>
    </row>
    <row r="11" spans="1:50" x14ac:dyDescent="0.4">
      <c r="A11" s="105" t="s">
        <v>596</v>
      </c>
      <c r="B11" t="s">
        <v>597</v>
      </c>
      <c r="K11"/>
      <c r="L11"/>
      <c r="S11"/>
      <c r="T11"/>
      <c r="U11"/>
      <c r="Y11"/>
      <c r="AA11"/>
      <c r="AB11"/>
      <c r="AN11"/>
      <c r="AR11"/>
    </row>
    <row r="12" spans="1:50" x14ac:dyDescent="0.4">
      <c r="A12" s="105" t="s">
        <v>598</v>
      </c>
      <c r="B12" t="s">
        <v>599</v>
      </c>
      <c r="K12"/>
      <c r="L12"/>
      <c r="S12"/>
      <c r="T12"/>
      <c r="U12"/>
      <c r="Y12"/>
      <c r="AA12"/>
      <c r="AB12"/>
      <c r="AN12"/>
      <c r="AR12"/>
    </row>
    <row r="13" spans="1:50" x14ac:dyDescent="0.4">
      <c r="A13" s="105" t="s">
        <v>600</v>
      </c>
      <c r="B13" t="s">
        <v>601</v>
      </c>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79"/>
  <sheetViews>
    <sheetView workbookViewId="0">
      <selection activeCell="Q16" sqref="Q16"/>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178</v>
      </c>
      <c r="N1" t="s">
        <v>311</v>
      </c>
      <c r="O1" s="6" t="s">
        <v>312</v>
      </c>
      <c r="P1" s="6" t="s">
        <v>313</v>
      </c>
      <c r="Q1" s="92" t="s">
        <v>412</v>
      </c>
      <c r="R1" s="92" t="s">
        <v>413</v>
      </c>
      <c r="S1" s="92" t="s">
        <v>142</v>
      </c>
      <c r="T1" s="92" t="s">
        <v>454</v>
      </c>
      <c r="U1" s="92" t="s">
        <v>141</v>
      </c>
      <c r="V1" s="92" t="s">
        <v>414</v>
      </c>
      <c r="W1" s="93" t="s">
        <v>415</v>
      </c>
      <c r="X1" s="94" t="s">
        <v>203</v>
      </c>
      <c r="Y1" s="94" t="s">
        <v>417</v>
      </c>
      <c r="Z1" s="6" t="s">
        <v>143</v>
      </c>
      <c r="AA1" s="6" t="s">
        <v>9</v>
      </c>
      <c r="AB1" t="s">
        <v>137</v>
      </c>
      <c r="AC1" s="14" t="s">
        <v>146</v>
      </c>
      <c r="AD1" s="14" t="s">
        <v>292</v>
      </c>
      <c r="AE1" s="14" t="s">
        <v>455</v>
      </c>
      <c r="AF1" s="21" t="s">
        <v>314</v>
      </c>
      <c r="AG1" s="91" t="s">
        <v>23</v>
      </c>
      <c r="AH1" s="14" t="s">
        <v>315</v>
      </c>
      <c r="AI1" s="14" t="s">
        <v>291</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316</v>
      </c>
      <c r="BA1" s="97" t="s">
        <v>317</v>
      </c>
      <c r="BB1" s="21" t="s">
        <v>318</v>
      </c>
      <c r="BC1" s="21" t="s">
        <v>28</v>
      </c>
      <c r="BD1" s="21" t="s">
        <v>31</v>
      </c>
      <c r="BE1" s="21" t="s">
        <v>29</v>
      </c>
      <c r="BF1" s="21" t="s">
        <v>30</v>
      </c>
      <c r="BG1" s="27" t="s">
        <v>155</v>
      </c>
      <c r="BH1" s="21" t="s">
        <v>156</v>
      </c>
      <c r="BI1" s="21" t="s">
        <v>319</v>
      </c>
      <c r="BJ1" s="21" t="s">
        <v>320</v>
      </c>
      <c r="BK1" s="21" t="s">
        <v>321</v>
      </c>
      <c r="BL1" s="21" t="s">
        <v>32</v>
      </c>
      <c r="BM1" s="21" t="s">
        <v>35</v>
      </c>
      <c r="BN1" s="21" t="s">
        <v>33</v>
      </c>
      <c r="BO1" s="21" t="s">
        <v>34</v>
      </c>
      <c r="BP1" s="30" t="s">
        <v>157</v>
      </c>
      <c r="BQ1" s="21" t="s">
        <v>158</v>
      </c>
      <c r="BR1" s="21" t="s">
        <v>322</v>
      </c>
      <c r="BS1" s="21" t="s">
        <v>323</v>
      </c>
      <c r="BT1" s="21" t="s">
        <v>324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325</v>
      </c>
      <c r="DT1" t="s">
        <v>162</v>
      </c>
      <c r="DU1" t="s">
        <v>177</v>
      </c>
      <c r="DV1" t="s">
        <v>166</v>
      </c>
      <c r="DW1" t="s">
        <v>326</v>
      </c>
      <c r="DX1" t="s">
        <v>164</v>
      </c>
      <c r="DY1" t="s">
        <v>160</v>
      </c>
      <c r="DZ1" t="s">
        <v>161</v>
      </c>
      <c r="EA1" s="22" t="s">
        <v>144</v>
      </c>
      <c r="EB1" t="s">
        <v>145</v>
      </c>
      <c r="EC1" t="s">
        <v>86</v>
      </c>
    </row>
    <row r="2" spans="1:133" hidden="1" x14ac:dyDescent="0.4">
      <c r="A2" s="30">
        <v>36526</v>
      </c>
      <c r="B2" s="22">
        <v>36526</v>
      </c>
      <c r="C2" s="22" t="s">
        <v>391</v>
      </c>
      <c r="D2" s="30" t="s">
        <v>447</v>
      </c>
      <c r="E2" s="30" t="s">
        <v>392</v>
      </c>
      <c r="F2" s="30" t="s">
        <v>448</v>
      </c>
      <c r="G2" s="30" t="s">
        <v>393</v>
      </c>
      <c r="H2" t="s">
        <v>394</v>
      </c>
      <c r="I2" t="s">
        <v>449</v>
      </c>
      <c r="J2" t="s">
        <v>450</v>
      </c>
      <c r="K2" s="22">
        <v>36526</v>
      </c>
      <c r="L2">
        <v>0</v>
      </c>
      <c r="M2" s="26">
        <v>-0.99999998999999995</v>
      </c>
      <c r="N2" t="s">
        <v>328</v>
      </c>
      <c r="O2" t="s">
        <v>328</v>
      </c>
      <c r="P2" t="s">
        <v>328</v>
      </c>
      <c r="Q2" s="29" t="s">
        <v>451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395</v>
      </c>
      <c r="AA2" t="s">
        <v>329</v>
      </c>
      <c r="AB2">
        <v>0</v>
      </c>
      <c r="AC2">
        <v>0</v>
      </c>
      <c r="AD2">
        <v>0</v>
      </c>
      <c r="AE2" t="str">
        <f>IF(RADataTable[[#This Row],[maxScore]]-RADataTable[[#This Row],[minScore]]&gt;4,"Y","")</f>
        <v>Y</v>
      </c>
      <c r="AF2" s="21">
        <v>1</v>
      </c>
      <c r="AG2" s="26">
        <v>4.5</v>
      </c>
      <c r="AH2">
        <v>9</v>
      </c>
      <c r="AI2" t="s">
        <v>330</v>
      </c>
      <c r="AJ2" s="30">
        <v>36526</v>
      </c>
      <c r="AK2" s="13">
        <v>99999999</v>
      </c>
      <c r="AL2" s="13">
        <v>99999999</v>
      </c>
      <c r="AM2">
        <v>0</v>
      </c>
      <c r="AN2" s="30">
        <v>36526</v>
      </c>
      <c r="AO2" s="21">
        <v>36</v>
      </c>
      <c r="AP2" s="21" t="s">
        <v>331</v>
      </c>
      <c r="AQ2">
        <v>0</v>
      </c>
      <c r="AR2" t="s">
        <v>202</v>
      </c>
      <c r="AS2" s="30">
        <v>36526</v>
      </c>
      <c r="AT2" t="s">
        <v>452</v>
      </c>
      <c r="AU2" s="21" t="s">
        <v>332</v>
      </c>
      <c r="AV2" s="21">
        <v>99</v>
      </c>
      <c r="AW2" s="21" t="s">
        <v>333</v>
      </c>
      <c r="AX2" s="30">
        <v>36526</v>
      </c>
      <c r="AY2" s="21" t="s">
        <v>330</v>
      </c>
      <c r="AZ2" s="21" t="s">
        <v>334</v>
      </c>
      <c r="BA2" s="21">
        <v>0</v>
      </c>
      <c r="BB2" s="21">
        <v>0</v>
      </c>
      <c r="BC2" s="21" t="s">
        <v>452</v>
      </c>
      <c r="BD2" s="21" t="s">
        <v>332</v>
      </c>
      <c r="BE2" s="21">
        <v>99</v>
      </c>
      <c r="BF2" s="21" t="s">
        <v>333</v>
      </c>
      <c r="BG2" s="30">
        <v>36526</v>
      </c>
      <c r="BH2" s="21" t="s">
        <v>330</v>
      </c>
      <c r="BI2" s="21" t="s">
        <v>334</v>
      </c>
      <c r="BJ2" s="21">
        <v>0</v>
      </c>
      <c r="BK2" s="21">
        <v>0</v>
      </c>
      <c r="BL2" s="21" t="s">
        <v>452</v>
      </c>
      <c r="BM2" s="21" t="s">
        <v>332</v>
      </c>
      <c r="BN2" s="21">
        <v>99</v>
      </c>
      <c r="BO2" s="21" t="s">
        <v>333</v>
      </c>
      <c r="BP2" s="30">
        <v>36526</v>
      </c>
      <c r="BQ2" s="21" t="s">
        <v>330</v>
      </c>
      <c r="BR2" s="21" t="s">
        <v>334</v>
      </c>
      <c r="BS2" s="21">
        <v>0</v>
      </c>
      <c r="BT2" s="21">
        <v>0</v>
      </c>
      <c r="BU2" t="s">
        <v>329</v>
      </c>
      <c r="BV2" s="21" t="s">
        <v>335</v>
      </c>
      <c r="BW2" s="21" t="s">
        <v>336</v>
      </c>
      <c r="BX2" s="21" t="s">
        <v>337</v>
      </c>
      <c r="BY2" s="31">
        <v>99999999</v>
      </c>
      <c r="BZ2" s="31">
        <v>99999999</v>
      </c>
      <c r="CA2" t="s">
        <v>338</v>
      </c>
      <c r="CB2" s="21" t="s">
        <v>329</v>
      </c>
      <c r="CC2" s="21" t="s">
        <v>335</v>
      </c>
      <c r="CD2" s="21" t="s">
        <v>336</v>
      </c>
      <c r="CE2" s="21" t="s">
        <v>337</v>
      </c>
      <c r="CF2" s="31">
        <v>99999999</v>
      </c>
      <c r="CG2" s="31">
        <v>99999999</v>
      </c>
      <c r="CH2" t="s">
        <v>338</v>
      </c>
      <c r="CI2" s="21" t="s">
        <v>329</v>
      </c>
      <c r="CJ2" s="21" t="s">
        <v>335</v>
      </c>
      <c r="CK2" s="21" t="s">
        <v>336</v>
      </c>
      <c r="CL2" s="21" t="s">
        <v>337</v>
      </c>
      <c r="CM2" s="31">
        <v>99999999</v>
      </c>
      <c r="CN2" s="31">
        <v>99999999</v>
      </c>
      <c r="CO2" t="s">
        <v>338</v>
      </c>
      <c r="CP2" s="21" t="s">
        <v>329</v>
      </c>
      <c r="CQ2" s="21" t="s">
        <v>335</v>
      </c>
      <c r="CR2" s="21" t="s">
        <v>336</v>
      </c>
      <c r="CS2" s="21" t="s">
        <v>337</v>
      </c>
      <c r="CT2" s="31">
        <v>99999999</v>
      </c>
      <c r="CU2" s="31">
        <v>99999999</v>
      </c>
      <c r="CV2" t="s">
        <v>338</v>
      </c>
      <c r="CW2" s="21" t="s">
        <v>329</v>
      </c>
      <c r="CX2" s="21" t="s">
        <v>335</v>
      </c>
      <c r="CY2" s="21" t="s">
        <v>336</v>
      </c>
      <c r="CZ2" s="21" t="s">
        <v>337</v>
      </c>
      <c r="DA2" s="31">
        <v>99999999</v>
      </c>
      <c r="DB2" s="31">
        <v>99999999</v>
      </c>
      <c r="DC2" t="s">
        <v>338</v>
      </c>
      <c r="DD2" s="21" t="s">
        <v>329</v>
      </c>
      <c r="DE2" s="21" t="s">
        <v>335</v>
      </c>
      <c r="DF2" s="21" t="s">
        <v>336</v>
      </c>
      <c r="DG2" s="21" t="s">
        <v>337</v>
      </c>
      <c r="DH2" s="31">
        <v>99999999</v>
      </c>
      <c r="DI2" s="31">
        <v>99999999</v>
      </c>
      <c r="DJ2" t="s">
        <v>338</v>
      </c>
      <c r="DK2" s="21" t="s">
        <v>329</v>
      </c>
      <c r="DL2" s="21" t="s">
        <v>335</v>
      </c>
      <c r="DM2" s="21" t="s">
        <v>336</v>
      </c>
      <c r="DN2" s="21" t="s">
        <v>337</v>
      </c>
      <c r="DO2" s="31">
        <v>99999999</v>
      </c>
      <c r="DP2" s="31">
        <v>99999999</v>
      </c>
      <c r="DQ2" t="s">
        <v>338</v>
      </c>
      <c r="DR2" t="s">
        <v>339</v>
      </c>
      <c r="DS2" t="s">
        <v>340</v>
      </c>
      <c r="DT2" t="s">
        <v>341</v>
      </c>
      <c r="DU2" s="29" t="s">
        <v>396</v>
      </c>
      <c r="DV2" t="s">
        <v>342</v>
      </c>
      <c r="DW2" t="s">
        <v>343</v>
      </c>
      <c r="DX2" t="s">
        <v>344</v>
      </c>
      <c r="DY2" t="s">
        <v>345</v>
      </c>
      <c r="DZ2" t="s">
        <v>346</v>
      </c>
      <c r="EA2" s="22">
        <v>36526</v>
      </c>
      <c r="EB2" t="s">
        <v>347</v>
      </c>
      <c r="EC2" t="s">
        <v>348</v>
      </c>
    </row>
    <row r="3" spans="1:133" x14ac:dyDescent="0.4">
      <c r="A3" s="30"/>
      <c r="B3" s="22">
        <v>42933.820138888892</v>
      </c>
      <c r="C3" s="22" t="s">
        <v>1430</v>
      </c>
      <c r="D3" s="30" t="s">
        <v>477</v>
      </c>
      <c r="E3" s="30" t="s">
        <v>582</v>
      </c>
      <c r="F3" s="30" t="s">
        <v>169</v>
      </c>
      <c r="G3" s="30" t="s">
        <v>171</v>
      </c>
      <c r="H3" t="s">
        <v>94</v>
      </c>
      <c r="I3" t="s">
        <v>1431</v>
      </c>
      <c r="J3" t="s">
        <v>604</v>
      </c>
      <c r="L3">
        <v>1</v>
      </c>
      <c r="M3" s="26">
        <v>1.01</v>
      </c>
      <c r="N3" t="s">
        <v>544</v>
      </c>
      <c r="Q3" s="29" t="s">
        <v>13</v>
      </c>
      <c r="R3" s="29" t="str">
        <f>IFERROR(MID(RADataTable[[#This Row],[RAtemplate]],1,LEN(RADataTable[[#This Row],[RAtemplate]])-8),"RA") &amp; " " &amp; RADataTable[[#This Row],[prop_id0]] &amp; " " &amp; RADataTable[[#This Row],[last0]]</f>
        <v>RA 1749609 Lee</v>
      </c>
      <c r="U3" s="21" t="str">
        <f>IF(signer1="PD",IF(ISBLANK(RADataTable[[#This Row],[sign_blck_name]]),"",RADataTable[[#This Row],[sign_blck_name]]),IF(ISBLANK(signer1),"",signer1))</f>
        <v>Jack Snoeyink</v>
      </c>
      <c r="V3" s="29" t="str">
        <f>signer2</f>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yintat@uw.edu</v>
      </c>
      <c r="Y3" s="15" t="str">
        <f>HYPERLINK("mailto:"&amp;RADataTable[[#This Row],[allPIemail]]&amp;"&amp;subject=NSF Proposal:  "&amp;RADataTable[[#This Row],[Div]]&amp;" "&amp;RADataTable[[#This Row],[prop_id0]], "PIs@")</f>
        <v>PIs@</v>
      </c>
      <c r="Z3" t="s">
        <v>478</v>
      </c>
      <c r="AA3" t="s">
        <v>677</v>
      </c>
      <c r="AB3">
        <v>4</v>
      </c>
      <c r="AC3">
        <v>4</v>
      </c>
      <c r="AD3"/>
      <c r="AE3" s="21" t="str">
        <f>IF(RADataTable[[#This Row],[maxScore]]-RADataTable[[#This Row],[minScore]]&gt;4,"Y","")</f>
        <v/>
      </c>
      <c r="AF3" s="21">
        <v>6</v>
      </c>
      <c r="AG3" s="26">
        <v>8</v>
      </c>
      <c r="AH3">
        <v>9</v>
      </c>
      <c r="AI3" t="s">
        <v>1456</v>
      </c>
      <c r="AJ3" s="30">
        <v>43031.375694444447</v>
      </c>
      <c r="AK3" s="13">
        <v>549841</v>
      </c>
      <c r="AL3" s="13">
        <v>549841</v>
      </c>
      <c r="AM3">
        <v>0</v>
      </c>
      <c r="AN3" s="30">
        <v>43175</v>
      </c>
      <c r="AO3" s="21">
        <v>60</v>
      </c>
      <c r="AP3" s="21" t="s">
        <v>1457</v>
      </c>
      <c r="AS3" s="30"/>
      <c r="AT3" t="s">
        <v>605</v>
      </c>
      <c r="AU3" s="21" t="s">
        <v>543</v>
      </c>
      <c r="AV3" s="21">
        <v>1</v>
      </c>
      <c r="AW3" s="21" t="s">
        <v>1847</v>
      </c>
      <c r="AX3" s="30">
        <v>43032</v>
      </c>
      <c r="AY3" s="21" t="s">
        <v>1860</v>
      </c>
      <c r="AZ3" s="21" t="s">
        <v>1849</v>
      </c>
      <c r="BA3" s="21">
        <v>14</v>
      </c>
      <c r="BB3" s="21">
        <v>3</v>
      </c>
      <c r="BG3" s="30"/>
      <c r="BP3" s="30"/>
      <c r="BU3" t="s">
        <v>677</v>
      </c>
      <c r="BV3" s="21" t="s">
        <v>678</v>
      </c>
      <c r="BW3" s="21" t="s">
        <v>1454</v>
      </c>
      <c r="BX3" s="21" t="s">
        <v>1455</v>
      </c>
      <c r="BY3" s="31">
        <v>549841</v>
      </c>
      <c r="BZ3" s="31">
        <v>549841</v>
      </c>
      <c r="CA3" t="s">
        <v>1432</v>
      </c>
      <c r="CF3" s="31"/>
      <c r="CG3" s="31"/>
      <c r="CM3" s="31"/>
      <c r="CN3" s="31"/>
      <c r="CT3" s="31"/>
      <c r="CU3" s="31"/>
      <c r="CV3" s="31"/>
      <c r="DA3" s="31"/>
      <c r="DB3" s="31"/>
      <c r="DC3" s="31"/>
      <c r="DH3" s="31"/>
      <c r="DI3" s="31"/>
      <c r="DO3" s="31"/>
      <c r="DP3" s="31"/>
      <c r="DR3" t="s">
        <v>1850</v>
      </c>
      <c r="DS3" t="s">
        <v>479</v>
      </c>
      <c r="DT3" t="s">
        <v>583</v>
      </c>
      <c r="DU3" s="29" t="s">
        <v>1851</v>
      </c>
      <c r="DV3" t="s">
        <v>172</v>
      </c>
      <c r="DW3" t="s">
        <v>327</v>
      </c>
      <c r="DX3" t="s">
        <v>170</v>
      </c>
      <c r="DY3" t="s">
        <v>167</v>
      </c>
      <c r="DZ3" t="s">
        <v>168</v>
      </c>
      <c r="EA3" s="22">
        <v>43083.486793981479</v>
      </c>
      <c r="EB3" t="s">
        <v>1458</v>
      </c>
      <c r="EC3" t="s">
        <v>1861</v>
      </c>
    </row>
    <row r="4" spans="1:133" x14ac:dyDescent="0.4">
      <c r="A4" s="30"/>
      <c r="B4" s="22">
        <v>42935.488888888889</v>
      </c>
      <c r="C4" s="22" t="s">
        <v>1430</v>
      </c>
      <c r="D4" s="30" t="s">
        <v>477</v>
      </c>
      <c r="E4" s="30" t="s">
        <v>582</v>
      </c>
      <c r="F4" s="30" t="s">
        <v>169</v>
      </c>
      <c r="G4" s="30" t="s">
        <v>171</v>
      </c>
      <c r="H4" t="s">
        <v>94</v>
      </c>
      <c r="I4" t="s">
        <v>1431</v>
      </c>
      <c r="J4" t="s">
        <v>654</v>
      </c>
      <c r="L4">
        <v>1</v>
      </c>
      <c r="M4" s="26">
        <v>1.01</v>
      </c>
      <c r="N4" t="s">
        <v>544</v>
      </c>
      <c r="Q4" s="29" t="s">
        <v>13</v>
      </c>
      <c r="R4" s="29" t="str">
        <f>IFERROR(MID(RADataTable[[#This Row],[RAtemplate]],1,LEN(RADataTable[[#This Row],[RAtemplate]])-8),"RA") &amp; " " &amp; RADataTable[[#This Row],[prop_id0]] &amp; " " &amp; RADataTable[[#This Row],[last0]]</f>
        <v>RA 1750333 Ene</v>
      </c>
      <c r="U4" s="21" t="str">
        <f>IF(signer1="PD",IF(ISBLANK(RADataTable[[#This Row],[sign_blck_name]]),"",RADataTable[[#This Row],[sign_blck_name]]),IF(ISBLANK(signer1),"",signer1))</f>
        <v>Rahul Shah</v>
      </c>
      <c r="V4" s="29" t="str">
        <f>signer2</f>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aene@bu.edu</v>
      </c>
      <c r="Y4" s="15" t="str">
        <f>HYPERLINK("mailto:"&amp;RADataTable[[#This Row],[allPIemail]]&amp;"&amp;subject=NSF Proposal:  "&amp;RADataTable[[#This Row],[Div]]&amp;" "&amp;RADataTable[[#This Row],[prop_id0]], "PIs@")</f>
        <v>PIs@</v>
      </c>
      <c r="Z4" t="s">
        <v>478</v>
      </c>
      <c r="AA4" t="s">
        <v>868</v>
      </c>
      <c r="AB4">
        <v>4</v>
      </c>
      <c r="AC4">
        <v>4</v>
      </c>
      <c r="AD4"/>
      <c r="AE4" s="21" t="str">
        <f>IF(RADataTable[[#This Row],[maxScore]]-RADataTable[[#This Row],[minScore]]&gt;4,"Y","")</f>
        <v/>
      </c>
      <c r="AF4" s="21">
        <v>5</v>
      </c>
      <c r="AG4" s="26">
        <v>7.5</v>
      </c>
      <c r="AH4">
        <v>9</v>
      </c>
      <c r="AI4" t="s">
        <v>1530</v>
      </c>
      <c r="AJ4" s="30">
        <v>43032.52847222222</v>
      </c>
      <c r="AK4" s="13">
        <v>507423</v>
      </c>
      <c r="AL4" s="13">
        <v>507423</v>
      </c>
      <c r="AM4">
        <v>0</v>
      </c>
      <c r="AN4" s="30">
        <v>43101</v>
      </c>
      <c r="AO4" s="21">
        <v>60</v>
      </c>
      <c r="AP4" s="21" t="s">
        <v>1531</v>
      </c>
      <c r="AS4" s="30"/>
      <c r="AT4" t="s">
        <v>605</v>
      </c>
      <c r="AU4" s="21" t="s">
        <v>543</v>
      </c>
      <c r="AV4" s="21">
        <v>1</v>
      </c>
      <c r="AW4" s="21" t="s">
        <v>1847</v>
      </c>
      <c r="AX4" s="30">
        <v>43032</v>
      </c>
      <c r="AY4" s="21" t="s">
        <v>1894</v>
      </c>
      <c r="AZ4" s="21" t="s">
        <v>1849</v>
      </c>
      <c r="BA4" s="21">
        <v>14</v>
      </c>
      <c r="BB4" s="21">
        <v>1</v>
      </c>
      <c r="BG4" s="30"/>
      <c r="BP4" s="30"/>
      <c r="BU4" t="s">
        <v>868</v>
      </c>
      <c r="BV4" s="21" t="s">
        <v>869</v>
      </c>
      <c r="BW4" s="21" t="s">
        <v>1528</v>
      </c>
      <c r="BX4" s="21" t="s">
        <v>1529</v>
      </c>
      <c r="BY4" s="31">
        <v>507423</v>
      </c>
      <c r="BZ4" s="31">
        <v>507423</v>
      </c>
      <c r="CA4" t="s">
        <v>1432</v>
      </c>
      <c r="CF4" s="31"/>
      <c r="CG4" s="31"/>
      <c r="CM4" s="31"/>
      <c r="CN4" s="31"/>
      <c r="CT4" s="31"/>
      <c r="CU4" s="31"/>
      <c r="CV4" s="31"/>
      <c r="DA4" s="31"/>
      <c r="DB4" s="31"/>
      <c r="DC4" s="31"/>
      <c r="DH4" s="31"/>
      <c r="DI4" s="31"/>
      <c r="DO4" s="31"/>
      <c r="DP4" s="31"/>
      <c r="DR4" t="s">
        <v>1850</v>
      </c>
      <c r="DS4" t="s">
        <v>479</v>
      </c>
      <c r="DT4" t="s">
        <v>583</v>
      </c>
      <c r="DU4" s="29" t="s">
        <v>1856</v>
      </c>
      <c r="DV4" t="s">
        <v>172</v>
      </c>
      <c r="DW4" t="s">
        <v>327</v>
      </c>
      <c r="DX4" t="s">
        <v>170</v>
      </c>
      <c r="DY4" t="s">
        <v>167</v>
      </c>
      <c r="DZ4" t="s">
        <v>168</v>
      </c>
      <c r="EA4" s="22">
        <v>43083.486793981479</v>
      </c>
      <c r="EB4" t="s">
        <v>1532</v>
      </c>
      <c r="EC4" t="s">
        <v>1895</v>
      </c>
    </row>
    <row r="5" spans="1:133" x14ac:dyDescent="0.4">
      <c r="A5" s="30"/>
      <c r="B5" s="22">
        <v>42935.576388888891</v>
      </c>
      <c r="C5" s="22" t="s">
        <v>1430</v>
      </c>
      <c r="D5" s="30" t="s">
        <v>477</v>
      </c>
      <c r="E5" s="30" t="s">
        <v>582</v>
      </c>
      <c r="F5" s="30" t="s">
        <v>169</v>
      </c>
      <c r="G5" s="30" t="s">
        <v>171</v>
      </c>
      <c r="H5" t="s">
        <v>94</v>
      </c>
      <c r="I5" t="s">
        <v>1431</v>
      </c>
      <c r="J5" t="s">
        <v>611</v>
      </c>
      <c r="L5">
        <v>1</v>
      </c>
      <c r="M5" s="26">
        <v>1.01</v>
      </c>
      <c r="N5" t="s">
        <v>544</v>
      </c>
      <c r="Q5" s="29" t="s">
        <v>13</v>
      </c>
      <c r="R5" s="29" t="str">
        <f>IFERROR(MID(RADataTable[[#This Row],[RAtemplate]],1,LEN(RADataTable[[#This Row],[RAtemplate]])-8),"RA") &amp; " " &amp; RADataTable[[#This Row],[prop_id0]] &amp; " " &amp; RADataTable[[#This Row],[last0]]</f>
        <v>RA 1750555 Hardt</v>
      </c>
      <c r="U5" s="21" t="str">
        <f>IF(signer1="PD",IF(ISBLANK(RADataTable[[#This Row],[sign_blck_name]]),"",RADataTable[[#This Row],[sign_blck_name]]),IF(ISBLANK(signer1),"",signer1))</f>
        <v>Tracy J. Kimbrel</v>
      </c>
      <c r="V5" s="29" t="str">
        <f>signer2</f>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 xml:space="preserve"> hardt@eecs.berkeley.edu</v>
      </c>
      <c r="Y5" s="15" t="str">
        <f>HYPERLINK("mailto:"&amp;RADataTable[[#This Row],[allPIemail]]&amp;"&amp;subject=NSF Proposal:  "&amp;RADataTable[[#This Row],[Div]]&amp;" "&amp;RADataTable[[#This Row],[prop_id0]], "PIs@")</f>
        <v>PIs@</v>
      </c>
      <c r="Z5" t="s">
        <v>478</v>
      </c>
      <c r="AA5" t="s">
        <v>936</v>
      </c>
      <c r="AB5">
        <v>4</v>
      </c>
      <c r="AC5">
        <v>4</v>
      </c>
      <c r="AD5"/>
      <c r="AE5" s="21" t="str">
        <f>IF(RADataTable[[#This Row],[maxScore]]-RADataTable[[#This Row],[minScore]]&gt;4,"Y","")</f>
        <v/>
      </c>
      <c r="AF5" s="21">
        <v>8</v>
      </c>
      <c r="AG5" s="26">
        <v>8.75</v>
      </c>
      <c r="AH5">
        <v>9</v>
      </c>
      <c r="AI5" t="s">
        <v>1555</v>
      </c>
      <c r="AJ5" s="30">
        <v>43059.785416666666</v>
      </c>
      <c r="AK5" s="13">
        <v>499434</v>
      </c>
      <c r="AL5" s="13">
        <v>499434</v>
      </c>
      <c r="AM5">
        <v>0</v>
      </c>
      <c r="AN5" s="30">
        <v>43132</v>
      </c>
      <c r="AO5" s="21">
        <v>60</v>
      </c>
      <c r="AP5" s="21" t="s">
        <v>1556</v>
      </c>
      <c r="AS5" s="30"/>
      <c r="AT5" t="s">
        <v>714</v>
      </c>
      <c r="AU5" s="21" t="s">
        <v>543</v>
      </c>
      <c r="AV5" s="21">
        <v>1</v>
      </c>
      <c r="AW5" s="21" t="s">
        <v>1866</v>
      </c>
      <c r="AX5" s="30">
        <v>43060</v>
      </c>
      <c r="AY5" s="21" t="s">
        <v>1906</v>
      </c>
      <c r="AZ5" s="21" t="s">
        <v>1868</v>
      </c>
      <c r="BA5" s="21">
        <v>12</v>
      </c>
      <c r="BG5" s="30"/>
      <c r="BP5" s="30"/>
      <c r="BU5" t="s">
        <v>936</v>
      </c>
      <c r="BV5" s="21" t="s">
        <v>937</v>
      </c>
      <c r="BW5" s="21" t="s">
        <v>1554</v>
      </c>
      <c r="BX5" s="21" t="s">
        <v>501</v>
      </c>
      <c r="BY5" s="31">
        <v>499434</v>
      </c>
      <c r="BZ5" s="31">
        <v>499434</v>
      </c>
      <c r="CA5" t="s">
        <v>1432</v>
      </c>
      <c r="CF5" s="31"/>
      <c r="CG5" s="31"/>
      <c r="CM5" s="31"/>
      <c r="CN5" s="31"/>
      <c r="CT5" s="31"/>
      <c r="CU5" s="31"/>
      <c r="CV5" s="31"/>
      <c r="DA5" s="31"/>
      <c r="DB5" s="31"/>
      <c r="DC5" s="31"/>
      <c r="DH5" s="31"/>
      <c r="DI5" s="31"/>
      <c r="DO5" s="31"/>
      <c r="DP5" s="31"/>
      <c r="DR5" t="s">
        <v>1850</v>
      </c>
      <c r="DS5" t="s">
        <v>479</v>
      </c>
      <c r="DT5" t="s">
        <v>583</v>
      </c>
      <c r="DU5" s="29" t="s">
        <v>1869</v>
      </c>
      <c r="DV5" t="s">
        <v>172</v>
      </c>
      <c r="DW5" t="s">
        <v>327</v>
      </c>
      <c r="DX5" t="s">
        <v>170</v>
      </c>
      <c r="DY5" t="s">
        <v>167</v>
      </c>
      <c r="DZ5" t="s">
        <v>168</v>
      </c>
      <c r="EA5" s="22">
        <v>43083.486793981479</v>
      </c>
      <c r="EB5" t="s">
        <v>1557</v>
      </c>
      <c r="EC5" t="s">
        <v>1907</v>
      </c>
    </row>
    <row r="6" spans="1:133" x14ac:dyDescent="0.4">
      <c r="A6" s="30"/>
      <c r="B6" s="22">
        <v>42935.638888888891</v>
      </c>
      <c r="C6" s="22" t="s">
        <v>1430</v>
      </c>
      <c r="D6" s="30" t="s">
        <v>477</v>
      </c>
      <c r="E6" s="30" t="s">
        <v>582</v>
      </c>
      <c r="F6" s="30" t="s">
        <v>169</v>
      </c>
      <c r="G6" s="30" t="s">
        <v>171</v>
      </c>
      <c r="H6" t="s">
        <v>94</v>
      </c>
      <c r="I6" t="s">
        <v>1431</v>
      </c>
      <c r="J6" t="s">
        <v>654</v>
      </c>
      <c r="L6">
        <v>2</v>
      </c>
      <c r="M6" s="26">
        <v>1.01</v>
      </c>
      <c r="N6" t="s">
        <v>544</v>
      </c>
      <c r="O6" t="s">
        <v>542</v>
      </c>
      <c r="Q6" s="29" t="s">
        <v>13</v>
      </c>
      <c r="R6" s="29" t="str">
        <f>IFERROR(MID(RADataTable[[#This Row],[RAtemplate]],1,LEN(RADataTable[[#This Row],[RAtemplate]])-8),"RA") &amp; " " &amp; RADataTable[[#This Row],[prop_id0]] &amp; " " &amp; RADataTable[[#This Row],[last0]]</f>
        <v>RA 1750808 Haeupler</v>
      </c>
      <c r="U6" s="21" t="str">
        <f>IF(signer1="PD",IF(ISBLANK(RADataTable[[#This Row],[sign_blck_name]]),"",RADataTable[[#This Row],[sign_blck_name]]),IF(ISBLANK(signer1),"",signer1))</f>
        <v>Rahul Shah</v>
      </c>
      <c r="V6" s="29" t="str">
        <f>signer2</f>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haeupler@cs.cmu.edu</v>
      </c>
      <c r="Y6" s="15" t="str">
        <f>HYPERLINK("mailto:"&amp;RADataTable[[#This Row],[allPIemail]]&amp;"&amp;subject=NSF Proposal:  "&amp;RADataTable[[#This Row],[Div]]&amp;" "&amp;RADataTable[[#This Row],[prop_id0]], "PIs@")</f>
        <v>PIs@</v>
      </c>
      <c r="Z6" t="s">
        <v>478</v>
      </c>
      <c r="AA6" t="s">
        <v>979</v>
      </c>
      <c r="AB6">
        <v>8</v>
      </c>
      <c r="AC6">
        <v>4</v>
      </c>
      <c r="AD6"/>
      <c r="AE6" s="21" t="str">
        <f>IF(RADataTable[[#This Row],[maxScore]]-RADataTable[[#This Row],[minScore]]&gt;4,"Y","")</f>
        <v/>
      </c>
      <c r="AF6" s="21">
        <v>5</v>
      </c>
      <c r="AG6" s="26">
        <v>7.75</v>
      </c>
      <c r="AH6">
        <v>9</v>
      </c>
      <c r="AI6" t="s">
        <v>1574</v>
      </c>
      <c r="AJ6" s="30">
        <v>43059.921527777777</v>
      </c>
      <c r="AK6" s="13">
        <v>613868</v>
      </c>
      <c r="AL6" s="13">
        <v>613868</v>
      </c>
      <c r="AM6">
        <v>0</v>
      </c>
      <c r="AN6" s="30">
        <v>43101</v>
      </c>
      <c r="AO6" s="21">
        <v>60</v>
      </c>
      <c r="AP6" s="21" t="s">
        <v>1575</v>
      </c>
      <c r="AS6" s="30"/>
      <c r="AT6" t="s">
        <v>899</v>
      </c>
      <c r="AU6" s="21" t="s">
        <v>543</v>
      </c>
      <c r="AV6" s="21">
        <v>1</v>
      </c>
      <c r="AW6" s="21" t="s">
        <v>1900</v>
      </c>
      <c r="AX6" s="30">
        <v>43046</v>
      </c>
      <c r="AY6" s="21" t="s">
        <v>1914</v>
      </c>
      <c r="AZ6" s="21" t="s">
        <v>1902</v>
      </c>
      <c r="BA6" s="21">
        <v>9</v>
      </c>
      <c r="BC6" s="21" t="s">
        <v>714</v>
      </c>
      <c r="BD6" s="21" t="s">
        <v>541</v>
      </c>
      <c r="BE6" s="21">
        <v>11</v>
      </c>
      <c r="BF6" s="21" t="s">
        <v>1866</v>
      </c>
      <c r="BG6" s="30">
        <v>43060</v>
      </c>
      <c r="BH6" s="21" t="s">
        <v>1915</v>
      </c>
      <c r="BI6" s="21" t="s">
        <v>1868</v>
      </c>
      <c r="BJ6" s="21">
        <v>12</v>
      </c>
      <c r="BK6" s="21">
        <v>1</v>
      </c>
      <c r="BP6" s="30"/>
      <c r="BU6" t="s">
        <v>979</v>
      </c>
      <c r="BV6" s="21" t="s">
        <v>980</v>
      </c>
      <c r="BW6" s="21" t="s">
        <v>1573</v>
      </c>
      <c r="BX6" s="21" t="s">
        <v>497</v>
      </c>
      <c r="BY6" s="31">
        <v>613868</v>
      </c>
      <c r="BZ6" s="31">
        <v>613868</v>
      </c>
      <c r="CA6" t="s">
        <v>1444</v>
      </c>
      <c r="CF6" s="31"/>
      <c r="CG6" s="31"/>
      <c r="CM6" s="31"/>
      <c r="CN6" s="31"/>
      <c r="CT6" s="31"/>
      <c r="CU6" s="31"/>
      <c r="CV6" s="31"/>
      <c r="DA6" s="31"/>
      <c r="DB6" s="31"/>
      <c r="DC6" s="31"/>
      <c r="DH6" s="31"/>
      <c r="DI6" s="31"/>
      <c r="DO6" s="31"/>
      <c r="DP6" s="31"/>
      <c r="DR6" t="s">
        <v>1850</v>
      </c>
      <c r="DS6" t="s">
        <v>479</v>
      </c>
      <c r="DT6" t="s">
        <v>583</v>
      </c>
      <c r="DU6" s="29" t="s">
        <v>1856</v>
      </c>
      <c r="DV6" t="s">
        <v>172</v>
      </c>
      <c r="DW6" t="s">
        <v>327</v>
      </c>
      <c r="DX6" t="s">
        <v>170</v>
      </c>
      <c r="DY6" t="s">
        <v>167</v>
      </c>
      <c r="DZ6" t="s">
        <v>168</v>
      </c>
      <c r="EA6" s="22">
        <v>43083.486793981479</v>
      </c>
      <c r="EB6" t="s">
        <v>1576</v>
      </c>
      <c r="EC6" t="s">
        <v>1916</v>
      </c>
    </row>
    <row r="7" spans="1:133" x14ac:dyDescent="0.4">
      <c r="A7" s="30"/>
      <c r="B7" s="22">
        <v>42950.663888888892</v>
      </c>
      <c r="C7" s="22" t="s">
        <v>1621</v>
      </c>
      <c r="D7" s="30" t="s">
        <v>1622</v>
      </c>
      <c r="E7" s="30" t="s">
        <v>580</v>
      </c>
      <c r="F7" s="30" t="s">
        <v>169</v>
      </c>
      <c r="G7" s="30" t="s">
        <v>171</v>
      </c>
      <c r="H7" t="s">
        <v>94</v>
      </c>
      <c r="I7" t="s">
        <v>1623</v>
      </c>
      <c r="J7" t="s">
        <v>1093</v>
      </c>
      <c r="L7">
        <v>2</v>
      </c>
      <c r="M7" s="26">
        <v>1.01</v>
      </c>
      <c r="N7" t="s">
        <v>309</v>
      </c>
      <c r="O7" t="s">
        <v>544</v>
      </c>
      <c r="Q7" s="29" t="s">
        <v>13</v>
      </c>
      <c r="R7" s="29" t="str">
        <f>IFERROR(MID(RADataTable[[#This Row],[RAtemplate]],1,LEN(RADataTable[[#This Row],[RAtemplate]])-8),"RA") &amp; " " &amp; RADataTable[[#This Row],[prop_id0]] &amp; " " &amp; RADataTable[[#This Row],[last0]]</f>
        <v>RA 1755038 Majumdar</v>
      </c>
      <c r="U7" s="21" t="str">
        <f>IF(signer1="PD",IF(ISBLANK(RADataTable[[#This Row],[sign_blck_name]]),"",RADataTable[[#This Row],[sign_blck_name]]),IF(ISBLANK(signer1),"",signer1))</f>
        <v>Reid Simmons</v>
      </c>
      <c r="V7" s="29" t="str">
        <f>signer2</f>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ani.majumdar@princeton.edu</v>
      </c>
      <c r="Y7" s="15" t="str">
        <f>HYPERLINK("mailto:"&amp;RADataTable[[#This Row],[allPIemail]]&amp;"&amp;subject=NSF Proposal:  "&amp;RADataTable[[#This Row],[Div]]&amp;" "&amp;RADataTable[[#This Row],[prop_id0]], "PIs@")</f>
        <v>PIs@</v>
      </c>
      <c r="Z7" t="s">
        <v>1625</v>
      </c>
      <c r="AA7" t="s">
        <v>1091</v>
      </c>
      <c r="AB7">
        <v>7</v>
      </c>
      <c r="AC7">
        <v>7</v>
      </c>
      <c r="AD7"/>
      <c r="AE7" s="21" t="str">
        <f>IF(RADataTable[[#This Row],[maxScore]]-RADataTable[[#This Row],[minScore]]&gt;4,"Y","")</f>
        <v>Y</v>
      </c>
      <c r="AF7" s="21">
        <v>3</v>
      </c>
      <c r="AG7" s="26">
        <v>5.8571428571428568</v>
      </c>
      <c r="AH7">
        <v>8</v>
      </c>
      <c r="AI7" t="s">
        <v>1627</v>
      </c>
      <c r="AJ7" s="30">
        <v>43073.747916666667</v>
      </c>
      <c r="AK7" s="13">
        <v>175000</v>
      </c>
      <c r="AL7" s="13">
        <v>175000</v>
      </c>
      <c r="AM7">
        <v>0</v>
      </c>
      <c r="AN7" s="30">
        <v>42979</v>
      </c>
      <c r="AO7" s="21">
        <v>24</v>
      </c>
      <c r="AP7" s="21" t="s">
        <v>1628</v>
      </c>
      <c r="AS7" s="30"/>
      <c r="AT7" t="s">
        <v>714</v>
      </c>
      <c r="AU7" s="21" t="s">
        <v>546</v>
      </c>
      <c r="AV7" s="21">
        <v>9</v>
      </c>
      <c r="AW7" s="21" t="s">
        <v>1866</v>
      </c>
      <c r="AX7" s="30">
        <v>43060</v>
      </c>
      <c r="AY7" s="21" t="s">
        <v>570</v>
      </c>
      <c r="AZ7" s="21" t="s">
        <v>1868</v>
      </c>
      <c r="BA7" s="21">
        <v>12</v>
      </c>
      <c r="BC7" s="21" t="s">
        <v>1095</v>
      </c>
      <c r="BD7" s="21" t="s">
        <v>543</v>
      </c>
      <c r="BE7" s="21">
        <v>1</v>
      </c>
      <c r="BF7" s="21" t="s">
        <v>1933</v>
      </c>
      <c r="BG7" s="30">
        <v>43074</v>
      </c>
      <c r="BH7" s="21" t="s">
        <v>1934</v>
      </c>
      <c r="BI7" s="21" t="s">
        <v>1935</v>
      </c>
      <c r="BJ7" s="21">
        <v>8</v>
      </c>
      <c r="BP7" s="30"/>
      <c r="BU7" t="s">
        <v>1091</v>
      </c>
      <c r="BV7" s="21" t="s">
        <v>1092</v>
      </c>
      <c r="BW7" s="21" t="s">
        <v>1626</v>
      </c>
      <c r="BX7" s="21" t="s">
        <v>552</v>
      </c>
      <c r="BY7" s="31">
        <v>175000</v>
      </c>
      <c r="BZ7" s="31">
        <v>175000</v>
      </c>
      <c r="CA7" t="s">
        <v>1624</v>
      </c>
      <c r="CF7" s="31"/>
      <c r="CG7" s="31"/>
      <c r="CM7" s="31"/>
      <c r="CN7" s="31"/>
      <c r="CT7" s="31"/>
      <c r="CU7" s="31"/>
      <c r="CV7" s="31"/>
      <c r="DA7" s="31"/>
      <c r="DB7" s="31"/>
      <c r="DC7" s="31"/>
      <c r="DH7" s="31"/>
      <c r="DI7" s="31"/>
      <c r="DO7" s="31"/>
      <c r="DP7" s="31"/>
      <c r="DR7" t="s">
        <v>1936</v>
      </c>
      <c r="DS7" t="s">
        <v>1937</v>
      </c>
      <c r="DT7" t="s">
        <v>581</v>
      </c>
      <c r="DU7" s="29" t="s">
        <v>1938</v>
      </c>
      <c r="DV7" t="s">
        <v>172</v>
      </c>
      <c r="DW7" t="s">
        <v>327</v>
      </c>
      <c r="DX7" t="s">
        <v>170</v>
      </c>
      <c r="DY7" t="s">
        <v>167</v>
      </c>
      <c r="DZ7" t="s">
        <v>168</v>
      </c>
      <c r="EA7" s="22">
        <v>43083.486793981479</v>
      </c>
      <c r="EB7" t="s">
        <v>1629</v>
      </c>
      <c r="EC7" t="s">
        <v>1939</v>
      </c>
    </row>
    <row r="8" spans="1:133" x14ac:dyDescent="0.4">
      <c r="A8" s="30"/>
      <c r="B8" s="22">
        <v>42956.581944444442</v>
      </c>
      <c r="C8" s="22" t="s">
        <v>1621</v>
      </c>
      <c r="D8" s="30" t="s">
        <v>477</v>
      </c>
      <c r="E8" s="30" t="s">
        <v>578</v>
      </c>
      <c r="F8" s="30" t="s">
        <v>169</v>
      </c>
      <c r="G8" s="30" t="s">
        <v>171</v>
      </c>
      <c r="H8" t="s">
        <v>94</v>
      </c>
      <c r="I8" t="s">
        <v>1630</v>
      </c>
      <c r="J8" t="s">
        <v>654</v>
      </c>
      <c r="L8">
        <v>1</v>
      </c>
      <c r="M8" s="26">
        <v>1.01</v>
      </c>
      <c r="N8" t="s">
        <v>544</v>
      </c>
      <c r="Q8" s="29" t="s">
        <v>13</v>
      </c>
      <c r="R8" s="29" t="str">
        <f>IFERROR(MID(RADataTable[[#This Row],[RAtemplate]],1,LEN(RADataTable[[#This Row],[RAtemplate]])-8),"RA") &amp; " " &amp; RADataTable[[#This Row],[prop_id0]] &amp; " " &amp; RADataTable[[#This Row],[last0]]</f>
        <v>RA 1755791 Goswami</v>
      </c>
      <c r="U8" s="21" t="str">
        <f>IF(signer1="PD",IF(ISBLANK(RADataTable[[#This Row],[sign_blck_name]]),"",RADataTable[[#This Row],[sign_blck_name]]),IF(ISBLANK(signer1),"",signer1))</f>
        <v>Rahul Shah</v>
      </c>
      <c r="V8" s="29" t="str">
        <f>signer2</f>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Mayank.Goswami@qc.cuny.edu</v>
      </c>
      <c r="Y8" s="15" t="str">
        <f>HYPERLINK("mailto:"&amp;RADataTable[[#This Row],[allPIemail]]&amp;"&amp;subject=NSF Proposal:  "&amp;RADataTable[[#This Row],[Div]]&amp;" "&amp;RADataTable[[#This Row],[prop_id0]], "PIs@")</f>
        <v>PIs@</v>
      </c>
      <c r="Z8" t="s">
        <v>478</v>
      </c>
      <c r="AA8" t="s">
        <v>1155</v>
      </c>
      <c r="AB8">
        <v>3</v>
      </c>
      <c r="AC8">
        <v>3</v>
      </c>
      <c r="AD8"/>
      <c r="AE8" s="21" t="str">
        <f>IF(RADataTable[[#This Row],[maxScore]]-RADataTable[[#This Row],[minScore]]&gt;4,"Y","")</f>
        <v/>
      </c>
      <c r="AF8" s="21">
        <v>7</v>
      </c>
      <c r="AG8" s="26">
        <v>7</v>
      </c>
      <c r="AH8">
        <v>7</v>
      </c>
      <c r="AI8" t="s">
        <v>1657</v>
      </c>
      <c r="AJ8" s="30">
        <v>43031.369444444441</v>
      </c>
      <c r="AK8" s="13">
        <v>175000</v>
      </c>
      <c r="AL8" s="13">
        <v>175000</v>
      </c>
      <c r="AM8">
        <v>0</v>
      </c>
      <c r="AN8" s="30">
        <v>43344</v>
      </c>
      <c r="AO8" s="21">
        <v>24</v>
      </c>
      <c r="AP8" s="21" t="s">
        <v>1658</v>
      </c>
      <c r="AS8" s="30"/>
      <c r="AT8" t="s">
        <v>605</v>
      </c>
      <c r="AU8" s="21" t="s">
        <v>543</v>
      </c>
      <c r="AV8" s="21">
        <v>1</v>
      </c>
      <c r="AW8" s="21" t="s">
        <v>1847</v>
      </c>
      <c r="AX8" s="30">
        <v>43032</v>
      </c>
      <c r="AY8" s="21" t="s">
        <v>1949</v>
      </c>
      <c r="AZ8" s="21" t="s">
        <v>1849</v>
      </c>
      <c r="BA8" s="21">
        <v>14</v>
      </c>
      <c r="BB8" s="21">
        <v>1</v>
      </c>
      <c r="BG8" s="30"/>
      <c r="BP8" s="30"/>
      <c r="BU8" t="s">
        <v>1155</v>
      </c>
      <c r="BV8" s="21" t="s">
        <v>1156</v>
      </c>
      <c r="BW8" s="21" t="s">
        <v>1655</v>
      </c>
      <c r="BX8" s="21" t="s">
        <v>1656</v>
      </c>
      <c r="BY8" s="31">
        <v>175000</v>
      </c>
      <c r="BZ8" s="31">
        <v>175000</v>
      </c>
      <c r="CA8" t="s">
        <v>1631</v>
      </c>
      <c r="CF8" s="31"/>
      <c r="CG8" s="31"/>
      <c r="CM8" s="31"/>
      <c r="CN8" s="31"/>
      <c r="CT8" s="31"/>
      <c r="CU8" s="31"/>
      <c r="CV8" s="31"/>
      <c r="DA8" s="31"/>
      <c r="DB8" s="31"/>
      <c r="DC8" s="31"/>
      <c r="DH8" s="31"/>
      <c r="DI8" s="31"/>
      <c r="DO8" s="31"/>
      <c r="DP8" s="31"/>
      <c r="DR8" t="s">
        <v>1936</v>
      </c>
      <c r="DS8" t="s">
        <v>479</v>
      </c>
      <c r="DT8" t="s">
        <v>579</v>
      </c>
      <c r="DU8" s="29" t="s">
        <v>1856</v>
      </c>
      <c r="DV8" t="s">
        <v>172</v>
      </c>
      <c r="DW8" t="s">
        <v>327</v>
      </c>
      <c r="DX8" t="s">
        <v>170</v>
      </c>
      <c r="DY8" t="s">
        <v>167</v>
      </c>
      <c r="DZ8" t="s">
        <v>168</v>
      </c>
      <c r="EA8" s="22">
        <v>43083.486793981479</v>
      </c>
      <c r="EB8" t="s">
        <v>1659</v>
      </c>
      <c r="EC8" t="s">
        <v>1950</v>
      </c>
    </row>
    <row r="9" spans="1:133" x14ac:dyDescent="0.4">
      <c r="A9" s="30"/>
      <c r="B9" s="22">
        <v>42956.678472222222</v>
      </c>
      <c r="C9" s="22" t="s">
        <v>1621</v>
      </c>
      <c r="D9" s="30" t="s">
        <v>477</v>
      </c>
      <c r="E9" s="30" t="s">
        <v>578</v>
      </c>
      <c r="F9" s="30" t="s">
        <v>169</v>
      </c>
      <c r="G9" s="30" t="s">
        <v>171</v>
      </c>
      <c r="H9" t="s">
        <v>94</v>
      </c>
      <c r="I9" t="s">
        <v>1630</v>
      </c>
      <c r="J9" t="s">
        <v>611</v>
      </c>
      <c r="L9">
        <v>1</v>
      </c>
      <c r="M9" s="26">
        <v>1.01</v>
      </c>
      <c r="N9" t="s">
        <v>544</v>
      </c>
      <c r="Q9" s="29" t="s">
        <v>13</v>
      </c>
      <c r="R9" s="29" t="str">
        <f>IFERROR(MID(RADataTable[[#This Row],[RAtemplate]],1,LEN(RADataTable[[#This Row],[RAtemplate]])-8),"RA") &amp; " " &amp; RADataTable[[#This Row],[prop_id0]] &amp; " " &amp; RADataTable[[#This Row],[last0]]</f>
        <v>RA 1755921 Forbes</v>
      </c>
      <c r="U9" s="21" t="str">
        <f>IF(signer1="PD",IF(ISBLANK(RADataTable[[#This Row],[sign_blck_name]]),"",RADataTable[[#This Row],[sign_blck_name]]),IF(ISBLANK(signer1),"",signer1))</f>
        <v>Tracy J. Kimbrel</v>
      </c>
      <c r="V9" s="29" t="str">
        <f>signer2</f>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miforbes@illinois.edu</v>
      </c>
      <c r="Y9" s="15" t="str">
        <f>HYPERLINK("mailto:"&amp;RADataTable[[#This Row],[allPIemail]]&amp;"&amp;subject=NSF Proposal:  "&amp;RADataTable[[#This Row],[Div]]&amp;" "&amp;RADataTable[[#This Row],[prop_id0]], "PIs@")</f>
        <v>PIs@</v>
      </c>
      <c r="Z9" t="s">
        <v>478</v>
      </c>
      <c r="AA9" t="s">
        <v>1217</v>
      </c>
      <c r="AB9">
        <v>3</v>
      </c>
      <c r="AC9">
        <v>3</v>
      </c>
      <c r="AD9"/>
      <c r="AE9" s="21" t="str">
        <f>IF(RADataTable[[#This Row],[maxScore]]-RADataTable[[#This Row],[minScore]]&gt;4,"Y","")</f>
        <v/>
      </c>
      <c r="AF9" s="21">
        <v>8</v>
      </c>
      <c r="AG9" s="26">
        <v>8.6666666666666661</v>
      </c>
      <c r="AH9">
        <v>9</v>
      </c>
      <c r="AI9" t="s">
        <v>1681</v>
      </c>
      <c r="AJ9" s="30">
        <v>43060.395833333336</v>
      </c>
      <c r="AK9" s="13">
        <v>175000</v>
      </c>
      <c r="AL9" s="13">
        <v>175000</v>
      </c>
      <c r="AM9">
        <v>0</v>
      </c>
      <c r="AN9" s="30">
        <v>43101</v>
      </c>
      <c r="AO9" s="21">
        <v>24</v>
      </c>
      <c r="AP9" s="21" t="s">
        <v>1682</v>
      </c>
      <c r="AS9" s="30"/>
      <c r="AT9" t="s">
        <v>714</v>
      </c>
      <c r="AU9" s="21" t="s">
        <v>543</v>
      </c>
      <c r="AV9" s="21">
        <v>1</v>
      </c>
      <c r="AW9" s="21" t="s">
        <v>1866</v>
      </c>
      <c r="AX9" s="30">
        <v>43060</v>
      </c>
      <c r="AY9" s="21" t="s">
        <v>1963</v>
      </c>
      <c r="AZ9" s="21" t="s">
        <v>1868</v>
      </c>
      <c r="BA9" s="21">
        <v>12</v>
      </c>
      <c r="BG9" s="30"/>
      <c r="BP9" s="30"/>
      <c r="BU9" t="s">
        <v>1217</v>
      </c>
      <c r="BV9" s="21" t="s">
        <v>1218</v>
      </c>
      <c r="BW9" s="21" t="s">
        <v>1524</v>
      </c>
      <c r="BX9" s="21" t="s">
        <v>1477</v>
      </c>
      <c r="BY9" s="31">
        <v>175000</v>
      </c>
      <c r="BZ9" s="31">
        <v>175000</v>
      </c>
      <c r="CA9" t="s">
        <v>1680</v>
      </c>
      <c r="CF9" s="31"/>
      <c r="CG9" s="31"/>
      <c r="CM9" s="31"/>
      <c r="CN9" s="31"/>
      <c r="CT9" s="31"/>
      <c r="CU9" s="31"/>
      <c r="CV9" s="31"/>
      <c r="DA9" s="31"/>
      <c r="DB9" s="31"/>
      <c r="DC9" s="31"/>
      <c r="DH9" s="31"/>
      <c r="DI9" s="31"/>
      <c r="DO9" s="31"/>
      <c r="DP9" s="31"/>
      <c r="DR9" t="s">
        <v>1936</v>
      </c>
      <c r="DS9" t="s">
        <v>479</v>
      </c>
      <c r="DT9" t="s">
        <v>579</v>
      </c>
      <c r="DU9" s="29" t="s">
        <v>1869</v>
      </c>
      <c r="DV9" t="s">
        <v>172</v>
      </c>
      <c r="DW9" t="s">
        <v>327</v>
      </c>
      <c r="DX9" t="s">
        <v>170</v>
      </c>
      <c r="DY9" t="s">
        <v>167</v>
      </c>
      <c r="DZ9" t="s">
        <v>168</v>
      </c>
      <c r="EA9" s="22">
        <v>43083.486793981479</v>
      </c>
      <c r="EB9" t="s">
        <v>1683</v>
      </c>
      <c r="EC9" t="s">
        <v>1964</v>
      </c>
    </row>
    <row r="10" spans="1:133" x14ac:dyDescent="0.4">
      <c r="A10" s="30"/>
      <c r="B10" s="22">
        <v>43005.686805555553</v>
      </c>
      <c r="C10" s="22" t="s">
        <v>524</v>
      </c>
      <c r="D10" s="30" t="s">
        <v>477</v>
      </c>
      <c r="E10" s="30" t="s">
        <v>582</v>
      </c>
      <c r="F10" s="30" t="s">
        <v>169</v>
      </c>
      <c r="G10" s="30" t="s">
        <v>171</v>
      </c>
      <c r="H10" t="s">
        <v>94</v>
      </c>
      <c r="I10" t="s">
        <v>525</v>
      </c>
      <c r="J10" t="s">
        <v>654</v>
      </c>
      <c r="L10">
        <v>1</v>
      </c>
      <c r="M10" s="26">
        <v>1.01</v>
      </c>
      <c r="N10" t="s">
        <v>544</v>
      </c>
      <c r="Q10" s="29" t="s">
        <v>13</v>
      </c>
      <c r="R10" s="29" t="str">
        <f>IFERROR(MID(RADataTable[[#This Row],[RAtemplate]],1,LEN(RADataTable[[#This Row],[RAtemplate]])-8),"RA") &amp; " " &amp; RADataTable[[#This Row],[prop_id0]] &amp; " " &amp; RADataTable[[#This Row],[last0]]</f>
        <v>RA 1763970 Papadimitriou</v>
      </c>
      <c r="U10" s="21" t="str">
        <f>IF(signer1="PD",IF(ISBLANK(RADataTable[[#This Row],[sign_blck_name]]),"",RADataTable[[#This Row],[sign_blck_name]]),IF(ISBLANK(signer1),"",signer1))</f>
        <v>Rahul Shah</v>
      </c>
      <c r="V10" s="29" t="str">
        <f>signer2</f>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christos@cs.berkeley.edu</v>
      </c>
      <c r="Y10" s="15" t="str">
        <f>HYPERLINK("mailto:"&amp;RADataTable[[#This Row],[allPIemail]]&amp;"&amp;subject=NSF Proposal:  "&amp;RADataTable[[#This Row],[Div]]&amp;" "&amp;RADataTable[[#This Row],[prop_id0]], "PIs@")</f>
        <v>PIs@</v>
      </c>
      <c r="Z10" t="s">
        <v>478</v>
      </c>
      <c r="AA10" t="s">
        <v>1395</v>
      </c>
      <c r="AB10">
        <v>4</v>
      </c>
      <c r="AC10">
        <v>4</v>
      </c>
      <c r="AD10"/>
      <c r="AE10" s="21" t="str">
        <f>IF(RADataTable[[#This Row],[maxScore]]-RADataTable[[#This Row],[minScore]]&gt;4,"Y","")</f>
        <v/>
      </c>
      <c r="AF10" s="21">
        <v>7</v>
      </c>
      <c r="AG10" s="26">
        <v>8.5</v>
      </c>
      <c r="AH10">
        <v>9</v>
      </c>
      <c r="AI10" t="s">
        <v>1819</v>
      </c>
      <c r="AJ10" s="30">
        <v>43080.079861111109</v>
      </c>
      <c r="AK10" s="13">
        <v>1200000</v>
      </c>
      <c r="AL10" s="13">
        <v>1200000</v>
      </c>
      <c r="AM10">
        <v>0</v>
      </c>
      <c r="AN10" s="30">
        <v>43221</v>
      </c>
      <c r="AO10" s="21">
        <v>48</v>
      </c>
      <c r="AP10" s="21" t="s">
        <v>1820</v>
      </c>
      <c r="AQ10">
        <v>1</v>
      </c>
      <c r="AR10" t="s">
        <v>1995</v>
      </c>
      <c r="AS10" s="30">
        <v>43074.972222222219</v>
      </c>
      <c r="AT10" t="s">
        <v>1262</v>
      </c>
      <c r="AU10" s="21" t="s">
        <v>543</v>
      </c>
      <c r="AV10" s="21">
        <v>1</v>
      </c>
      <c r="AW10" s="21" t="s">
        <v>1971</v>
      </c>
      <c r="AX10" s="30">
        <v>43081</v>
      </c>
      <c r="AY10" s="21" t="s">
        <v>1996</v>
      </c>
      <c r="AZ10" s="21" t="s">
        <v>1973</v>
      </c>
      <c r="BA10" s="21">
        <v>9</v>
      </c>
      <c r="BB10" s="21">
        <v>1</v>
      </c>
      <c r="BG10" s="30"/>
      <c r="BP10" s="30"/>
      <c r="BU10" t="s">
        <v>1395</v>
      </c>
      <c r="BV10" s="21" t="s">
        <v>1396</v>
      </c>
      <c r="BW10" s="21" t="s">
        <v>1818</v>
      </c>
      <c r="BX10" s="21" t="s">
        <v>1472</v>
      </c>
      <c r="BY10" s="31">
        <v>1200000</v>
      </c>
      <c r="BZ10" s="31">
        <v>1200000</v>
      </c>
      <c r="CA10" t="s">
        <v>1817</v>
      </c>
      <c r="CF10" s="31"/>
      <c r="CG10" s="31"/>
      <c r="CM10" s="31"/>
      <c r="CN10" s="31"/>
      <c r="CT10" s="31"/>
      <c r="CU10" s="31"/>
      <c r="CV10" s="31"/>
      <c r="DA10" s="31"/>
      <c r="DB10" s="31"/>
      <c r="DC10" s="31"/>
      <c r="DH10" s="31"/>
      <c r="DI10" s="31"/>
      <c r="DO10" s="31"/>
      <c r="DP10" s="31"/>
      <c r="DR10" t="s">
        <v>529</v>
      </c>
      <c r="DS10" t="s">
        <v>479</v>
      </c>
      <c r="DT10" t="s">
        <v>583</v>
      </c>
      <c r="DU10" s="29" t="s">
        <v>1856</v>
      </c>
      <c r="DV10" t="s">
        <v>172</v>
      </c>
      <c r="DW10" t="s">
        <v>327</v>
      </c>
      <c r="DX10" t="s">
        <v>170</v>
      </c>
      <c r="DY10" t="s">
        <v>167</v>
      </c>
      <c r="DZ10" t="s">
        <v>168</v>
      </c>
      <c r="EA10" s="22">
        <v>43083.486793981479</v>
      </c>
      <c r="EB10" t="s">
        <v>1821</v>
      </c>
      <c r="EC10" t="s">
        <v>1997</v>
      </c>
    </row>
    <row r="11" spans="1:133" x14ac:dyDescent="0.4">
      <c r="A11" s="30"/>
      <c r="B11" s="22">
        <v>42935.599305555559</v>
      </c>
      <c r="C11" s="22" t="s">
        <v>1430</v>
      </c>
      <c r="D11" s="30" t="s">
        <v>477</v>
      </c>
      <c r="E11" s="30" t="s">
        <v>582</v>
      </c>
      <c r="F11" s="30" t="s">
        <v>169</v>
      </c>
      <c r="G11" s="30" t="s">
        <v>171</v>
      </c>
      <c r="H11" t="s">
        <v>94</v>
      </c>
      <c r="I11" t="s">
        <v>1431</v>
      </c>
      <c r="J11" t="s">
        <v>611</v>
      </c>
      <c r="L11">
        <v>1</v>
      </c>
      <c r="M11" s="26">
        <v>1.02</v>
      </c>
      <c r="N11" t="s">
        <v>544</v>
      </c>
      <c r="Q11" s="29" t="s">
        <v>13</v>
      </c>
      <c r="R11" s="29" t="str">
        <f>IFERROR(MID(RADataTable[[#This Row],[RAtemplate]],1,LEN(RADataTable[[#This Row],[RAtemplate]])-8),"RA") &amp; " " &amp; RADataTable[[#This Row],[prop_id0]] &amp; " " &amp; RADataTable[[#This Row],[last0]]</f>
        <v>RA 1750640 Ullman</v>
      </c>
      <c r="U11" s="21" t="str">
        <f>IF(signer1="PD",IF(ISBLANK(RADataTable[[#This Row],[sign_blck_name]]),"",RADataTable[[#This Row],[sign_blck_name]]),IF(ISBLANK(signer1),"",signer1))</f>
        <v>Tracy J. Kimbrel</v>
      </c>
      <c r="V11" s="29" t="str">
        <f>signer2</f>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jullman@ccs.neu.edu</v>
      </c>
      <c r="Y11" s="15" t="str">
        <f>HYPERLINK("mailto:"&amp;RADataTable[[#This Row],[allPIemail]]&amp;"&amp;subject=NSF Proposal:  "&amp;RADataTable[[#This Row],[Div]]&amp;" "&amp;RADataTable[[#This Row],[prop_id0]], "PIs@")</f>
        <v>PIs@</v>
      </c>
      <c r="Z11" t="s">
        <v>478</v>
      </c>
      <c r="AA11" t="s">
        <v>944</v>
      </c>
      <c r="AB11">
        <v>4</v>
      </c>
      <c r="AC11">
        <v>4</v>
      </c>
      <c r="AD11"/>
      <c r="AE11" s="21" t="str">
        <f>IF(RADataTable[[#This Row],[maxScore]]-RADataTable[[#This Row],[minScore]]&gt;4,"Y","")</f>
        <v/>
      </c>
      <c r="AF11" s="21">
        <v>8</v>
      </c>
      <c r="AG11" s="26">
        <v>8.5</v>
      </c>
      <c r="AH11">
        <v>9</v>
      </c>
      <c r="AI11" t="s">
        <v>551</v>
      </c>
      <c r="AJ11" s="30">
        <v>43059.227083333331</v>
      </c>
      <c r="AK11" s="13">
        <v>545883</v>
      </c>
      <c r="AL11" s="13">
        <v>545883</v>
      </c>
      <c r="AM11">
        <v>0</v>
      </c>
      <c r="AN11" s="30">
        <v>43282</v>
      </c>
      <c r="AO11" s="21">
        <v>60</v>
      </c>
      <c r="AP11" s="21" t="s">
        <v>1559</v>
      </c>
      <c r="AS11" s="30"/>
      <c r="AT11" t="s">
        <v>714</v>
      </c>
      <c r="AU11" s="21" t="s">
        <v>543</v>
      </c>
      <c r="AV11" s="21">
        <v>2</v>
      </c>
      <c r="AW11" s="21" t="s">
        <v>1866</v>
      </c>
      <c r="AX11" s="30">
        <v>43060</v>
      </c>
      <c r="AY11" s="21" t="s">
        <v>568</v>
      </c>
      <c r="AZ11" s="21" t="s">
        <v>1868</v>
      </c>
      <c r="BA11" s="21">
        <v>12</v>
      </c>
      <c r="BG11" s="30"/>
      <c r="BP11" s="30"/>
      <c r="BU11" t="s">
        <v>944</v>
      </c>
      <c r="BV11" s="21" t="s">
        <v>945</v>
      </c>
      <c r="BW11" s="21" t="s">
        <v>1558</v>
      </c>
      <c r="BX11" s="21" t="s">
        <v>502</v>
      </c>
      <c r="BY11" s="31">
        <v>545883</v>
      </c>
      <c r="BZ11" s="31">
        <v>545883</v>
      </c>
      <c r="CA11" t="s">
        <v>1432</v>
      </c>
      <c r="CF11" s="31"/>
      <c r="CG11" s="31"/>
      <c r="CM11" s="31"/>
      <c r="CN11" s="31"/>
      <c r="CT11" s="31"/>
      <c r="CU11" s="31"/>
      <c r="CV11" s="31"/>
      <c r="DA11" s="31"/>
      <c r="DB11" s="31"/>
      <c r="DC11" s="31"/>
      <c r="DH11" s="31"/>
      <c r="DI11" s="31"/>
      <c r="DO11" s="31"/>
      <c r="DP11" s="31"/>
      <c r="DR11" t="s">
        <v>1850</v>
      </c>
      <c r="DS11" t="s">
        <v>479</v>
      </c>
      <c r="DT11" t="s">
        <v>583</v>
      </c>
      <c r="DU11" s="29" t="s">
        <v>1869</v>
      </c>
      <c r="DV11" t="s">
        <v>172</v>
      </c>
      <c r="DW11" t="s">
        <v>327</v>
      </c>
      <c r="DX11" t="s">
        <v>170</v>
      </c>
      <c r="DY11" t="s">
        <v>167</v>
      </c>
      <c r="DZ11" t="s">
        <v>168</v>
      </c>
      <c r="EA11" s="22">
        <v>43083.486793981479</v>
      </c>
      <c r="EB11" t="s">
        <v>1560</v>
      </c>
      <c r="EC11" t="s">
        <v>1908</v>
      </c>
    </row>
    <row r="12" spans="1:133" x14ac:dyDescent="0.4">
      <c r="A12" s="30"/>
      <c r="B12" s="22">
        <v>42935.620138888888</v>
      </c>
      <c r="C12" s="22" t="s">
        <v>1430</v>
      </c>
      <c r="D12" s="30" t="s">
        <v>477</v>
      </c>
      <c r="E12" s="30" t="s">
        <v>582</v>
      </c>
      <c r="F12" s="30" t="s">
        <v>169</v>
      </c>
      <c r="G12" s="30" t="s">
        <v>171</v>
      </c>
      <c r="H12" t="s">
        <v>94</v>
      </c>
      <c r="I12" t="s">
        <v>1431</v>
      </c>
      <c r="J12" t="s">
        <v>654</v>
      </c>
      <c r="L12">
        <v>1</v>
      </c>
      <c r="M12" s="26">
        <v>1.02</v>
      </c>
      <c r="N12" t="s">
        <v>544</v>
      </c>
      <c r="Q12" s="29" t="s">
        <v>13</v>
      </c>
      <c r="R12" s="29" t="str">
        <f>IFERROR(MID(RADataTable[[#This Row],[RAtemplate]],1,LEN(RADataTable[[#This Row],[RAtemplate]])-8),"RA") &amp; " " &amp; RADataTable[[#This Row],[prop_id0]] &amp; " " &amp; RADataTable[[#This Row],[last0]]</f>
        <v>RA 1750716 Nguyen</v>
      </c>
      <c r="U12" s="21" t="str">
        <f>IF(signer1="PD",IF(ISBLANK(RADataTable[[#This Row],[sign_blck_name]]),"",RADataTable[[#This Row],[sign_blck_name]]),IF(ISBLANK(signer1),"",signer1))</f>
        <v>Rahul Shah</v>
      </c>
      <c r="V12" s="29" t="str">
        <f>signer2</f>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hu.nguyen@neu.edu</v>
      </c>
      <c r="Y12" s="15" t="str">
        <f>HYPERLINK("mailto:"&amp;RADataTable[[#This Row],[allPIemail]]&amp;"&amp;subject=NSF Proposal:  "&amp;RADataTable[[#This Row],[Div]]&amp;" "&amp;RADataTable[[#This Row],[prop_id0]], "PIs@")</f>
        <v>PIs@</v>
      </c>
      <c r="Z12" t="s">
        <v>478</v>
      </c>
      <c r="AA12" t="s">
        <v>961</v>
      </c>
      <c r="AB12">
        <v>4</v>
      </c>
      <c r="AC12">
        <v>4</v>
      </c>
      <c r="AD12"/>
      <c r="AE12" s="21" t="str">
        <f>IF(RADataTable[[#This Row],[maxScore]]-RADataTable[[#This Row],[minScore]]&gt;4,"Y","")</f>
        <v/>
      </c>
      <c r="AF12" s="21">
        <v>6</v>
      </c>
      <c r="AG12" s="26">
        <v>7.5</v>
      </c>
      <c r="AH12">
        <v>9</v>
      </c>
      <c r="AI12" t="s">
        <v>1567</v>
      </c>
      <c r="AJ12" s="30">
        <v>43059.929166666669</v>
      </c>
      <c r="AK12" s="13">
        <v>551453</v>
      </c>
      <c r="AL12" s="13">
        <v>551453</v>
      </c>
      <c r="AM12">
        <v>0</v>
      </c>
      <c r="AN12" s="30">
        <v>43252</v>
      </c>
      <c r="AO12" s="21">
        <v>60</v>
      </c>
      <c r="AP12" s="21" t="s">
        <v>1568</v>
      </c>
      <c r="AS12" s="30"/>
      <c r="AT12" t="s">
        <v>714</v>
      </c>
      <c r="AU12" s="21" t="s">
        <v>543</v>
      </c>
      <c r="AV12" s="21">
        <v>2</v>
      </c>
      <c r="AW12" s="21" t="s">
        <v>1866</v>
      </c>
      <c r="AX12" s="30">
        <v>43060</v>
      </c>
      <c r="AY12" s="21" t="s">
        <v>1911</v>
      </c>
      <c r="AZ12" s="21" t="s">
        <v>1868</v>
      </c>
      <c r="BA12" s="21">
        <v>12</v>
      </c>
      <c r="BG12" s="30"/>
      <c r="BP12" s="30"/>
      <c r="BU12" t="s">
        <v>961</v>
      </c>
      <c r="BV12" s="21" t="s">
        <v>489</v>
      </c>
      <c r="BW12" s="21" t="s">
        <v>1566</v>
      </c>
      <c r="BX12" s="21" t="s">
        <v>502</v>
      </c>
      <c r="BY12" s="31">
        <v>551453</v>
      </c>
      <c r="BZ12" s="31">
        <v>551453</v>
      </c>
      <c r="CA12" t="s">
        <v>1432</v>
      </c>
      <c r="CF12" s="31"/>
      <c r="CG12" s="31"/>
      <c r="CM12" s="31"/>
      <c r="CN12" s="31"/>
      <c r="CT12" s="31"/>
      <c r="CU12" s="31"/>
      <c r="CV12" s="31"/>
      <c r="DA12" s="31"/>
      <c r="DB12" s="31"/>
      <c r="DC12" s="31"/>
      <c r="DH12" s="31"/>
      <c r="DI12" s="31"/>
      <c r="DO12" s="31"/>
      <c r="DP12" s="31"/>
      <c r="DR12" t="s">
        <v>1850</v>
      </c>
      <c r="DS12" t="s">
        <v>479</v>
      </c>
      <c r="DT12" t="s">
        <v>583</v>
      </c>
      <c r="DU12" s="29" t="s">
        <v>1856</v>
      </c>
      <c r="DV12" t="s">
        <v>172</v>
      </c>
      <c r="DW12" t="s">
        <v>327</v>
      </c>
      <c r="DX12" t="s">
        <v>170</v>
      </c>
      <c r="DY12" t="s">
        <v>167</v>
      </c>
      <c r="DZ12" t="s">
        <v>168</v>
      </c>
      <c r="EA12" s="22">
        <v>43083.486793981479</v>
      </c>
      <c r="EB12" t="s">
        <v>1569</v>
      </c>
      <c r="EC12" t="s">
        <v>1912</v>
      </c>
    </row>
    <row r="13" spans="1:133" x14ac:dyDescent="0.4">
      <c r="A13" s="30"/>
      <c r="B13" s="22">
        <v>42955.700694444444</v>
      </c>
      <c r="C13" s="22" t="s">
        <v>1621</v>
      </c>
      <c r="D13" s="30" t="s">
        <v>477</v>
      </c>
      <c r="E13" s="30" t="s">
        <v>578</v>
      </c>
      <c r="F13" s="30" t="s">
        <v>169</v>
      </c>
      <c r="G13" s="30" t="s">
        <v>171</v>
      </c>
      <c r="H13" t="s">
        <v>94</v>
      </c>
      <c r="I13" t="s">
        <v>1630</v>
      </c>
      <c r="J13" t="s">
        <v>611</v>
      </c>
      <c r="L13">
        <v>1</v>
      </c>
      <c r="M13" s="26">
        <v>1.02</v>
      </c>
      <c r="N13" t="s">
        <v>544</v>
      </c>
      <c r="Q13" s="29" t="s">
        <v>13</v>
      </c>
      <c r="R13" s="29" t="str">
        <f>IFERROR(MID(RADataTable[[#This Row],[RAtemplate]],1,LEN(RADataTable[[#This Row],[RAtemplate]])-8),"RA") &amp; " " &amp; RADataTable[[#This Row],[prop_id0]] &amp; " " &amp; RADataTable[[#This Row],[last0]]</f>
        <v>RA 1755619 Garg</v>
      </c>
      <c r="U13" s="21" t="str">
        <f>IF(signer1="PD",IF(ISBLANK(RADataTable[[#This Row],[sign_blck_name]]),"",RADataTable[[#This Row],[sign_blck_name]]),IF(ISBLANK(signer1),"",signer1))</f>
        <v>Tracy J. Kimbrel</v>
      </c>
      <c r="V13" s="29" t="str">
        <f>signer2</f>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jugal@illinois.edu</v>
      </c>
      <c r="Y13" s="15" t="str">
        <f>HYPERLINK("mailto:"&amp;RADataTable[[#This Row],[allPIemail]]&amp;"&amp;subject=NSF Proposal:  "&amp;RADataTable[[#This Row],[Div]]&amp;" "&amp;RADataTable[[#This Row],[prop_id0]], "PIs@")</f>
        <v>PIs@</v>
      </c>
      <c r="Z13" t="s">
        <v>478</v>
      </c>
      <c r="AA13" t="s">
        <v>1141</v>
      </c>
      <c r="AB13">
        <v>3</v>
      </c>
      <c r="AC13">
        <v>3</v>
      </c>
      <c r="AD13"/>
      <c r="AE13" s="21" t="str">
        <f>IF(RADataTable[[#This Row],[maxScore]]-RADataTable[[#This Row],[minScore]]&gt;4,"Y","")</f>
        <v/>
      </c>
      <c r="AF13" s="21">
        <v>7</v>
      </c>
      <c r="AG13" s="26">
        <v>7.333333333333333</v>
      </c>
      <c r="AH13">
        <v>8</v>
      </c>
      <c r="AI13" t="s">
        <v>1648</v>
      </c>
      <c r="AJ13" s="30">
        <v>43059.534722222219</v>
      </c>
      <c r="AK13" s="13">
        <v>175000</v>
      </c>
      <c r="AL13" s="13">
        <v>175000</v>
      </c>
      <c r="AM13">
        <v>0</v>
      </c>
      <c r="AN13" s="30">
        <v>43146</v>
      </c>
      <c r="AO13" s="21">
        <v>24</v>
      </c>
      <c r="AP13" s="21" t="s">
        <v>1649</v>
      </c>
      <c r="AS13" s="30"/>
      <c r="AT13" t="s">
        <v>714</v>
      </c>
      <c r="AU13" s="21" t="s">
        <v>543</v>
      </c>
      <c r="AV13" s="21">
        <v>2</v>
      </c>
      <c r="AW13" s="21" t="s">
        <v>1866</v>
      </c>
      <c r="AX13" s="30">
        <v>43060</v>
      </c>
      <c r="AY13" s="21" t="s">
        <v>1945</v>
      </c>
      <c r="AZ13" s="21" t="s">
        <v>1868</v>
      </c>
      <c r="BA13" s="21">
        <v>12</v>
      </c>
      <c r="BG13" s="30"/>
      <c r="BP13" s="30"/>
      <c r="BU13" t="s">
        <v>1141</v>
      </c>
      <c r="BV13" s="21" t="s">
        <v>965</v>
      </c>
      <c r="BW13" s="21" t="s">
        <v>1647</v>
      </c>
      <c r="BX13" s="21" t="s">
        <v>1477</v>
      </c>
      <c r="BY13" s="31">
        <v>175000</v>
      </c>
      <c r="BZ13" s="31">
        <v>175000</v>
      </c>
      <c r="CA13" t="s">
        <v>1646</v>
      </c>
      <c r="CF13" s="31"/>
      <c r="CG13" s="31"/>
      <c r="CM13" s="31"/>
      <c r="CN13" s="31"/>
      <c r="CT13" s="31"/>
      <c r="CU13" s="31"/>
      <c r="CV13" s="31"/>
      <c r="DA13" s="31"/>
      <c r="DB13" s="31"/>
      <c r="DC13" s="31"/>
      <c r="DH13" s="31"/>
      <c r="DI13" s="31"/>
      <c r="DO13" s="31"/>
      <c r="DP13" s="31"/>
      <c r="DR13" t="s">
        <v>1936</v>
      </c>
      <c r="DS13" t="s">
        <v>479</v>
      </c>
      <c r="DT13" t="s">
        <v>579</v>
      </c>
      <c r="DU13" s="29" t="s">
        <v>1869</v>
      </c>
      <c r="DV13" t="s">
        <v>172</v>
      </c>
      <c r="DW13" t="s">
        <v>327</v>
      </c>
      <c r="DX13" t="s">
        <v>170</v>
      </c>
      <c r="DY13" t="s">
        <v>167</v>
      </c>
      <c r="DZ13" t="s">
        <v>168</v>
      </c>
      <c r="EA13" s="22">
        <v>43083.486793981479</v>
      </c>
      <c r="EB13" t="s">
        <v>1650</v>
      </c>
      <c r="EC13" t="s">
        <v>1946</v>
      </c>
    </row>
    <row r="14" spans="1:133" x14ac:dyDescent="0.4">
      <c r="A14" s="30"/>
      <c r="B14" s="22">
        <v>43004.490972222222</v>
      </c>
      <c r="C14" s="22" t="s">
        <v>524</v>
      </c>
      <c r="D14" s="30" t="s">
        <v>477</v>
      </c>
      <c r="E14" s="30" t="s">
        <v>582</v>
      </c>
      <c r="F14" s="30" t="s">
        <v>169</v>
      </c>
      <c r="G14" s="30" t="s">
        <v>171</v>
      </c>
      <c r="H14" t="s">
        <v>94</v>
      </c>
      <c r="I14" t="s">
        <v>525</v>
      </c>
      <c r="J14" t="s">
        <v>611</v>
      </c>
      <c r="L14">
        <v>1</v>
      </c>
      <c r="M14" s="26">
        <v>1.02</v>
      </c>
      <c r="N14" t="s">
        <v>544</v>
      </c>
      <c r="Q14" s="29" t="s">
        <v>13</v>
      </c>
      <c r="R14" s="29" t="str">
        <f>IFERROR(MID(RADataTable[[#This Row],[RAtemplate]],1,LEN(RADataTable[[#This Row],[RAtemplate]])-8),"RA") &amp; " " &amp; RADataTable[[#This Row],[prop_id0]] &amp; " " &amp; RADataTable[[#This Row],[last0]]</f>
        <v>RA 1763311 Reingold</v>
      </c>
      <c r="U14" s="21" t="str">
        <f>IF(signer1="PD",IF(ISBLANK(RADataTable[[#This Row],[sign_blck_name]]),"",RADataTable[[#This Row],[sign_blck_name]]),IF(ISBLANK(signer1),"",signer1))</f>
        <v>Tracy J. Kimbrel</v>
      </c>
      <c r="V14" s="29" t="str">
        <f>signer2</f>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omreing@stanford.edu</v>
      </c>
      <c r="Y14" s="15" t="str">
        <f>HYPERLINK("mailto:"&amp;RADataTable[[#This Row],[allPIemail]]&amp;"&amp;subject=NSF Proposal:  "&amp;RADataTable[[#This Row],[Div]]&amp;" "&amp;RADataTable[[#This Row],[prop_id0]], "PIs@")</f>
        <v>PIs@</v>
      </c>
      <c r="Z14" t="s">
        <v>478</v>
      </c>
      <c r="AA14" t="s">
        <v>1305</v>
      </c>
      <c r="AB14">
        <v>4</v>
      </c>
      <c r="AC14">
        <v>4</v>
      </c>
      <c r="AD14"/>
      <c r="AE14" s="21" t="str">
        <f>IF(RADataTable[[#This Row],[maxScore]]-RADataTable[[#This Row],[minScore]]&gt;4,"Y","")</f>
        <v/>
      </c>
      <c r="AF14" s="21">
        <v>7</v>
      </c>
      <c r="AG14" s="26">
        <v>8</v>
      </c>
      <c r="AH14">
        <v>9</v>
      </c>
      <c r="AI14" t="s">
        <v>1483</v>
      </c>
      <c r="AJ14" s="30">
        <v>43080.47152777778</v>
      </c>
      <c r="AK14" s="13">
        <v>1200000</v>
      </c>
      <c r="AL14" s="13">
        <v>1200000</v>
      </c>
      <c r="AM14">
        <v>0</v>
      </c>
      <c r="AN14" s="30">
        <v>43344</v>
      </c>
      <c r="AO14" s="21">
        <v>48</v>
      </c>
      <c r="AP14" s="21" t="s">
        <v>1723</v>
      </c>
      <c r="AS14" s="30"/>
      <c r="AT14" t="s">
        <v>1262</v>
      </c>
      <c r="AU14" s="21" t="s">
        <v>543</v>
      </c>
      <c r="AV14" s="21">
        <v>2</v>
      </c>
      <c r="AW14" s="21" t="s">
        <v>1971</v>
      </c>
      <c r="AX14" s="30">
        <v>43081</v>
      </c>
      <c r="AY14" s="21" t="s">
        <v>1873</v>
      </c>
      <c r="AZ14" s="21" t="s">
        <v>1973</v>
      </c>
      <c r="BA14" s="21">
        <v>9</v>
      </c>
      <c r="BG14" s="30"/>
      <c r="BP14" s="30"/>
      <c r="BU14" t="s">
        <v>1305</v>
      </c>
      <c r="BV14" s="21" t="s">
        <v>1306</v>
      </c>
      <c r="BW14" s="21" t="s">
        <v>1671</v>
      </c>
      <c r="BX14" s="21" t="s">
        <v>1465</v>
      </c>
      <c r="BY14" s="31">
        <v>650000</v>
      </c>
      <c r="BZ14" s="31">
        <v>650000</v>
      </c>
      <c r="CA14" t="s">
        <v>1722</v>
      </c>
      <c r="CB14" s="21" t="s">
        <v>1725</v>
      </c>
      <c r="CC14" s="21" t="s">
        <v>1726</v>
      </c>
      <c r="CD14" s="21" t="s">
        <v>1727</v>
      </c>
      <c r="CE14" s="21" t="s">
        <v>1728</v>
      </c>
      <c r="CF14" s="31">
        <v>550000</v>
      </c>
      <c r="CG14" s="31">
        <v>550000</v>
      </c>
      <c r="CH14" t="s">
        <v>1722</v>
      </c>
      <c r="CM14" s="31"/>
      <c r="CN14" s="31"/>
      <c r="CT14" s="31"/>
      <c r="CU14" s="31"/>
      <c r="CV14" s="31"/>
      <c r="DA14" s="31"/>
      <c r="DB14" s="31"/>
      <c r="DC14" s="31"/>
      <c r="DH14" s="31"/>
      <c r="DI14" s="31"/>
      <c r="DO14" s="31"/>
      <c r="DP14" s="31"/>
      <c r="DR14" t="s">
        <v>529</v>
      </c>
      <c r="DS14" t="s">
        <v>479</v>
      </c>
      <c r="DT14" t="s">
        <v>583</v>
      </c>
      <c r="DU14" s="29" t="s">
        <v>1869</v>
      </c>
      <c r="DV14" t="s">
        <v>172</v>
      </c>
      <c r="DW14" t="s">
        <v>327</v>
      </c>
      <c r="DX14" t="s">
        <v>170</v>
      </c>
      <c r="DY14" t="s">
        <v>167</v>
      </c>
      <c r="DZ14" t="s">
        <v>168</v>
      </c>
      <c r="EA14" s="22">
        <v>43083.486793981479</v>
      </c>
      <c r="EB14" t="s">
        <v>1724</v>
      </c>
      <c r="EC14" t="s">
        <v>1978</v>
      </c>
    </row>
    <row r="15" spans="1:133" x14ac:dyDescent="0.4">
      <c r="A15" s="30"/>
      <c r="B15" s="22">
        <v>42956.588888888888</v>
      </c>
      <c r="C15" s="22" t="s">
        <v>1621</v>
      </c>
      <c r="D15" s="30" t="s">
        <v>1622</v>
      </c>
      <c r="E15" s="30" t="s">
        <v>580</v>
      </c>
      <c r="F15" s="30" t="s">
        <v>169</v>
      </c>
      <c r="G15" s="30" t="s">
        <v>171</v>
      </c>
      <c r="H15" t="s">
        <v>94</v>
      </c>
      <c r="I15" t="s">
        <v>1623</v>
      </c>
      <c r="J15" t="s">
        <v>1166</v>
      </c>
      <c r="L15">
        <v>2</v>
      </c>
      <c r="M15" s="26">
        <v>2.02</v>
      </c>
      <c r="N15" t="s">
        <v>540</v>
      </c>
      <c r="O15" t="s">
        <v>542</v>
      </c>
      <c r="Q15" s="29" t="s">
        <v>13</v>
      </c>
      <c r="R15" s="29" t="str">
        <f>IFERROR(MID(RADataTable[[#This Row],[RAtemplate]],1,LEN(RADataTable[[#This Row],[RAtemplate]])-8),"RA") &amp; " " &amp; RADataTable[[#This Row],[prop_id0]] &amp; " " &amp; RADataTable[[#This Row],[last0]]</f>
        <v>RA 1755801 Zhao</v>
      </c>
      <c r="U15" s="21" t="str">
        <f>IF(signer1="PD",IF(ISBLANK(RADataTable[[#This Row],[sign_blck_name]]),"",RADataTable[[#This Row],[sign_blck_name]]),IF(ISBLANK(signer1),"",signer1))</f>
        <v>Weng-keen Wong</v>
      </c>
      <c r="V15" s="29" t="str">
        <f>signer2</f>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tzhao80@gatech.edu</v>
      </c>
      <c r="Y15" s="15" t="str">
        <f>HYPERLINK("mailto:"&amp;RADataTable[[#This Row],[allPIemail]]&amp;"&amp;subject=NSF Proposal:  "&amp;RADataTable[[#This Row],[Div]]&amp;" "&amp;RADataTable[[#This Row],[prop_id0]], "PIs@")</f>
        <v>PIs@</v>
      </c>
      <c r="Z15" t="s">
        <v>1625</v>
      </c>
      <c r="AA15" t="s">
        <v>1164</v>
      </c>
      <c r="AB15">
        <v>7</v>
      </c>
      <c r="AC15">
        <v>7</v>
      </c>
      <c r="AD15"/>
      <c r="AE15" s="21" t="str">
        <f>IF(RADataTable[[#This Row],[maxScore]]-RADataTable[[#This Row],[minScore]]&gt;4,"Y","")</f>
        <v/>
      </c>
      <c r="AF15" s="21">
        <v>3</v>
      </c>
      <c r="AG15" s="26">
        <v>5</v>
      </c>
      <c r="AH15">
        <v>7</v>
      </c>
      <c r="AI15" t="s">
        <v>1662</v>
      </c>
      <c r="AJ15" s="30">
        <v>43058.96597222222</v>
      </c>
      <c r="AK15" s="13">
        <v>175000</v>
      </c>
      <c r="AL15" s="13">
        <v>175000</v>
      </c>
      <c r="AM15">
        <v>0</v>
      </c>
      <c r="AN15" s="30">
        <v>43235</v>
      </c>
      <c r="AO15" s="21">
        <v>24</v>
      </c>
      <c r="AP15" s="21" t="s">
        <v>1663</v>
      </c>
      <c r="AQ15">
        <v>1</v>
      </c>
      <c r="AR15" t="s">
        <v>504</v>
      </c>
      <c r="AS15" s="30">
        <v>43054.411805555559</v>
      </c>
      <c r="AT15" t="s">
        <v>1168</v>
      </c>
      <c r="AU15" s="21" t="s">
        <v>539</v>
      </c>
      <c r="AV15" s="21">
        <v>2</v>
      </c>
      <c r="AW15" s="21" t="s">
        <v>1951</v>
      </c>
      <c r="AX15" s="30">
        <v>43056</v>
      </c>
      <c r="AY15" s="21" t="s">
        <v>1952</v>
      </c>
      <c r="AZ15" s="21" t="s">
        <v>1953</v>
      </c>
      <c r="BA15" s="21">
        <v>11</v>
      </c>
      <c r="BB15" s="21">
        <v>1</v>
      </c>
      <c r="BC15" s="21" t="s">
        <v>714</v>
      </c>
      <c r="BD15" s="21" t="s">
        <v>541</v>
      </c>
      <c r="BE15" s="21">
        <v>5</v>
      </c>
      <c r="BF15" s="21" t="s">
        <v>1866</v>
      </c>
      <c r="BG15" s="30">
        <v>43060</v>
      </c>
      <c r="BH15" s="21" t="s">
        <v>1954</v>
      </c>
      <c r="BI15" s="21" t="s">
        <v>1868</v>
      </c>
      <c r="BJ15" s="21">
        <v>12</v>
      </c>
      <c r="BK15" s="21">
        <v>1</v>
      </c>
      <c r="BP15" s="30"/>
      <c r="BU15" t="s">
        <v>1164</v>
      </c>
      <c r="BV15" s="21" t="s">
        <v>1165</v>
      </c>
      <c r="BW15" s="21" t="s">
        <v>1660</v>
      </c>
      <c r="BX15" s="21" t="s">
        <v>1661</v>
      </c>
      <c r="BY15" s="31">
        <v>175000</v>
      </c>
      <c r="BZ15" s="31">
        <v>175000</v>
      </c>
      <c r="CA15" t="s">
        <v>1624</v>
      </c>
      <c r="CF15" s="31"/>
      <c r="CG15" s="31"/>
      <c r="CM15" s="31"/>
      <c r="CN15" s="31"/>
      <c r="CT15" s="31"/>
      <c r="CU15" s="31"/>
      <c r="CV15" s="31"/>
      <c r="DA15" s="31"/>
      <c r="DB15" s="31"/>
      <c r="DC15" s="31"/>
      <c r="DH15" s="31"/>
      <c r="DI15" s="31"/>
      <c r="DO15" s="31"/>
      <c r="DP15" s="31"/>
      <c r="DR15" t="s">
        <v>1936</v>
      </c>
      <c r="DS15" t="s">
        <v>1937</v>
      </c>
      <c r="DT15" t="s">
        <v>581</v>
      </c>
      <c r="DU15" s="29" t="s">
        <v>1955</v>
      </c>
      <c r="DV15" t="s">
        <v>172</v>
      </c>
      <c r="DW15" t="s">
        <v>327</v>
      </c>
      <c r="DX15" t="s">
        <v>170</v>
      </c>
      <c r="DY15" t="s">
        <v>167</v>
      </c>
      <c r="DZ15" t="s">
        <v>168</v>
      </c>
      <c r="EA15" s="22">
        <v>43083.486793981479</v>
      </c>
      <c r="EB15" t="s">
        <v>1664</v>
      </c>
      <c r="EC15" t="s">
        <v>1956</v>
      </c>
    </row>
    <row r="16" spans="1:133" x14ac:dyDescent="0.4">
      <c r="A16" s="30"/>
      <c r="B16" s="22">
        <v>42956.621527777781</v>
      </c>
      <c r="C16" s="22" t="s">
        <v>1621</v>
      </c>
      <c r="D16" s="30" t="s">
        <v>477</v>
      </c>
      <c r="E16" s="30" t="s">
        <v>578</v>
      </c>
      <c r="F16" s="30" t="s">
        <v>169</v>
      </c>
      <c r="G16" s="30" t="s">
        <v>171</v>
      </c>
      <c r="H16" t="s">
        <v>94</v>
      </c>
      <c r="I16" t="s">
        <v>1630</v>
      </c>
      <c r="J16" t="s">
        <v>611</v>
      </c>
      <c r="L16">
        <v>1</v>
      </c>
      <c r="M16" s="26">
        <v>2.02</v>
      </c>
      <c r="N16" t="s">
        <v>540</v>
      </c>
      <c r="Q16" s="29" t="s">
        <v>13</v>
      </c>
      <c r="R16" s="29" t="str">
        <f>IFERROR(MID(RADataTable[[#This Row],[RAtemplate]],1,LEN(RADataTable[[#This Row],[RAtemplate]])-8),"RA") &amp; " " &amp; RADataTable[[#This Row],[prop_id0]] &amp; " " &amp; RADataTable[[#This Row],[last0]]</f>
        <v>RA 1755847 Sun</v>
      </c>
      <c r="U16" s="21" t="str">
        <f>IF(signer1="PD",IF(ISBLANK(RADataTable[[#This Row],[sign_blck_name]]),"",RADataTable[[#This Row],[sign_blck_name]]),IF(ISBLANK(signer1),"",signer1))</f>
        <v>Tracy J. Kimbrel</v>
      </c>
      <c r="V16" s="29" t="str">
        <f>signer2</f>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ruoyus@illinois.edu</v>
      </c>
      <c r="Y16" s="15" t="str">
        <f>HYPERLINK("mailto:"&amp;RADataTable[[#This Row],[allPIemail]]&amp;"&amp;subject=NSF Proposal:  "&amp;RADataTable[[#This Row],[Div]]&amp;" "&amp;RADataTable[[#This Row],[prop_id0]], "PIs@")</f>
        <v>PIs@</v>
      </c>
      <c r="Z16" t="s">
        <v>478</v>
      </c>
      <c r="AA16" t="s">
        <v>1194</v>
      </c>
      <c r="AB16">
        <v>3</v>
      </c>
      <c r="AC16">
        <v>3</v>
      </c>
      <c r="AD16"/>
      <c r="AE16" s="21" t="str">
        <f>IF(RADataTable[[#This Row],[maxScore]]-RADataTable[[#This Row],[minScore]]&gt;4,"Y","")</f>
        <v/>
      </c>
      <c r="AF16" s="21">
        <v>6</v>
      </c>
      <c r="AG16" s="26">
        <v>6.333333333333333</v>
      </c>
      <c r="AH16">
        <v>7</v>
      </c>
      <c r="AI16" t="s">
        <v>1667</v>
      </c>
      <c r="AJ16" s="30">
        <v>43031.767361111109</v>
      </c>
      <c r="AK16" s="13">
        <v>175000</v>
      </c>
      <c r="AL16" s="13">
        <v>175000</v>
      </c>
      <c r="AM16">
        <v>0</v>
      </c>
      <c r="AN16" s="30">
        <v>43282</v>
      </c>
      <c r="AO16" s="21">
        <v>24</v>
      </c>
      <c r="AP16" s="21" t="s">
        <v>1668</v>
      </c>
      <c r="AS16" s="30"/>
      <c r="AT16" t="s">
        <v>605</v>
      </c>
      <c r="AU16" s="21" t="s">
        <v>539</v>
      </c>
      <c r="AV16" s="21">
        <v>2</v>
      </c>
      <c r="AW16" s="21" t="s">
        <v>1847</v>
      </c>
      <c r="AX16" s="30">
        <v>43032</v>
      </c>
      <c r="AY16" s="21" t="s">
        <v>1957</v>
      </c>
      <c r="AZ16" s="21" t="s">
        <v>1849</v>
      </c>
      <c r="BA16" s="21">
        <v>14</v>
      </c>
      <c r="BB16" s="21">
        <v>2</v>
      </c>
      <c r="BG16" s="30"/>
      <c r="BP16" s="30"/>
      <c r="BU16" t="s">
        <v>1194</v>
      </c>
      <c r="BV16" s="21" t="s">
        <v>1195</v>
      </c>
      <c r="BW16" s="21" t="s">
        <v>1666</v>
      </c>
      <c r="BX16" s="21" t="s">
        <v>1477</v>
      </c>
      <c r="BY16" s="31">
        <v>175000</v>
      </c>
      <c r="BZ16" s="31">
        <v>175000</v>
      </c>
      <c r="CA16" t="s">
        <v>1665</v>
      </c>
      <c r="CF16" s="31"/>
      <c r="CG16" s="31"/>
      <c r="CM16" s="31"/>
      <c r="CN16" s="31"/>
      <c r="CT16" s="31"/>
      <c r="CU16" s="31"/>
      <c r="CV16" s="31"/>
      <c r="DA16" s="31"/>
      <c r="DB16" s="31"/>
      <c r="DC16" s="31"/>
      <c r="DH16" s="31"/>
      <c r="DI16" s="31"/>
      <c r="DO16" s="31"/>
      <c r="DP16" s="31"/>
      <c r="DR16" t="s">
        <v>1936</v>
      </c>
      <c r="DS16" t="s">
        <v>479</v>
      </c>
      <c r="DT16" t="s">
        <v>579</v>
      </c>
      <c r="DU16" s="29" t="s">
        <v>1869</v>
      </c>
      <c r="DV16" t="s">
        <v>172</v>
      </c>
      <c r="DW16" t="s">
        <v>327</v>
      </c>
      <c r="DX16" t="s">
        <v>170</v>
      </c>
      <c r="DY16" t="s">
        <v>167</v>
      </c>
      <c r="DZ16" t="s">
        <v>168</v>
      </c>
      <c r="EA16" s="22">
        <v>43083.486793981479</v>
      </c>
      <c r="EB16" t="s">
        <v>1669</v>
      </c>
      <c r="EC16" t="s">
        <v>1958</v>
      </c>
    </row>
    <row r="17" spans="1:133" x14ac:dyDescent="0.4">
      <c r="A17" s="30"/>
      <c r="B17" s="22">
        <v>42933.713888888888</v>
      </c>
      <c r="C17" s="22" t="s">
        <v>1430</v>
      </c>
      <c r="D17" s="30" t="s">
        <v>477</v>
      </c>
      <c r="E17" s="30" t="s">
        <v>582</v>
      </c>
      <c r="F17" s="30" t="s">
        <v>169</v>
      </c>
      <c r="G17" s="30" t="s">
        <v>171</v>
      </c>
      <c r="H17" t="s">
        <v>94</v>
      </c>
      <c r="I17" t="s">
        <v>1431</v>
      </c>
      <c r="J17" t="s">
        <v>604</v>
      </c>
      <c r="L17">
        <v>1</v>
      </c>
      <c r="M17" s="26">
        <v>2.0299999999999998</v>
      </c>
      <c r="N17" t="s">
        <v>540</v>
      </c>
      <c r="Q17" s="29" t="s">
        <v>13</v>
      </c>
      <c r="R17" s="29" t="str">
        <f>IFERROR(MID(RADataTable[[#This Row],[RAtemplate]],1,LEN(RADataTable[[#This Row],[RAtemplate]])-8),"RA") &amp; " " &amp; RADataTable[[#This Row],[prop_id0]] &amp; " " &amp; RADataTable[[#This Row],[last0]]</f>
        <v>RA 1749563 Del Pia</v>
      </c>
      <c r="U17" s="21" t="str">
        <f>IF(signer1="PD",IF(ISBLANK(RADataTable[[#This Row],[sign_blck_name]]),"",RADataTable[[#This Row],[sign_blck_name]]),IF(ISBLANK(signer1),"",signer1))</f>
        <v>Jack Snoeyink</v>
      </c>
      <c r="V17" s="29" t="str">
        <f>signer2</f>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delpia@wisc.edu</v>
      </c>
      <c r="Y17" s="15" t="str">
        <f>HYPERLINK("mailto:"&amp;RADataTable[[#This Row],[allPIemail]]&amp;"&amp;subject=NSF Proposal:  "&amp;RADataTable[[#This Row],[Div]]&amp;" "&amp;RADataTable[[#This Row],[prop_id0]], "PIs@")</f>
        <v>PIs@</v>
      </c>
      <c r="Z17" t="s">
        <v>478</v>
      </c>
      <c r="AA17" t="s">
        <v>669</v>
      </c>
      <c r="AB17">
        <v>4</v>
      </c>
      <c r="AC17">
        <v>4</v>
      </c>
      <c r="AD17"/>
      <c r="AE17" s="21" t="str">
        <f>IF(RADataTable[[#This Row],[maxScore]]-RADataTable[[#This Row],[minScore]]&gt;4,"Y","")</f>
        <v/>
      </c>
      <c r="AF17" s="21">
        <v>6</v>
      </c>
      <c r="AG17" s="26">
        <v>7</v>
      </c>
      <c r="AH17">
        <v>8</v>
      </c>
      <c r="AI17" t="s">
        <v>1450</v>
      </c>
      <c r="AJ17" s="30">
        <v>43031.584027777775</v>
      </c>
      <c r="AK17" s="13">
        <v>500000</v>
      </c>
      <c r="AL17" s="13">
        <v>500000</v>
      </c>
      <c r="AM17">
        <v>0</v>
      </c>
      <c r="AN17" s="30">
        <v>43344</v>
      </c>
      <c r="AO17" s="21">
        <v>60</v>
      </c>
      <c r="AP17" s="21" t="s">
        <v>1451</v>
      </c>
      <c r="AS17" s="30"/>
      <c r="AT17" t="s">
        <v>605</v>
      </c>
      <c r="AU17" s="21" t="s">
        <v>539</v>
      </c>
      <c r="AV17" s="21">
        <v>3</v>
      </c>
      <c r="AW17" s="21" t="s">
        <v>1847</v>
      </c>
      <c r="AX17" s="30">
        <v>43032</v>
      </c>
      <c r="AY17" s="21" t="s">
        <v>1858</v>
      </c>
      <c r="AZ17" s="21" t="s">
        <v>1849</v>
      </c>
      <c r="BA17" s="21">
        <v>14</v>
      </c>
      <c r="BG17" s="30"/>
      <c r="BP17" s="30"/>
      <c r="BU17" t="s">
        <v>669</v>
      </c>
      <c r="BV17" s="21" t="s">
        <v>670</v>
      </c>
      <c r="BW17" s="21" t="s">
        <v>1449</v>
      </c>
      <c r="BX17" s="21" t="s">
        <v>554</v>
      </c>
      <c r="BY17" s="31">
        <v>500000</v>
      </c>
      <c r="BZ17" s="31">
        <v>500000</v>
      </c>
      <c r="CA17" t="s">
        <v>1432</v>
      </c>
      <c r="CF17" s="31"/>
      <c r="CG17" s="31"/>
      <c r="CM17" s="31"/>
      <c r="CN17" s="31"/>
      <c r="CT17" s="31"/>
      <c r="CU17" s="31"/>
      <c r="CV17" s="31"/>
      <c r="DA17" s="31"/>
      <c r="DB17" s="31"/>
      <c r="DC17" s="31"/>
      <c r="DH17" s="31"/>
      <c r="DI17" s="31"/>
      <c r="DO17" s="31"/>
      <c r="DP17" s="31"/>
      <c r="DR17" t="s">
        <v>1850</v>
      </c>
      <c r="DS17" t="s">
        <v>479</v>
      </c>
      <c r="DT17" t="s">
        <v>583</v>
      </c>
      <c r="DU17" s="29" t="s">
        <v>1851</v>
      </c>
      <c r="DV17" t="s">
        <v>172</v>
      </c>
      <c r="DW17" t="s">
        <v>327</v>
      </c>
      <c r="DX17" t="s">
        <v>170</v>
      </c>
      <c r="DY17" t="s">
        <v>167</v>
      </c>
      <c r="DZ17" t="s">
        <v>168</v>
      </c>
      <c r="EA17" s="22">
        <v>43083.486793981479</v>
      </c>
      <c r="EB17" t="s">
        <v>1452</v>
      </c>
      <c r="EC17" t="s">
        <v>1859</v>
      </c>
    </row>
    <row r="18" spans="1:133" x14ac:dyDescent="0.4">
      <c r="A18" s="30"/>
      <c r="B18" s="22">
        <v>42935.387499999997</v>
      </c>
      <c r="C18" s="22" t="s">
        <v>1430</v>
      </c>
      <c r="D18" s="30" t="s">
        <v>477</v>
      </c>
      <c r="E18" s="30" t="s">
        <v>582</v>
      </c>
      <c r="F18" s="30" t="s">
        <v>169</v>
      </c>
      <c r="G18" s="30" t="s">
        <v>171</v>
      </c>
      <c r="H18" t="s">
        <v>94</v>
      </c>
      <c r="I18" t="s">
        <v>1431</v>
      </c>
      <c r="J18" t="s">
        <v>654</v>
      </c>
      <c r="L18">
        <v>1</v>
      </c>
      <c r="M18" s="26">
        <v>2.0299999999999998</v>
      </c>
      <c r="N18" t="s">
        <v>540</v>
      </c>
      <c r="Q18" s="29" t="s">
        <v>13</v>
      </c>
      <c r="R18" s="29" t="str">
        <f>IFERROR(MID(RADataTable[[#This Row],[RAtemplate]],1,LEN(RADataTable[[#This Row],[RAtemplate]])-8),"RA") &amp; " " &amp; RADataTable[[#This Row],[prop_id0]] &amp; " " &amp; RADataTable[[#This Row],[last0]]</f>
        <v>RA 1750140 Panigrahi</v>
      </c>
      <c r="U18" s="21" t="str">
        <f>IF(signer1="PD",IF(ISBLANK(RADataTable[[#This Row],[sign_blck_name]]),"",RADataTable[[#This Row],[sign_blck_name]]),IF(ISBLANK(signer1),"",signer1))</f>
        <v>Rahul Shah</v>
      </c>
      <c r="V18" s="29" t="str">
        <f>signer2</f>
        <v>Cognizant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debmalya.panigrahi@gmail.com</v>
      </c>
      <c r="Y18" s="15" t="str">
        <f>HYPERLINK("mailto:"&amp;RADataTable[[#This Row],[allPIemail]]&amp;"&amp;subject=NSF Proposal:  "&amp;RADataTable[[#This Row],[Div]]&amp;" "&amp;RADataTable[[#This Row],[prop_id0]], "PIs@")</f>
        <v>PIs@</v>
      </c>
      <c r="Z18" t="s">
        <v>478</v>
      </c>
      <c r="AA18" t="s">
        <v>851</v>
      </c>
      <c r="AB18">
        <v>4</v>
      </c>
      <c r="AC18">
        <v>4</v>
      </c>
      <c r="AD18"/>
      <c r="AE18" s="21" t="str">
        <f>IF(RADataTable[[#This Row],[maxScore]]-RADataTable[[#This Row],[minScore]]&gt;4,"Y","")</f>
        <v/>
      </c>
      <c r="AF18" s="21">
        <v>7</v>
      </c>
      <c r="AG18" s="26">
        <v>7.75</v>
      </c>
      <c r="AH18">
        <v>9</v>
      </c>
      <c r="AI18" t="s">
        <v>1521</v>
      </c>
      <c r="AJ18" s="30">
        <v>43032.520138888889</v>
      </c>
      <c r="AK18" s="13">
        <v>602288</v>
      </c>
      <c r="AL18" s="13">
        <v>602288</v>
      </c>
      <c r="AM18">
        <v>0</v>
      </c>
      <c r="AN18" s="30">
        <v>43160</v>
      </c>
      <c r="AO18" s="21">
        <v>60</v>
      </c>
      <c r="AP18" s="21" t="s">
        <v>1522</v>
      </c>
      <c r="AS18" s="30"/>
      <c r="AT18" t="s">
        <v>605</v>
      </c>
      <c r="AU18" s="21" t="s">
        <v>539</v>
      </c>
      <c r="AV18" s="21">
        <v>3</v>
      </c>
      <c r="AW18" s="21" t="s">
        <v>1847</v>
      </c>
      <c r="AX18" s="30">
        <v>43032</v>
      </c>
      <c r="AY18" s="21" t="s">
        <v>1891</v>
      </c>
      <c r="AZ18" s="21" t="s">
        <v>1849</v>
      </c>
      <c r="BA18" s="21">
        <v>14</v>
      </c>
      <c r="BB18" s="21">
        <v>2</v>
      </c>
      <c r="BG18" s="30"/>
      <c r="BP18" s="30"/>
      <c r="BU18" t="s">
        <v>851</v>
      </c>
      <c r="BV18" s="21" t="s">
        <v>852</v>
      </c>
      <c r="BW18" s="21" t="s">
        <v>1519</v>
      </c>
      <c r="BX18" s="21" t="s">
        <v>1520</v>
      </c>
      <c r="BY18" s="31">
        <v>602288</v>
      </c>
      <c r="BZ18" s="31">
        <v>602288</v>
      </c>
      <c r="CA18" t="s">
        <v>1432</v>
      </c>
      <c r="CF18" s="31"/>
      <c r="CG18" s="31"/>
      <c r="CM18" s="31"/>
      <c r="CN18" s="31"/>
      <c r="CT18" s="31"/>
      <c r="CU18" s="31"/>
      <c r="CV18" s="31"/>
      <c r="DA18" s="31"/>
      <c r="DB18" s="31"/>
      <c r="DC18" s="31"/>
      <c r="DH18" s="31"/>
      <c r="DI18" s="31"/>
      <c r="DO18" s="31"/>
      <c r="DP18" s="31"/>
      <c r="DR18" t="s">
        <v>1850</v>
      </c>
      <c r="DS18" t="s">
        <v>479</v>
      </c>
      <c r="DT18" t="s">
        <v>583</v>
      </c>
      <c r="DU18" s="29" t="s">
        <v>1856</v>
      </c>
      <c r="DV18" t="s">
        <v>172</v>
      </c>
      <c r="DW18" t="s">
        <v>327</v>
      </c>
      <c r="DX18" t="s">
        <v>170</v>
      </c>
      <c r="DY18" t="s">
        <v>167</v>
      </c>
      <c r="DZ18" t="s">
        <v>168</v>
      </c>
      <c r="EA18" s="22">
        <v>43083.486793981479</v>
      </c>
      <c r="EB18" t="s">
        <v>1523</v>
      </c>
      <c r="EC18" t="s">
        <v>1892</v>
      </c>
    </row>
    <row r="19" spans="1:133" x14ac:dyDescent="0.4">
      <c r="A19" s="30"/>
      <c r="B19" s="22">
        <v>42956.697916666664</v>
      </c>
      <c r="C19" s="22" t="s">
        <v>1621</v>
      </c>
      <c r="D19" s="30" t="s">
        <v>477</v>
      </c>
      <c r="E19" s="30" t="s">
        <v>578</v>
      </c>
      <c r="F19" s="30" t="s">
        <v>169</v>
      </c>
      <c r="G19" s="30" t="s">
        <v>171</v>
      </c>
      <c r="H19" t="s">
        <v>94</v>
      </c>
      <c r="I19" t="s">
        <v>1630</v>
      </c>
      <c r="J19" t="s">
        <v>611</v>
      </c>
      <c r="L19">
        <v>1</v>
      </c>
      <c r="M19" s="26">
        <v>2.0299999999999998</v>
      </c>
      <c r="N19" t="s">
        <v>540</v>
      </c>
      <c r="Q19" s="29" t="s">
        <v>13</v>
      </c>
      <c r="R19" s="29" t="str">
        <f>IFERROR(MID(RADataTable[[#This Row],[RAtemplate]],1,LEN(RADataTable[[#This Row],[RAtemplate]])-8),"RA") &amp; " " &amp; RADataTable[[#This Row],[prop_id0]] &amp; " " &amp; RADataTable[[#This Row],[last0]]</f>
        <v>RA 1755955 Gkatzelis</v>
      </c>
      <c r="U19" s="21" t="str">
        <f>IF(signer1="PD",IF(ISBLANK(RADataTable[[#This Row],[sign_blck_name]]),"",RADataTable[[#This Row],[sign_blck_name]]),IF(ISBLANK(signer1),"",signer1))</f>
        <v>Tracy J. Kimbrel</v>
      </c>
      <c r="V19" s="29" t="str">
        <f>signer2</f>
        <v>Cognizant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gkatz@drexel.edu</v>
      </c>
      <c r="Y19" s="15" t="str">
        <f>HYPERLINK("mailto:"&amp;RADataTable[[#This Row],[allPIemail]]&amp;"&amp;subject=NSF Proposal:  "&amp;RADataTable[[#This Row],[Div]]&amp;" "&amp;RADataTable[[#This Row],[prop_id0]], "PIs@")</f>
        <v>PIs@</v>
      </c>
      <c r="Z19" t="s">
        <v>478</v>
      </c>
      <c r="AA19" t="s">
        <v>1241</v>
      </c>
      <c r="AB19">
        <v>3</v>
      </c>
      <c r="AC19">
        <v>3</v>
      </c>
      <c r="AD19"/>
      <c r="AE19" s="21" t="str">
        <f>IF(RADataTable[[#This Row],[maxScore]]-RADataTable[[#This Row],[minScore]]&gt;4,"Y","")</f>
        <v/>
      </c>
      <c r="AF19" s="21">
        <v>7</v>
      </c>
      <c r="AG19" s="26">
        <v>7</v>
      </c>
      <c r="AH19">
        <v>7</v>
      </c>
      <c r="AI19" t="s">
        <v>1657</v>
      </c>
      <c r="AJ19" s="30">
        <v>43060.397916666669</v>
      </c>
      <c r="AK19" s="13">
        <v>174930</v>
      </c>
      <c r="AL19" s="13">
        <v>174930</v>
      </c>
      <c r="AM19">
        <v>0</v>
      </c>
      <c r="AN19" s="30">
        <v>43132</v>
      </c>
      <c r="AO19" s="21">
        <v>24</v>
      </c>
      <c r="AP19" s="21" t="s">
        <v>1694</v>
      </c>
      <c r="AS19" s="30"/>
      <c r="AT19" t="s">
        <v>714</v>
      </c>
      <c r="AU19" s="21" t="s">
        <v>539</v>
      </c>
      <c r="AV19" s="21">
        <v>3</v>
      </c>
      <c r="AW19" s="21" t="s">
        <v>1866</v>
      </c>
      <c r="AX19" s="30">
        <v>43060</v>
      </c>
      <c r="AY19" s="21" t="s">
        <v>1949</v>
      </c>
      <c r="AZ19" s="21" t="s">
        <v>1868</v>
      </c>
      <c r="BA19" s="21">
        <v>12</v>
      </c>
      <c r="BG19" s="30"/>
      <c r="BP19" s="30"/>
      <c r="BU19" t="s">
        <v>1241</v>
      </c>
      <c r="BV19" s="21" t="s">
        <v>1031</v>
      </c>
      <c r="BW19" s="21" t="s">
        <v>1593</v>
      </c>
      <c r="BX19" s="21" t="s">
        <v>1594</v>
      </c>
      <c r="BY19" s="31">
        <v>174930</v>
      </c>
      <c r="BZ19" s="31">
        <v>174930</v>
      </c>
      <c r="CA19" t="s">
        <v>1646</v>
      </c>
      <c r="CF19" s="31"/>
      <c r="CG19" s="31"/>
      <c r="CM19" s="31"/>
      <c r="CN19" s="31"/>
      <c r="CT19" s="31"/>
      <c r="CU19" s="31"/>
      <c r="CV19" s="31"/>
      <c r="DA19" s="31"/>
      <c r="DB19" s="31"/>
      <c r="DC19" s="31"/>
      <c r="DH19" s="31"/>
      <c r="DI19" s="31"/>
      <c r="DO19" s="31"/>
      <c r="DP19" s="31"/>
      <c r="DR19" t="s">
        <v>1936</v>
      </c>
      <c r="DS19" t="s">
        <v>479</v>
      </c>
      <c r="DT19" t="s">
        <v>579</v>
      </c>
      <c r="DU19" s="29" t="s">
        <v>1869</v>
      </c>
      <c r="DV19" t="s">
        <v>172</v>
      </c>
      <c r="DW19" t="s">
        <v>327</v>
      </c>
      <c r="DX19" t="s">
        <v>170</v>
      </c>
      <c r="DY19" t="s">
        <v>167</v>
      </c>
      <c r="DZ19" t="s">
        <v>168</v>
      </c>
      <c r="EA19" s="22">
        <v>43083.486793981479</v>
      </c>
      <c r="EB19" t="s">
        <v>1288</v>
      </c>
      <c r="EC19" t="s">
        <v>1924</v>
      </c>
    </row>
    <row r="20" spans="1:133" x14ac:dyDescent="0.4">
      <c r="A20" s="30"/>
      <c r="B20" s="22">
        <v>42956.746527777781</v>
      </c>
      <c r="C20" s="22" t="s">
        <v>1621</v>
      </c>
      <c r="D20" s="30" t="s">
        <v>477</v>
      </c>
      <c r="E20" s="30" t="s">
        <v>578</v>
      </c>
      <c r="F20" s="30" t="s">
        <v>169</v>
      </c>
      <c r="G20" s="30" t="s">
        <v>171</v>
      </c>
      <c r="H20" t="s">
        <v>94</v>
      </c>
      <c r="I20" t="s">
        <v>1630</v>
      </c>
      <c r="J20" t="s">
        <v>654</v>
      </c>
      <c r="L20">
        <v>1</v>
      </c>
      <c r="M20" s="26">
        <v>2.0299999999999998</v>
      </c>
      <c r="N20" t="s">
        <v>540</v>
      </c>
      <c r="Q20" s="29" t="s">
        <v>13</v>
      </c>
      <c r="R20" s="29" t="str">
        <f>IFERROR(MID(RADataTable[[#This Row],[RAtemplate]],1,LEN(RADataTable[[#This Row],[RAtemplate]])-8),"RA") &amp; " " &amp; RADataTable[[#This Row],[prop_id0]] &amp; " " &amp; RADataTable[[#This Row],[last0]]</f>
        <v>RA 1756014 Chen</v>
      </c>
      <c r="U20" s="21" t="str">
        <f>IF(signer1="PD",IF(ISBLANK(RADataTable[[#This Row],[sign_blck_name]]),"",RADataTable[[#This Row],[sign_blck_name]]),IF(ISBLANK(signer1),"",signer1))</f>
        <v>Rahul Shah</v>
      </c>
      <c r="V20" s="29" t="str">
        <f>signer2</f>
        <v>Cognizant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lchen49@central.uh.edu</v>
      </c>
      <c r="Y20" s="15" t="str">
        <f>HYPERLINK("mailto:"&amp;RADataTable[[#This Row],[allPIemail]]&amp;"&amp;subject=NSF Proposal:  "&amp;RADataTable[[#This Row],[Div]]&amp;" "&amp;RADataTable[[#This Row],[prop_id0]], "PIs@")</f>
        <v>PIs@</v>
      </c>
      <c r="Z20" t="s">
        <v>478</v>
      </c>
      <c r="AA20" t="s">
        <v>1255</v>
      </c>
      <c r="AB20">
        <v>3</v>
      </c>
      <c r="AC20">
        <v>3</v>
      </c>
      <c r="AD20"/>
      <c r="AE20" s="21" t="str">
        <f>IF(RADataTable[[#This Row],[maxScore]]-RADataTable[[#This Row],[minScore]]&gt;4,"Y","")</f>
        <v/>
      </c>
      <c r="AF20" s="21">
        <v>5</v>
      </c>
      <c r="AG20" s="26">
        <v>6</v>
      </c>
      <c r="AH20">
        <v>7</v>
      </c>
      <c r="AI20" t="s">
        <v>1643</v>
      </c>
      <c r="AJ20" s="30">
        <v>43031.734027777777</v>
      </c>
      <c r="AK20" s="13">
        <v>148477</v>
      </c>
      <c r="AL20" s="13">
        <v>148477</v>
      </c>
      <c r="AM20">
        <v>0</v>
      </c>
      <c r="AN20" s="30">
        <v>43252</v>
      </c>
      <c r="AO20" s="21">
        <v>24</v>
      </c>
      <c r="AP20" s="21" t="s">
        <v>1702</v>
      </c>
      <c r="AS20" s="30"/>
      <c r="AT20" t="s">
        <v>605</v>
      </c>
      <c r="AU20" s="21" t="s">
        <v>539</v>
      </c>
      <c r="AV20" s="21">
        <v>3</v>
      </c>
      <c r="AW20" s="21" t="s">
        <v>1847</v>
      </c>
      <c r="AX20" s="30">
        <v>43032</v>
      </c>
      <c r="AY20" s="21" t="s">
        <v>1943</v>
      </c>
      <c r="AZ20" s="21" t="s">
        <v>1849</v>
      </c>
      <c r="BA20" s="21">
        <v>14</v>
      </c>
      <c r="BG20" s="30"/>
      <c r="BP20" s="30"/>
      <c r="BU20" t="s">
        <v>1255</v>
      </c>
      <c r="BV20" s="21" t="s">
        <v>750</v>
      </c>
      <c r="BW20" s="21" t="s">
        <v>1700</v>
      </c>
      <c r="BX20" s="21" t="s">
        <v>1701</v>
      </c>
      <c r="BY20" s="31">
        <v>148477</v>
      </c>
      <c r="BZ20" s="31">
        <v>148477</v>
      </c>
      <c r="CA20" t="s">
        <v>1631</v>
      </c>
      <c r="CF20" s="31"/>
      <c r="CG20" s="31"/>
      <c r="CM20" s="31"/>
      <c r="CN20" s="31"/>
      <c r="CT20" s="31"/>
      <c r="CU20" s="31"/>
      <c r="CV20" s="31"/>
      <c r="DA20" s="31"/>
      <c r="DB20" s="31"/>
      <c r="DC20" s="31"/>
      <c r="DH20" s="31"/>
      <c r="DI20" s="31"/>
      <c r="DO20" s="31"/>
      <c r="DP20" s="31"/>
      <c r="DR20" t="s">
        <v>1936</v>
      </c>
      <c r="DS20" t="s">
        <v>479</v>
      </c>
      <c r="DT20" t="s">
        <v>579</v>
      </c>
      <c r="DU20" s="29" t="s">
        <v>1856</v>
      </c>
      <c r="DV20" t="s">
        <v>172</v>
      </c>
      <c r="DW20" t="s">
        <v>327</v>
      </c>
      <c r="DX20" t="s">
        <v>170</v>
      </c>
      <c r="DY20" t="s">
        <v>167</v>
      </c>
      <c r="DZ20" t="s">
        <v>168</v>
      </c>
      <c r="EA20" s="22">
        <v>43083.486793981479</v>
      </c>
      <c r="EB20" t="s">
        <v>1703</v>
      </c>
      <c r="EC20" t="s">
        <v>1970</v>
      </c>
    </row>
    <row r="21" spans="1:133" x14ac:dyDescent="0.4">
      <c r="A21" s="30"/>
      <c r="B21" s="22">
        <v>43004.497916666667</v>
      </c>
      <c r="C21" s="22" t="s">
        <v>524</v>
      </c>
      <c r="D21" s="30" t="s">
        <v>477</v>
      </c>
      <c r="E21" s="30" t="s">
        <v>582</v>
      </c>
      <c r="F21" s="30" t="s">
        <v>169</v>
      </c>
      <c r="G21" s="30" t="s">
        <v>171</v>
      </c>
      <c r="H21" t="s">
        <v>94</v>
      </c>
      <c r="I21" t="s">
        <v>525</v>
      </c>
      <c r="J21" t="s">
        <v>611</v>
      </c>
      <c r="L21">
        <v>1</v>
      </c>
      <c r="M21" s="26">
        <v>2.0299999999999998</v>
      </c>
      <c r="N21" t="s">
        <v>540</v>
      </c>
      <c r="Q21" s="29" t="s">
        <v>13</v>
      </c>
      <c r="R21" s="29" t="str">
        <f>IFERROR(MID(RADataTable[[#This Row],[RAtemplate]],1,LEN(RADataTable[[#This Row],[RAtemplate]])-8),"RA") &amp; " " &amp; RADataTable[[#This Row],[prop_id0]] &amp; " " &amp; RADataTable[[#This Row],[last0]]</f>
        <v>RA 1763314 ROTH</v>
      </c>
      <c r="U21" s="21" t="str">
        <f>IF(signer1="PD",IF(ISBLANK(RADataTable[[#This Row],[sign_blck_name]]),"",RADataTable[[#This Row],[sign_blck_name]]),IF(ISBLANK(signer1),"",signer1))</f>
        <v>Tracy J. Kimbrel</v>
      </c>
      <c r="V21" s="29" t="str">
        <f>signer2</f>
        <v>Cognizant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aaroth@cis.upenn.edu</v>
      </c>
      <c r="Y21" s="15" t="str">
        <f>HYPERLINK("mailto:"&amp;RADataTable[[#This Row],[allPIemail]]&amp;"&amp;subject=NSF Proposal:  "&amp;RADataTable[[#This Row],[Div]]&amp;" "&amp;RADataTable[[#This Row],[prop_id0]], "PIs@")</f>
        <v>PIs@</v>
      </c>
      <c r="Z21" t="s">
        <v>478</v>
      </c>
      <c r="AA21" t="s">
        <v>1315</v>
      </c>
      <c r="AB21">
        <v>4</v>
      </c>
      <c r="AC21">
        <v>4</v>
      </c>
      <c r="AD21"/>
      <c r="AE21" s="21" t="str">
        <f>IF(RADataTable[[#This Row],[maxScore]]-RADataTable[[#This Row],[minScore]]&gt;4,"Y","")</f>
        <v/>
      </c>
      <c r="AF21" s="21">
        <v>7</v>
      </c>
      <c r="AG21" s="26">
        <v>8</v>
      </c>
      <c r="AH21">
        <v>9</v>
      </c>
      <c r="AI21" t="s">
        <v>1731</v>
      </c>
      <c r="AJ21" s="30">
        <v>43081.365972222222</v>
      </c>
      <c r="AK21" s="13">
        <v>1200000</v>
      </c>
      <c r="AL21" s="13">
        <v>1200000</v>
      </c>
      <c r="AM21">
        <v>0</v>
      </c>
      <c r="AN21" s="30">
        <v>43313</v>
      </c>
      <c r="AO21" s="21">
        <v>36</v>
      </c>
      <c r="AP21" s="21" t="s">
        <v>1732</v>
      </c>
      <c r="AS21" s="30"/>
      <c r="AT21" t="s">
        <v>1262</v>
      </c>
      <c r="AU21" s="21" t="s">
        <v>539</v>
      </c>
      <c r="AV21" s="21">
        <v>3</v>
      </c>
      <c r="AW21" s="21" t="s">
        <v>1971</v>
      </c>
      <c r="AX21" s="30">
        <v>43081</v>
      </c>
      <c r="AY21" s="21" t="s">
        <v>1979</v>
      </c>
      <c r="AZ21" s="21" t="s">
        <v>1973</v>
      </c>
      <c r="BA21" s="21">
        <v>9</v>
      </c>
      <c r="BG21" s="30"/>
      <c r="BP21" s="30"/>
      <c r="BU21" t="s">
        <v>1315</v>
      </c>
      <c r="BV21" s="21" t="s">
        <v>1296</v>
      </c>
      <c r="BW21" s="21" t="s">
        <v>1713</v>
      </c>
      <c r="BX21" s="21" t="s">
        <v>527</v>
      </c>
      <c r="BY21" s="31">
        <v>378000</v>
      </c>
      <c r="BZ21" s="31">
        <v>378000</v>
      </c>
      <c r="CA21" t="s">
        <v>1704</v>
      </c>
      <c r="CB21" s="21" t="s">
        <v>1733</v>
      </c>
      <c r="CC21" s="21" t="s">
        <v>1734</v>
      </c>
      <c r="CD21" s="21" t="s">
        <v>1735</v>
      </c>
      <c r="CE21" s="21" t="s">
        <v>1465</v>
      </c>
      <c r="CF21" s="31">
        <v>276000</v>
      </c>
      <c r="CG21" s="31">
        <v>276000</v>
      </c>
      <c r="CH21" t="s">
        <v>1704</v>
      </c>
      <c r="CI21" s="21" t="s">
        <v>1737</v>
      </c>
      <c r="CJ21" s="21" t="s">
        <v>1738</v>
      </c>
      <c r="CK21" s="21" t="s">
        <v>1739</v>
      </c>
      <c r="CL21" s="21" t="s">
        <v>1728</v>
      </c>
      <c r="CM21" s="31">
        <v>286000</v>
      </c>
      <c r="CN21" s="31">
        <v>286000</v>
      </c>
      <c r="CO21" t="s">
        <v>1704</v>
      </c>
      <c r="CP21" s="21" t="s">
        <v>1742</v>
      </c>
      <c r="CQ21" s="21" t="s">
        <v>1743</v>
      </c>
      <c r="CR21" s="21" t="s">
        <v>1744</v>
      </c>
      <c r="CS21" s="21" t="s">
        <v>1529</v>
      </c>
      <c r="CT21" s="31">
        <v>260000</v>
      </c>
      <c r="CU21" s="31">
        <v>260000</v>
      </c>
      <c r="CV21" s="31" t="s">
        <v>1704</v>
      </c>
      <c r="DA21" s="31"/>
      <c r="DB21" s="31"/>
      <c r="DC21" s="31"/>
      <c r="DH21" s="31"/>
      <c r="DI21" s="31"/>
      <c r="DO21" s="31"/>
      <c r="DP21" s="31"/>
      <c r="DR21" t="s">
        <v>529</v>
      </c>
      <c r="DS21" t="s">
        <v>479</v>
      </c>
      <c r="DT21" t="s">
        <v>583</v>
      </c>
      <c r="DU21" s="29" t="s">
        <v>1869</v>
      </c>
      <c r="DV21" t="s">
        <v>172</v>
      </c>
      <c r="DW21" t="s">
        <v>327</v>
      </c>
      <c r="DX21" t="s">
        <v>170</v>
      </c>
      <c r="DY21" t="s">
        <v>167</v>
      </c>
      <c r="DZ21" t="s">
        <v>168</v>
      </c>
      <c r="EA21" s="22">
        <v>43083.486793981479</v>
      </c>
      <c r="EB21" t="s">
        <v>1716</v>
      </c>
      <c r="EC21" t="s">
        <v>1980</v>
      </c>
    </row>
    <row r="22" spans="1:133" x14ac:dyDescent="0.4">
      <c r="A22" s="30"/>
      <c r="B22" s="22">
        <v>42934.625694444447</v>
      </c>
      <c r="C22" s="22" t="s">
        <v>1430</v>
      </c>
      <c r="D22" s="30" t="s">
        <v>477</v>
      </c>
      <c r="E22" s="30" t="s">
        <v>582</v>
      </c>
      <c r="F22" s="30" t="s">
        <v>169</v>
      </c>
      <c r="G22" s="30" t="s">
        <v>171</v>
      </c>
      <c r="H22" t="s">
        <v>94</v>
      </c>
      <c r="I22" t="s">
        <v>1431</v>
      </c>
      <c r="J22" t="s">
        <v>604</v>
      </c>
      <c r="L22">
        <v>1</v>
      </c>
      <c r="M22" s="26">
        <v>2.04</v>
      </c>
      <c r="N22" t="s">
        <v>540</v>
      </c>
      <c r="Q22" s="29" t="s">
        <v>13</v>
      </c>
      <c r="R22" s="29" t="str">
        <f>IFERROR(MID(RADataTable[[#This Row],[RAtemplate]],1,LEN(RADataTable[[#This Row],[RAtemplate]])-8),"RA") &amp; " " &amp; RADataTable[[#This Row],[prop_id0]] &amp; " " &amp; RADataTable[[#This Row],[last0]]</f>
        <v>RA 1749855 Orabona</v>
      </c>
      <c r="U22" s="21" t="str">
        <f>IF(signer1="PD",IF(ISBLANK(RADataTable[[#This Row],[sign_blck_name]]),"",RADataTable[[#This Row],[sign_blck_name]]),IF(ISBLANK(signer1),"",signer1))</f>
        <v>Jack Snoeyink</v>
      </c>
      <c r="V22" s="29" t="str">
        <f>signer2</f>
        <v>Cognizant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francesco@cs.stonybrook.edu</v>
      </c>
      <c r="Y22" s="15" t="str">
        <f>HYPERLINK("mailto:"&amp;RADataTable[[#This Row],[allPIemail]]&amp;"&amp;subject=NSF Proposal:  "&amp;RADataTable[[#This Row],[Div]]&amp;" "&amp;RADataTable[[#This Row],[prop_id0]], "PIs@")</f>
        <v>PIs@</v>
      </c>
      <c r="Z22" t="s">
        <v>478</v>
      </c>
      <c r="AA22" t="s">
        <v>742</v>
      </c>
      <c r="AB22">
        <v>4</v>
      </c>
      <c r="AC22">
        <v>4</v>
      </c>
      <c r="AD22"/>
      <c r="AE22" s="21" t="str">
        <f>IF(RADataTable[[#This Row],[maxScore]]-RADataTable[[#This Row],[minScore]]&gt;4,"Y","")</f>
        <v/>
      </c>
      <c r="AF22" s="21">
        <v>7</v>
      </c>
      <c r="AG22" s="26">
        <v>8</v>
      </c>
      <c r="AH22">
        <v>9</v>
      </c>
      <c r="AI22" t="s">
        <v>1483</v>
      </c>
      <c r="AJ22" s="30">
        <v>43059.663888888892</v>
      </c>
      <c r="AK22" s="13">
        <v>516750</v>
      </c>
      <c r="AL22" s="13">
        <v>516750</v>
      </c>
      <c r="AM22">
        <v>0</v>
      </c>
      <c r="AN22" s="30">
        <v>43101</v>
      </c>
      <c r="AO22" s="21">
        <v>60</v>
      </c>
      <c r="AP22" s="21" t="s">
        <v>1484</v>
      </c>
      <c r="AS22" s="30"/>
      <c r="AT22" t="s">
        <v>714</v>
      </c>
      <c r="AU22" s="21" t="s">
        <v>539</v>
      </c>
      <c r="AV22" s="21">
        <v>4</v>
      </c>
      <c r="AW22" s="21" t="s">
        <v>1866</v>
      </c>
      <c r="AX22" s="30">
        <v>43060</v>
      </c>
      <c r="AY22" s="21" t="s">
        <v>1873</v>
      </c>
      <c r="AZ22" s="21" t="s">
        <v>1868</v>
      </c>
      <c r="BA22" s="21">
        <v>12</v>
      </c>
      <c r="BG22" s="30"/>
      <c r="BP22" s="30"/>
      <c r="BU22" t="s">
        <v>742</v>
      </c>
      <c r="BV22" s="21" t="s">
        <v>743</v>
      </c>
      <c r="BW22" s="21" t="s">
        <v>1481</v>
      </c>
      <c r="BX22" s="21" t="s">
        <v>1482</v>
      </c>
      <c r="BY22" s="31">
        <v>516750</v>
      </c>
      <c r="BZ22" s="31">
        <v>516750</v>
      </c>
      <c r="CA22" t="s">
        <v>1432</v>
      </c>
      <c r="CF22" s="31"/>
      <c r="CG22" s="31"/>
      <c r="CM22" s="31"/>
      <c r="CN22" s="31"/>
      <c r="CT22" s="31"/>
      <c r="CU22" s="31"/>
      <c r="CV22" s="31"/>
      <c r="DA22" s="31"/>
      <c r="DB22" s="31"/>
      <c r="DC22" s="31"/>
      <c r="DH22" s="31"/>
      <c r="DI22" s="31"/>
      <c r="DO22" s="31"/>
      <c r="DP22" s="31"/>
      <c r="DR22" t="s">
        <v>1850</v>
      </c>
      <c r="DS22" t="s">
        <v>479</v>
      </c>
      <c r="DT22" t="s">
        <v>583</v>
      </c>
      <c r="DU22" s="29" t="s">
        <v>1851</v>
      </c>
      <c r="DV22" t="s">
        <v>172</v>
      </c>
      <c r="DW22" t="s">
        <v>327</v>
      </c>
      <c r="DX22" t="s">
        <v>170</v>
      </c>
      <c r="DY22" t="s">
        <v>167</v>
      </c>
      <c r="DZ22" t="s">
        <v>168</v>
      </c>
      <c r="EA22" s="22">
        <v>43083.486793981479</v>
      </c>
      <c r="EB22" t="s">
        <v>1485</v>
      </c>
      <c r="EC22" t="s">
        <v>1874</v>
      </c>
    </row>
    <row r="23" spans="1:133" x14ac:dyDescent="0.4">
      <c r="A23" s="30"/>
      <c r="B23" s="22">
        <v>42935.536805555559</v>
      </c>
      <c r="C23" s="22" t="s">
        <v>1430</v>
      </c>
      <c r="D23" s="30" t="s">
        <v>477</v>
      </c>
      <c r="E23" s="30" t="s">
        <v>582</v>
      </c>
      <c r="F23" s="30" t="s">
        <v>169</v>
      </c>
      <c r="G23" s="30" t="s">
        <v>171</v>
      </c>
      <c r="H23" t="s">
        <v>94</v>
      </c>
      <c r="I23" t="s">
        <v>1431</v>
      </c>
      <c r="J23" t="s">
        <v>611</v>
      </c>
      <c r="L23">
        <v>2</v>
      </c>
      <c r="M23" s="26">
        <v>2.04</v>
      </c>
      <c r="N23" t="s">
        <v>542</v>
      </c>
      <c r="O23" t="s">
        <v>540</v>
      </c>
      <c r="Q23" s="29" t="s">
        <v>13</v>
      </c>
      <c r="R23" s="29" t="str">
        <f>IFERROR(MID(RADataTable[[#This Row],[RAtemplate]],1,LEN(RADataTable[[#This Row],[RAtemplate]])-8),"RA") &amp; " " &amp; RADataTable[[#This Row],[prop_id0]] &amp; " " &amp; RADataTable[[#This Row],[last0]]</f>
        <v>RA 1750443 Kol</v>
      </c>
      <c r="U23" s="21" t="str">
        <f>IF(signer1="PD",IF(ISBLANK(RADataTable[[#This Row],[sign_blck_name]]),"",RADataTable[[#This Row],[sign_blck_name]]),IF(ISBLANK(signer1),"",signer1))</f>
        <v>Tracy J. Kimbrel</v>
      </c>
      <c r="V23" s="29" t="str">
        <f>signer2</f>
        <v>Cognizant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gillat.kol@gmail.com</v>
      </c>
      <c r="Y23" s="15" t="str">
        <f>HYPERLINK("mailto:"&amp;RADataTable[[#This Row],[allPIemail]]&amp;"&amp;subject=NSF Proposal:  "&amp;RADataTable[[#This Row],[Div]]&amp;" "&amp;RADataTable[[#This Row],[prop_id0]], "PIs@")</f>
        <v>PIs@</v>
      </c>
      <c r="Z23" t="s">
        <v>478</v>
      </c>
      <c r="AA23" t="s">
        <v>896</v>
      </c>
      <c r="AB23">
        <v>9</v>
      </c>
      <c r="AC23">
        <v>9</v>
      </c>
      <c r="AD23"/>
      <c r="AE23" s="21" t="str">
        <f>IF(RADataTable[[#This Row],[maxScore]]-RADataTable[[#This Row],[minScore]]&gt;4,"Y","")</f>
        <v/>
      </c>
      <c r="AF23" s="21">
        <v>5</v>
      </c>
      <c r="AG23" s="26">
        <v>6.2222222222222223</v>
      </c>
      <c r="AH23">
        <v>9</v>
      </c>
      <c r="AI23" t="s">
        <v>1545</v>
      </c>
      <c r="AJ23" s="30">
        <v>43059.575694444444</v>
      </c>
      <c r="AK23" s="13">
        <v>550000</v>
      </c>
      <c r="AL23" s="13">
        <v>550000</v>
      </c>
      <c r="AM23">
        <v>0</v>
      </c>
      <c r="AN23" s="30">
        <v>43132</v>
      </c>
      <c r="AO23" s="21">
        <v>60</v>
      </c>
      <c r="AP23" s="21" t="s">
        <v>1546</v>
      </c>
      <c r="AS23" s="30"/>
      <c r="AT23" t="s">
        <v>899</v>
      </c>
      <c r="AU23" s="21" t="s">
        <v>541</v>
      </c>
      <c r="AV23" s="21">
        <v>10</v>
      </c>
      <c r="AW23" s="21" t="s">
        <v>1900</v>
      </c>
      <c r="AX23" s="30">
        <v>43046</v>
      </c>
      <c r="AY23" s="21" t="s">
        <v>1901</v>
      </c>
      <c r="AZ23" s="21" t="s">
        <v>1902</v>
      </c>
      <c r="BA23" s="21">
        <v>9</v>
      </c>
      <c r="BC23" s="21" t="s">
        <v>714</v>
      </c>
      <c r="BD23" s="21" t="s">
        <v>539</v>
      </c>
      <c r="BE23" s="21">
        <v>4</v>
      </c>
      <c r="BF23" s="21" t="s">
        <v>1866</v>
      </c>
      <c r="BG23" s="30">
        <v>43060</v>
      </c>
      <c r="BH23" s="21" t="s">
        <v>1864</v>
      </c>
      <c r="BI23" s="21" t="s">
        <v>1868</v>
      </c>
      <c r="BJ23" s="21">
        <v>12</v>
      </c>
      <c r="BP23" s="30"/>
      <c r="BU23" t="s">
        <v>896</v>
      </c>
      <c r="BV23" s="21" t="s">
        <v>897</v>
      </c>
      <c r="BW23" s="21" t="s">
        <v>1544</v>
      </c>
      <c r="BX23" s="21" t="s">
        <v>552</v>
      </c>
      <c r="BY23" s="31">
        <v>550000</v>
      </c>
      <c r="BZ23" s="31">
        <v>550000</v>
      </c>
      <c r="CA23" t="s">
        <v>1469</v>
      </c>
      <c r="CF23" s="31"/>
      <c r="CG23" s="31"/>
      <c r="CM23" s="31"/>
      <c r="CN23" s="31"/>
      <c r="CT23" s="31"/>
      <c r="CU23" s="31"/>
      <c r="CV23" s="31"/>
      <c r="DA23" s="31"/>
      <c r="DB23" s="31"/>
      <c r="DC23" s="31"/>
      <c r="DH23" s="31"/>
      <c r="DI23" s="31"/>
      <c r="DO23" s="31"/>
      <c r="DP23" s="31"/>
      <c r="DR23" t="s">
        <v>1850</v>
      </c>
      <c r="DS23" t="s">
        <v>479</v>
      </c>
      <c r="DT23" t="s">
        <v>583</v>
      </c>
      <c r="DU23" s="29" t="s">
        <v>1869</v>
      </c>
      <c r="DV23" t="s">
        <v>172</v>
      </c>
      <c r="DW23" t="s">
        <v>327</v>
      </c>
      <c r="DX23" t="s">
        <v>170</v>
      </c>
      <c r="DY23" t="s">
        <v>167</v>
      </c>
      <c r="DZ23" t="s">
        <v>168</v>
      </c>
      <c r="EA23" s="22">
        <v>43083.486793981479</v>
      </c>
      <c r="EB23" t="s">
        <v>1547</v>
      </c>
      <c r="EC23" t="s">
        <v>1903</v>
      </c>
    </row>
    <row r="24" spans="1:133" x14ac:dyDescent="0.4">
      <c r="A24" s="30"/>
      <c r="B24" s="22">
        <v>42955.429861111108</v>
      </c>
      <c r="C24" s="22" t="s">
        <v>1621</v>
      </c>
      <c r="D24" s="30" t="s">
        <v>477</v>
      </c>
      <c r="E24" s="30" t="s">
        <v>578</v>
      </c>
      <c r="F24" s="30" t="s">
        <v>169</v>
      </c>
      <c r="G24" s="30" t="s">
        <v>171</v>
      </c>
      <c r="H24" t="s">
        <v>94</v>
      </c>
      <c r="I24" t="s">
        <v>1630</v>
      </c>
      <c r="J24" t="s">
        <v>654</v>
      </c>
      <c r="L24">
        <v>1</v>
      </c>
      <c r="M24" s="26">
        <v>2.04</v>
      </c>
      <c r="N24" t="s">
        <v>540</v>
      </c>
      <c r="Q24" s="29" t="s">
        <v>13</v>
      </c>
      <c r="R24" s="29" t="str">
        <f>IFERROR(MID(RADataTable[[#This Row],[RAtemplate]],1,LEN(RADataTable[[#This Row],[RAtemplate]])-8),"RA") &amp; " " &amp; RADataTable[[#This Row],[prop_id0]] &amp; " " &amp; RADataTable[[#This Row],[last0]]</f>
        <v>RA 1755548 Zhou</v>
      </c>
      <c r="U24" s="21" t="str">
        <f>IF(signer1="PD",IF(ISBLANK(RADataTable[[#This Row],[sign_blck_name]]),"",RADataTable[[#This Row],[sign_blck_name]]),IF(ISBLANK(signer1),"",signer1))</f>
        <v>Rahul Shah</v>
      </c>
      <c r="V24" s="29" t="str">
        <f>signer2</f>
        <v>Cognizant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yzhoucs@indiana.edu</v>
      </c>
      <c r="Y24" s="15" t="str">
        <f>HYPERLINK("mailto:"&amp;RADataTable[[#This Row],[allPIemail]]&amp;"&amp;subject=NSF Proposal:  "&amp;RADataTable[[#This Row],[Div]]&amp;" "&amp;RADataTable[[#This Row],[prop_id0]], "PIs@")</f>
        <v>PIs@</v>
      </c>
      <c r="Z24" t="s">
        <v>478</v>
      </c>
      <c r="AA24" t="s">
        <v>1133</v>
      </c>
      <c r="AB24">
        <v>3</v>
      </c>
      <c r="AC24">
        <v>3</v>
      </c>
      <c r="AD24"/>
      <c r="AE24" s="21" t="str">
        <f>IF(RADataTable[[#This Row],[maxScore]]-RADataTable[[#This Row],[minScore]]&gt;4,"Y","")</f>
        <v/>
      </c>
      <c r="AF24" s="21">
        <v>5</v>
      </c>
      <c r="AG24" s="26">
        <v>6</v>
      </c>
      <c r="AH24">
        <v>7</v>
      </c>
      <c r="AI24" t="s">
        <v>1643</v>
      </c>
      <c r="AJ24" s="30">
        <v>43060.397916666669</v>
      </c>
      <c r="AK24" s="13">
        <v>174974</v>
      </c>
      <c r="AL24" s="13">
        <v>174974</v>
      </c>
      <c r="AM24">
        <v>0</v>
      </c>
      <c r="AN24" s="30">
        <v>43101</v>
      </c>
      <c r="AO24" s="21">
        <v>24</v>
      </c>
      <c r="AP24" s="21" t="s">
        <v>1644</v>
      </c>
      <c r="AS24" s="30"/>
      <c r="AT24" t="s">
        <v>714</v>
      </c>
      <c r="AU24" s="21" t="s">
        <v>539</v>
      </c>
      <c r="AV24" s="21">
        <v>4</v>
      </c>
      <c r="AW24" s="21" t="s">
        <v>1866</v>
      </c>
      <c r="AX24" s="30">
        <v>43060</v>
      </c>
      <c r="AY24" s="21" t="s">
        <v>1943</v>
      </c>
      <c r="AZ24" s="21" t="s">
        <v>1868</v>
      </c>
      <c r="BA24" s="21">
        <v>12</v>
      </c>
      <c r="BG24" s="30"/>
      <c r="BP24" s="30"/>
      <c r="BU24" t="s">
        <v>1133</v>
      </c>
      <c r="BV24" s="21" t="s">
        <v>1134</v>
      </c>
      <c r="BW24" s="21" t="s">
        <v>1642</v>
      </c>
      <c r="BX24" s="21" t="s">
        <v>566</v>
      </c>
      <c r="BY24" s="31">
        <v>174974</v>
      </c>
      <c r="BZ24" s="31">
        <v>174974</v>
      </c>
      <c r="CA24" t="s">
        <v>1631</v>
      </c>
      <c r="CF24" s="31"/>
      <c r="CG24" s="31"/>
      <c r="CM24" s="31"/>
      <c r="CN24" s="31"/>
      <c r="CT24" s="31"/>
      <c r="CU24" s="31"/>
      <c r="CV24" s="31"/>
      <c r="DA24" s="31"/>
      <c r="DB24" s="31"/>
      <c r="DC24" s="31"/>
      <c r="DH24" s="31"/>
      <c r="DI24" s="31"/>
      <c r="DO24" s="31"/>
      <c r="DP24" s="31"/>
      <c r="DR24" t="s">
        <v>1936</v>
      </c>
      <c r="DS24" t="s">
        <v>479</v>
      </c>
      <c r="DT24" t="s">
        <v>579</v>
      </c>
      <c r="DU24" s="29" t="s">
        <v>1856</v>
      </c>
      <c r="DV24" t="s">
        <v>172</v>
      </c>
      <c r="DW24" t="s">
        <v>327</v>
      </c>
      <c r="DX24" t="s">
        <v>170</v>
      </c>
      <c r="DY24" t="s">
        <v>167</v>
      </c>
      <c r="DZ24" t="s">
        <v>168</v>
      </c>
      <c r="EA24" s="22">
        <v>43083.486793981479</v>
      </c>
      <c r="EB24" t="s">
        <v>1645</v>
      </c>
      <c r="EC24" t="s">
        <v>1944</v>
      </c>
    </row>
    <row r="25" spans="1:133" x14ac:dyDescent="0.4">
      <c r="A25" s="30"/>
      <c r="B25" s="22">
        <v>43005.713194444441</v>
      </c>
      <c r="C25" s="22" t="s">
        <v>524</v>
      </c>
      <c r="D25" s="30" t="s">
        <v>477</v>
      </c>
      <c r="E25" s="30" t="s">
        <v>582</v>
      </c>
      <c r="F25" s="30" t="s">
        <v>169</v>
      </c>
      <c r="G25" s="30" t="s">
        <v>171</v>
      </c>
      <c r="H25" t="s">
        <v>94</v>
      </c>
      <c r="I25" t="s">
        <v>525</v>
      </c>
      <c r="J25" t="s">
        <v>654</v>
      </c>
      <c r="L25">
        <v>1</v>
      </c>
      <c r="M25" s="26">
        <v>2.04</v>
      </c>
      <c r="N25" t="s">
        <v>540</v>
      </c>
      <c r="Q25" s="29" t="s">
        <v>13</v>
      </c>
      <c r="R25" s="29" t="str">
        <f>IFERROR(MID(RADataTable[[#This Row],[RAtemplate]],1,LEN(RADataTable[[#This Row],[RAtemplate]])-8),"RA") &amp; " " &amp; RADataTable[[#This Row],[prop_id0]] &amp; " " &amp; RADataTable[[#This Row],[last0]]</f>
        <v>RA 1764032 Srebro</v>
      </c>
      <c r="U25" s="21" t="str">
        <f>IF(signer1="PD",IF(ISBLANK(RADataTable[[#This Row],[sign_blck_name]]),"",RADataTable[[#This Row],[sign_blck_name]]),IF(ISBLANK(signer1),"",signer1))</f>
        <v>Rahul Shah</v>
      </c>
      <c r="V25" s="29" t="str">
        <f>signer2</f>
        <v>Cognizant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nati@ttic.edu</v>
      </c>
      <c r="Y25" s="15" t="str">
        <f>HYPERLINK("mailto:"&amp;RADataTable[[#This Row],[allPIemail]]&amp;"&amp;subject=NSF Proposal:  "&amp;RADataTable[[#This Row],[Div]]&amp;" "&amp;RADataTable[[#This Row],[prop_id0]], "PIs@")</f>
        <v>PIs@</v>
      </c>
      <c r="Z25" t="s">
        <v>478</v>
      </c>
      <c r="AA25" t="s">
        <v>1403</v>
      </c>
      <c r="AB25">
        <v>4</v>
      </c>
      <c r="AC25">
        <v>4</v>
      </c>
      <c r="AD25"/>
      <c r="AE25" s="21" t="str">
        <f>IF(RADataTable[[#This Row],[maxScore]]-RADataTable[[#This Row],[minScore]]&gt;4,"Y","")</f>
        <v/>
      </c>
      <c r="AF25" s="21">
        <v>7</v>
      </c>
      <c r="AG25" s="26">
        <v>8</v>
      </c>
      <c r="AH25">
        <v>9</v>
      </c>
      <c r="AI25" t="s">
        <v>1731</v>
      </c>
      <c r="AJ25" s="30">
        <v>43080.379861111112</v>
      </c>
      <c r="AK25" s="13">
        <v>1198379</v>
      </c>
      <c r="AL25" s="13">
        <v>1198379</v>
      </c>
      <c r="AM25">
        <v>0</v>
      </c>
      <c r="AN25" s="30">
        <v>43313</v>
      </c>
      <c r="AO25" s="21">
        <v>36</v>
      </c>
      <c r="AP25" s="21" t="s">
        <v>1824</v>
      </c>
      <c r="AS25" s="30"/>
      <c r="AT25" t="s">
        <v>1262</v>
      </c>
      <c r="AU25" s="21" t="s">
        <v>539</v>
      </c>
      <c r="AV25" s="21">
        <v>4</v>
      </c>
      <c r="AW25" s="21" t="s">
        <v>1971</v>
      </c>
      <c r="AX25" s="30">
        <v>43081</v>
      </c>
      <c r="AY25" s="21" t="s">
        <v>1979</v>
      </c>
      <c r="AZ25" s="21" t="s">
        <v>1973</v>
      </c>
      <c r="BA25" s="21">
        <v>9</v>
      </c>
      <c r="BB25" s="21">
        <v>1</v>
      </c>
      <c r="BG25" s="30"/>
      <c r="BP25" s="30"/>
      <c r="BU25" t="s">
        <v>1403</v>
      </c>
      <c r="BV25" s="21" t="s">
        <v>1404</v>
      </c>
      <c r="BW25" s="21" t="s">
        <v>1822</v>
      </c>
      <c r="BX25" s="21" t="s">
        <v>1823</v>
      </c>
      <c r="BY25" s="31">
        <v>541101</v>
      </c>
      <c r="BZ25" s="31">
        <v>541101</v>
      </c>
      <c r="CA25" t="s">
        <v>1704</v>
      </c>
      <c r="CB25" s="21" t="s">
        <v>1826</v>
      </c>
      <c r="CC25" s="21" t="s">
        <v>1827</v>
      </c>
      <c r="CD25" s="21" t="s">
        <v>1828</v>
      </c>
      <c r="CE25" s="21" t="s">
        <v>497</v>
      </c>
      <c r="CF25" s="31">
        <v>329074</v>
      </c>
      <c r="CG25" s="31">
        <v>329074</v>
      </c>
      <c r="CH25" t="s">
        <v>1704</v>
      </c>
      <c r="CI25" s="21" t="s">
        <v>1830</v>
      </c>
      <c r="CJ25" s="21" t="s">
        <v>937</v>
      </c>
      <c r="CK25" s="21" t="s">
        <v>1554</v>
      </c>
      <c r="CL25" s="21" t="s">
        <v>501</v>
      </c>
      <c r="CM25" s="31">
        <v>328204</v>
      </c>
      <c r="CN25" s="31">
        <v>328204</v>
      </c>
      <c r="CO25" t="s">
        <v>1704</v>
      </c>
      <c r="CT25" s="31"/>
      <c r="CU25" s="31"/>
      <c r="CV25" s="31"/>
      <c r="DA25" s="31"/>
      <c r="DB25" s="31"/>
      <c r="DC25" s="31"/>
      <c r="DH25" s="31"/>
      <c r="DI25" s="31"/>
      <c r="DO25" s="31"/>
      <c r="DP25" s="31"/>
      <c r="DR25" t="s">
        <v>529</v>
      </c>
      <c r="DS25" t="s">
        <v>479</v>
      </c>
      <c r="DT25" t="s">
        <v>583</v>
      </c>
      <c r="DU25" s="29" t="s">
        <v>1856</v>
      </c>
      <c r="DV25" t="s">
        <v>172</v>
      </c>
      <c r="DW25" t="s">
        <v>327</v>
      </c>
      <c r="DX25" t="s">
        <v>170</v>
      </c>
      <c r="DY25" t="s">
        <v>167</v>
      </c>
      <c r="DZ25" t="s">
        <v>168</v>
      </c>
      <c r="EA25" s="22">
        <v>43083.486793981479</v>
      </c>
      <c r="EB25" t="s">
        <v>1825</v>
      </c>
      <c r="EC25" t="s">
        <v>1998</v>
      </c>
    </row>
    <row r="26" spans="1:133" x14ac:dyDescent="0.4">
      <c r="A26" s="30"/>
      <c r="B26" s="22">
        <v>42935.374305555553</v>
      </c>
      <c r="C26" s="22" t="s">
        <v>1430</v>
      </c>
      <c r="D26" s="30" t="s">
        <v>477</v>
      </c>
      <c r="E26" s="30" t="s">
        <v>582</v>
      </c>
      <c r="F26" s="30" t="s">
        <v>169</v>
      </c>
      <c r="G26" s="30" t="s">
        <v>171</v>
      </c>
      <c r="H26" t="s">
        <v>94</v>
      </c>
      <c r="I26" t="s">
        <v>1431</v>
      </c>
      <c r="J26" t="s">
        <v>654</v>
      </c>
      <c r="L26">
        <v>1</v>
      </c>
      <c r="M26" s="26">
        <v>2.0499999999999998</v>
      </c>
      <c r="N26" t="s">
        <v>540</v>
      </c>
      <c r="Q26" s="29" t="s">
        <v>13</v>
      </c>
      <c r="R26" s="29" t="str">
        <f>IFERROR(MID(RADataTable[[#This Row],[RAtemplate]],1,LEN(RADataTable[[#This Row],[RAtemplate]])-8),"RA") &amp; " " &amp; RADataTable[[#This Row],[prop_id0]] &amp; " " &amp; RADataTable[[#This Row],[last0]]</f>
        <v>RA 1750127 Nagarajan</v>
      </c>
      <c r="U26" s="21" t="str">
        <f>IF(signer1="PD",IF(ISBLANK(RADataTable[[#This Row],[sign_blck_name]]),"",RADataTable[[#This Row],[sign_blck_name]]),IF(ISBLANK(signer1),"",signer1))</f>
        <v>Rahul Shah</v>
      </c>
      <c r="V26" s="29" t="str">
        <f>signer2</f>
        <v>Cognizant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viswa@umich.edu</v>
      </c>
      <c r="Y26" s="15" t="str">
        <f>HYPERLINK("mailto:"&amp;RADataTable[[#This Row],[allPIemail]]&amp;"&amp;subject=NSF Proposal:  "&amp;RADataTable[[#This Row],[Div]]&amp;" "&amp;RADataTable[[#This Row],[prop_id0]], "PIs@")</f>
        <v>PIs@</v>
      </c>
      <c r="Z26" t="s">
        <v>478</v>
      </c>
      <c r="AA26" t="s">
        <v>843</v>
      </c>
      <c r="AB26">
        <v>4</v>
      </c>
      <c r="AC26">
        <v>4</v>
      </c>
      <c r="AD26"/>
      <c r="AE26" s="21" t="str">
        <f>IF(RADataTable[[#This Row],[maxScore]]-RADataTable[[#This Row],[minScore]]&gt;4,"Y","")</f>
        <v/>
      </c>
      <c r="AF26" s="21">
        <v>5</v>
      </c>
      <c r="AG26" s="26">
        <v>7</v>
      </c>
      <c r="AH26">
        <v>9</v>
      </c>
      <c r="AI26" t="s">
        <v>1473</v>
      </c>
      <c r="AJ26" s="30">
        <v>43032.519444444442</v>
      </c>
      <c r="AK26" s="13">
        <v>524840</v>
      </c>
      <c r="AL26" s="13">
        <v>524840</v>
      </c>
      <c r="AM26">
        <v>0</v>
      </c>
      <c r="AN26" s="30">
        <v>43221</v>
      </c>
      <c r="AO26" s="21">
        <v>60</v>
      </c>
      <c r="AP26" s="21" t="s">
        <v>1517</v>
      </c>
      <c r="AS26" s="30"/>
      <c r="AT26" t="s">
        <v>605</v>
      </c>
      <c r="AU26" s="21" t="s">
        <v>539</v>
      </c>
      <c r="AV26" s="21">
        <v>5</v>
      </c>
      <c r="AW26" s="21" t="s">
        <v>1847</v>
      </c>
      <c r="AX26" s="30">
        <v>43032</v>
      </c>
      <c r="AY26" s="21" t="s">
        <v>1867</v>
      </c>
      <c r="AZ26" s="21" t="s">
        <v>1849</v>
      </c>
      <c r="BA26" s="21">
        <v>14</v>
      </c>
      <c r="BG26" s="30"/>
      <c r="BP26" s="30"/>
      <c r="BU26" t="s">
        <v>843</v>
      </c>
      <c r="BV26" s="21" t="s">
        <v>844</v>
      </c>
      <c r="BW26" s="21" t="s">
        <v>1516</v>
      </c>
      <c r="BX26" s="21" t="s">
        <v>307</v>
      </c>
      <c r="BY26" s="31">
        <v>524840</v>
      </c>
      <c r="BZ26" s="31">
        <v>524840</v>
      </c>
      <c r="CA26" t="s">
        <v>584</v>
      </c>
      <c r="CF26" s="31"/>
      <c r="CG26" s="31"/>
      <c r="CM26" s="31"/>
      <c r="CN26" s="31"/>
      <c r="CT26" s="31"/>
      <c r="CU26" s="31"/>
      <c r="CV26" s="31"/>
      <c r="DA26" s="31"/>
      <c r="DB26" s="31"/>
      <c r="DC26" s="31"/>
      <c r="DH26" s="31"/>
      <c r="DI26" s="31"/>
      <c r="DO26" s="31"/>
      <c r="DP26" s="31"/>
      <c r="DR26" t="s">
        <v>1850</v>
      </c>
      <c r="DS26" t="s">
        <v>479</v>
      </c>
      <c r="DT26" t="s">
        <v>583</v>
      </c>
      <c r="DU26" s="29" t="s">
        <v>1856</v>
      </c>
      <c r="DV26" t="s">
        <v>172</v>
      </c>
      <c r="DW26" t="s">
        <v>327</v>
      </c>
      <c r="DX26" t="s">
        <v>170</v>
      </c>
      <c r="DY26" t="s">
        <v>167</v>
      </c>
      <c r="DZ26" t="s">
        <v>168</v>
      </c>
      <c r="EA26" s="22">
        <v>43083.486793981479</v>
      </c>
      <c r="EB26" t="s">
        <v>1518</v>
      </c>
      <c r="EC26" t="s">
        <v>1890</v>
      </c>
    </row>
    <row r="27" spans="1:133" x14ac:dyDescent="0.4">
      <c r="A27" s="30"/>
      <c r="B27" s="22">
        <v>43004.474999999999</v>
      </c>
      <c r="C27" s="22" t="s">
        <v>524</v>
      </c>
      <c r="D27" s="30" t="s">
        <v>477</v>
      </c>
      <c r="E27" s="30" t="s">
        <v>582</v>
      </c>
      <c r="F27" s="30" t="s">
        <v>169</v>
      </c>
      <c r="G27" s="30" t="s">
        <v>171</v>
      </c>
      <c r="H27" t="s">
        <v>94</v>
      </c>
      <c r="I27" t="s">
        <v>525</v>
      </c>
      <c r="J27" t="s">
        <v>611</v>
      </c>
      <c r="L27">
        <v>1</v>
      </c>
      <c r="M27" s="26">
        <v>2.0499999999999998</v>
      </c>
      <c r="N27" t="s">
        <v>540</v>
      </c>
      <c r="Q27" s="29" t="s">
        <v>13</v>
      </c>
      <c r="R27" s="29" t="str">
        <f>IFERROR(MID(RADataTable[[#This Row],[RAtemplate]],1,LEN(RADataTable[[#This Row],[RAtemplate]])-8),"RA") &amp; " " &amp; RADataTable[[#This Row],[prop_id0]] &amp; " " &amp; RADataTable[[#This Row],[last0]]</f>
        <v>RA 1763307 ROTH</v>
      </c>
      <c r="U27" s="21" t="str">
        <f>IF(signer1="PD",IF(ISBLANK(RADataTable[[#This Row],[sign_blck_name]]),"",RADataTable[[#This Row],[sign_blck_name]]),IF(ISBLANK(signer1),"",signer1))</f>
        <v>Tracy J. Kimbrel</v>
      </c>
      <c r="V27" s="29" t="str">
        <f>signer2</f>
        <v>Cognizant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aaroth@cis.upenn.edu</v>
      </c>
      <c r="Y27" s="15" t="str">
        <f>HYPERLINK("mailto:"&amp;RADataTable[[#This Row],[allPIemail]]&amp;"&amp;subject=NSF Proposal:  "&amp;RADataTable[[#This Row],[Div]]&amp;" "&amp;RADataTable[[#This Row],[prop_id0]], "PIs@")</f>
        <v>PIs@</v>
      </c>
      <c r="Z27" t="s">
        <v>478</v>
      </c>
      <c r="AA27" t="s">
        <v>1295</v>
      </c>
      <c r="AB27">
        <v>4</v>
      </c>
      <c r="AC27">
        <v>4</v>
      </c>
      <c r="AD27"/>
      <c r="AE27" s="21" t="str">
        <f>IF(RADataTable[[#This Row],[maxScore]]-RADataTable[[#This Row],[minScore]]&gt;4,"Y","")</f>
        <v/>
      </c>
      <c r="AF27" s="21">
        <v>5</v>
      </c>
      <c r="AG27" s="26">
        <v>7</v>
      </c>
      <c r="AH27">
        <v>8</v>
      </c>
      <c r="AI27" t="s">
        <v>1714</v>
      </c>
      <c r="AJ27" s="30">
        <v>43080.712500000001</v>
      </c>
      <c r="AK27" s="13">
        <v>1200000</v>
      </c>
      <c r="AL27" s="13">
        <v>1200000</v>
      </c>
      <c r="AM27">
        <v>0</v>
      </c>
      <c r="AN27" s="30">
        <v>43313</v>
      </c>
      <c r="AO27" s="21">
        <v>48</v>
      </c>
      <c r="AP27" s="21" t="s">
        <v>1715</v>
      </c>
      <c r="AS27" s="30"/>
      <c r="AT27" t="s">
        <v>1262</v>
      </c>
      <c r="AU27" s="21" t="s">
        <v>539</v>
      </c>
      <c r="AV27" s="21">
        <v>5</v>
      </c>
      <c r="AW27" s="21" t="s">
        <v>1971</v>
      </c>
      <c r="AX27" s="30">
        <v>43081</v>
      </c>
      <c r="AY27" s="21" t="s">
        <v>1976</v>
      </c>
      <c r="AZ27" s="21" t="s">
        <v>1973</v>
      </c>
      <c r="BA27" s="21">
        <v>9</v>
      </c>
      <c r="BG27" s="30"/>
      <c r="BP27" s="30"/>
      <c r="BU27" t="s">
        <v>1295</v>
      </c>
      <c r="BV27" s="21" t="s">
        <v>1296</v>
      </c>
      <c r="BW27" s="21" t="s">
        <v>1713</v>
      </c>
      <c r="BX27" s="21" t="s">
        <v>527</v>
      </c>
      <c r="BY27" s="31">
        <v>950000</v>
      </c>
      <c r="BZ27" s="31">
        <v>950000</v>
      </c>
      <c r="CA27" t="s">
        <v>1712</v>
      </c>
      <c r="CB27" s="21" t="s">
        <v>1717</v>
      </c>
      <c r="CC27" s="21" t="s">
        <v>1718</v>
      </c>
      <c r="CD27" s="21" t="s">
        <v>1719</v>
      </c>
      <c r="CE27" s="21" t="s">
        <v>499</v>
      </c>
      <c r="CF27" s="31">
        <v>250000</v>
      </c>
      <c r="CG27" s="31">
        <v>250000</v>
      </c>
      <c r="CH27" t="s">
        <v>1712</v>
      </c>
      <c r="CM27" s="31"/>
      <c r="CN27" s="31"/>
      <c r="CT27" s="31"/>
      <c r="CU27" s="31"/>
      <c r="CV27" s="31"/>
      <c r="DA27" s="31"/>
      <c r="DB27" s="31"/>
      <c r="DC27" s="31"/>
      <c r="DH27" s="31"/>
      <c r="DI27" s="31"/>
      <c r="DO27" s="31"/>
      <c r="DP27" s="31"/>
      <c r="DR27" t="s">
        <v>529</v>
      </c>
      <c r="DS27" t="s">
        <v>479</v>
      </c>
      <c r="DT27" t="s">
        <v>583</v>
      </c>
      <c r="DU27" s="29" t="s">
        <v>1869</v>
      </c>
      <c r="DV27" t="s">
        <v>172</v>
      </c>
      <c r="DW27" t="s">
        <v>327</v>
      </c>
      <c r="DX27" t="s">
        <v>170</v>
      </c>
      <c r="DY27" t="s">
        <v>167</v>
      </c>
      <c r="DZ27" t="s">
        <v>168</v>
      </c>
      <c r="EA27" s="22">
        <v>43083.486793981479</v>
      </c>
      <c r="EB27" t="s">
        <v>1716</v>
      </c>
      <c r="EC27" t="s">
        <v>1977</v>
      </c>
    </row>
    <row r="28" spans="1:133" x14ac:dyDescent="0.4">
      <c r="A28" s="30"/>
      <c r="B28" s="22">
        <v>42934.524305555555</v>
      </c>
      <c r="C28" s="22" t="s">
        <v>1430</v>
      </c>
      <c r="D28" s="30" t="s">
        <v>477</v>
      </c>
      <c r="E28" s="30" t="s">
        <v>582</v>
      </c>
      <c r="F28" s="30" t="s">
        <v>169</v>
      </c>
      <c r="G28" s="30" t="s">
        <v>171</v>
      </c>
      <c r="H28" t="s">
        <v>94</v>
      </c>
      <c r="I28" t="s">
        <v>1431</v>
      </c>
      <c r="J28" t="s">
        <v>611</v>
      </c>
      <c r="L28">
        <v>1</v>
      </c>
      <c r="M28" s="26">
        <v>2.06</v>
      </c>
      <c r="N28" t="s">
        <v>540</v>
      </c>
      <c r="Q28" s="29" t="s">
        <v>13</v>
      </c>
      <c r="R28" s="29" t="str">
        <f>IFERROR(MID(RADataTable[[#This Row],[RAtemplate]],1,LEN(RADataTable[[#This Row],[RAtemplate]])-8),"RA") &amp; " " &amp; RADataTable[[#This Row],[prop_id0]] &amp; " " &amp; RADataTable[[#This Row],[last0]]</f>
        <v>RA 1749748 Chandrasekaran</v>
      </c>
      <c r="U28" s="21" t="str">
        <f>IF(signer1="PD",IF(ISBLANK(RADataTable[[#This Row],[sign_blck_name]]),"",RADataTable[[#This Row],[sign_blck_name]]),IF(ISBLANK(signer1),"",signer1))</f>
        <v>Tracy J. Kimbrel</v>
      </c>
      <c r="V28" s="29" t="str">
        <f>signer2</f>
        <v>Cognizant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karthe@illinois.edu</v>
      </c>
      <c r="Y28" s="15" t="str">
        <f>HYPERLINK("mailto:"&amp;RADataTable[[#This Row],[allPIemail]]&amp;"&amp;subject=NSF Proposal:  "&amp;RADataTable[[#This Row],[Div]]&amp;" "&amp;RADataTable[[#This Row],[prop_id0]], "PIs@")</f>
        <v>PIs@</v>
      </c>
      <c r="Z28" t="s">
        <v>478</v>
      </c>
      <c r="AA28" t="s">
        <v>733</v>
      </c>
      <c r="AB28">
        <v>4</v>
      </c>
      <c r="AC28">
        <v>4</v>
      </c>
      <c r="AD28"/>
      <c r="AE28" s="21" t="str">
        <f>IF(RADataTable[[#This Row],[maxScore]]-RADataTable[[#This Row],[minScore]]&gt;4,"Y","")</f>
        <v/>
      </c>
      <c r="AF28" s="21">
        <v>5</v>
      </c>
      <c r="AG28" s="26">
        <v>6.75</v>
      </c>
      <c r="AH28">
        <v>8</v>
      </c>
      <c r="AI28" t="s">
        <v>1478</v>
      </c>
      <c r="AJ28" s="30">
        <v>43030.722916666666</v>
      </c>
      <c r="AK28" s="13">
        <v>446040</v>
      </c>
      <c r="AL28" s="13">
        <v>446040</v>
      </c>
      <c r="AM28">
        <v>0</v>
      </c>
      <c r="AN28" s="30">
        <v>43115</v>
      </c>
      <c r="AO28" s="21">
        <v>60</v>
      </c>
      <c r="AP28" s="21" t="s">
        <v>1479</v>
      </c>
      <c r="AS28" s="30"/>
      <c r="AT28" t="s">
        <v>605</v>
      </c>
      <c r="AU28" s="21" t="s">
        <v>539</v>
      </c>
      <c r="AV28" s="21">
        <v>6</v>
      </c>
      <c r="AW28" s="21" t="s">
        <v>1847</v>
      </c>
      <c r="AX28" s="30">
        <v>43032</v>
      </c>
      <c r="AY28" s="21" t="s">
        <v>1871</v>
      </c>
      <c r="AZ28" s="21" t="s">
        <v>1849</v>
      </c>
      <c r="BA28" s="21">
        <v>14</v>
      </c>
      <c r="BB28" s="21">
        <v>2</v>
      </c>
      <c r="BG28" s="30"/>
      <c r="BP28" s="30"/>
      <c r="BU28" t="s">
        <v>733</v>
      </c>
      <c r="BV28" s="21" t="s">
        <v>734</v>
      </c>
      <c r="BW28" s="21" t="s">
        <v>1476</v>
      </c>
      <c r="BX28" s="21" t="s">
        <v>1477</v>
      </c>
      <c r="BY28" s="31">
        <v>446040</v>
      </c>
      <c r="BZ28" s="31">
        <v>446040</v>
      </c>
      <c r="CA28" t="s">
        <v>1432</v>
      </c>
      <c r="CF28" s="31"/>
      <c r="CG28" s="31"/>
      <c r="CM28" s="31"/>
      <c r="CN28" s="31"/>
      <c r="CT28" s="31"/>
      <c r="CU28" s="31"/>
      <c r="CV28" s="31"/>
      <c r="DA28" s="31"/>
      <c r="DB28" s="31"/>
      <c r="DC28" s="31"/>
      <c r="DH28" s="31"/>
      <c r="DI28" s="31"/>
      <c r="DO28" s="31"/>
      <c r="DP28" s="31"/>
      <c r="DR28" t="s">
        <v>1850</v>
      </c>
      <c r="DS28" t="s">
        <v>479</v>
      </c>
      <c r="DT28" t="s">
        <v>583</v>
      </c>
      <c r="DU28" s="29" t="s">
        <v>1869</v>
      </c>
      <c r="DV28" t="s">
        <v>172</v>
      </c>
      <c r="DW28" t="s">
        <v>327</v>
      </c>
      <c r="DX28" t="s">
        <v>170</v>
      </c>
      <c r="DY28" t="s">
        <v>167</v>
      </c>
      <c r="DZ28" t="s">
        <v>168</v>
      </c>
      <c r="EA28" s="22">
        <v>43083.486793981479</v>
      </c>
      <c r="EB28" t="s">
        <v>1480</v>
      </c>
      <c r="EC28" t="s">
        <v>1872</v>
      </c>
    </row>
    <row r="29" spans="1:133" x14ac:dyDescent="0.4">
      <c r="A29" s="30"/>
      <c r="B29" s="22">
        <v>42935.679166666669</v>
      </c>
      <c r="C29" s="22" t="s">
        <v>1430</v>
      </c>
      <c r="D29" s="30" t="s">
        <v>477</v>
      </c>
      <c r="E29" s="30" t="s">
        <v>582</v>
      </c>
      <c r="F29" s="30" t="s">
        <v>169</v>
      </c>
      <c r="G29" s="30" t="s">
        <v>171</v>
      </c>
      <c r="H29" t="s">
        <v>94</v>
      </c>
      <c r="I29" t="s">
        <v>1431</v>
      </c>
      <c r="J29" t="s">
        <v>611</v>
      </c>
      <c r="L29">
        <v>1</v>
      </c>
      <c r="M29" s="26">
        <v>2.06</v>
      </c>
      <c r="N29" t="s">
        <v>540</v>
      </c>
      <c r="Q29" s="29" t="s">
        <v>13</v>
      </c>
      <c r="R29" s="29" t="str">
        <f>IFERROR(MID(RADataTable[[#This Row],[RAtemplate]],1,LEN(RADataTable[[#This Row],[RAtemplate]])-8),"RA") &amp; " " &amp; RADataTable[[#This Row],[prop_id0]] &amp; " " &amp; RADataTable[[#This Row],[last0]]</f>
        <v>RA 1751040 Price</v>
      </c>
      <c r="U29" s="21" t="str">
        <f>IF(signer1="PD",IF(ISBLANK(RADataTable[[#This Row],[sign_blck_name]]),"",RADataTable[[#This Row],[sign_blck_name]]),IF(ISBLANK(signer1),"",signer1))</f>
        <v>Tracy J. Kimbrel</v>
      </c>
      <c r="V29" s="29" t="str">
        <f>signer2</f>
        <v>Cognizant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ecprice@cs.utexas.edu</v>
      </c>
      <c r="Y29" s="15" t="str">
        <f>HYPERLINK("mailto:"&amp;RADataTable[[#This Row],[allPIemail]]&amp;"&amp;subject=NSF Proposal:  "&amp;RADataTable[[#This Row],[Div]]&amp;" "&amp;RADataTable[[#This Row],[prop_id0]], "PIs@")</f>
        <v>PIs@</v>
      </c>
      <c r="Z29" t="s">
        <v>478</v>
      </c>
      <c r="AA29" t="s">
        <v>1004</v>
      </c>
      <c r="AB29">
        <v>4</v>
      </c>
      <c r="AC29">
        <v>4</v>
      </c>
      <c r="AD29"/>
      <c r="AE29" s="21" t="str">
        <f>IF(RADataTable[[#This Row],[maxScore]]-RADataTable[[#This Row],[minScore]]&gt;4,"Y","")</f>
        <v/>
      </c>
      <c r="AF29" s="21">
        <v>7</v>
      </c>
      <c r="AG29" s="26">
        <v>7.5</v>
      </c>
      <c r="AH29">
        <v>9</v>
      </c>
      <c r="AI29" t="s">
        <v>1466</v>
      </c>
      <c r="AJ29" s="30">
        <v>43060.310416666667</v>
      </c>
      <c r="AK29" s="13">
        <v>499575</v>
      </c>
      <c r="AL29" s="13">
        <v>499575</v>
      </c>
      <c r="AM29">
        <v>0</v>
      </c>
      <c r="AN29" s="30">
        <v>43344</v>
      </c>
      <c r="AO29" s="21">
        <v>60</v>
      </c>
      <c r="AP29" s="21" t="s">
        <v>1583</v>
      </c>
      <c r="AS29" s="30"/>
      <c r="AT29" t="s">
        <v>714</v>
      </c>
      <c r="AU29" s="21" t="s">
        <v>539</v>
      </c>
      <c r="AV29" s="21">
        <v>6</v>
      </c>
      <c r="AW29" s="21" t="s">
        <v>1866</v>
      </c>
      <c r="AX29" s="30">
        <v>43060</v>
      </c>
      <c r="AY29" s="21" t="s">
        <v>1864</v>
      </c>
      <c r="AZ29" s="21" t="s">
        <v>1868</v>
      </c>
      <c r="BA29" s="21">
        <v>12</v>
      </c>
      <c r="BB29" s="21">
        <v>2</v>
      </c>
      <c r="BG29" s="30"/>
      <c r="BP29" s="30"/>
      <c r="BU29" t="s">
        <v>1004</v>
      </c>
      <c r="BV29" s="21" t="s">
        <v>1005</v>
      </c>
      <c r="BW29" s="21" t="s">
        <v>1582</v>
      </c>
      <c r="BX29" s="21" t="s">
        <v>550</v>
      </c>
      <c r="BY29" s="31">
        <v>499575</v>
      </c>
      <c r="BZ29" s="31">
        <v>499575</v>
      </c>
      <c r="CA29" t="s">
        <v>1432</v>
      </c>
      <c r="CF29" s="31"/>
      <c r="CG29" s="31"/>
      <c r="CM29" s="31"/>
      <c r="CN29" s="31"/>
      <c r="CT29" s="31"/>
      <c r="CU29" s="31"/>
      <c r="CV29" s="31"/>
      <c r="DA29" s="31"/>
      <c r="DB29" s="31"/>
      <c r="DC29" s="31"/>
      <c r="DH29" s="31"/>
      <c r="DI29" s="31"/>
      <c r="DO29" s="31"/>
      <c r="DP29" s="31"/>
      <c r="DR29" t="s">
        <v>1850</v>
      </c>
      <c r="DS29" t="s">
        <v>479</v>
      </c>
      <c r="DT29" t="s">
        <v>583</v>
      </c>
      <c r="DU29" s="29" t="s">
        <v>1869</v>
      </c>
      <c r="DV29" t="s">
        <v>172</v>
      </c>
      <c r="DW29" t="s">
        <v>327</v>
      </c>
      <c r="DX29" t="s">
        <v>170</v>
      </c>
      <c r="DY29" t="s">
        <v>167</v>
      </c>
      <c r="DZ29" t="s">
        <v>168</v>
      </c>
      <c r="EA29" s="22">
        <v>43083.486793981479</v>
      </c>
      <c r="EB29" t="s">
        <v>1584</v>
      </c>
      <c r="EC29" t="s">
        <v>1920</v>
      </c>
    </row>
    <row r="30" spans="1:133" x14ac:dyDescent="0.4">
      <c r="A30" s="30"/>
      <c r="B30" s="22">
        <v>43003.681944444441</v>
      </c>
      <c r="C30" s="22" t="s">
        <v>524</v>
      </c>
      <c r="D30" s="30" t="s">
        <v>477</v>
      </c>
      <c r="E30" s="30" t="s">
        <v>582</v>
      </c>
      <c r="F30" s="30" t="s">
        <v>169</v>
      </c>
      <c r="G30" s="30" t="s">
        <v>171</v>
      </c>
      <c r="H30" t="s">
        <v>94</v>
      </c>
      <c r="I30" t="s">
        <v>525</v>
      </c>
      <c r="J30" t="s">
        <v>611</v>
      </c>
      <c r="L30">
        <v>1</v>
      </c>
      <c r="M30" s="26">
        <v>2.06</v>
      </c>
      <c r="N30" t="s">
        <v>540</v>
      </c>
      <c r="Q30" s="29" t="s">
        <v>13</v>
      </c>
      <c r="R30" s="29" t="str">
        <f>IFERROR(MID(RADataTable[[#This Row],[RAtemplate]],1,LEN(RADataTable[[#This Row],[RAtemplate]])-8),"RA") &amp; " " &amp; RADataTable[[#This Row],[prop_id0]] &amp; " " &amp; RADataTable[[#This Row],[last0]]</f>
        <v>RA 1763240 Gupta</v>
      </c>
      <c r="U30" s="21" t="str">
        <f>IF(signer1="PD",IF(ISBLANK(RADataTable[[#This Row],[sign_blck_name]]),"",RADataTable[[#This Row],[sign_blck_name]]),IF(ISBLANK(signer1),"",signer1))</f>
        <v>Tracy J. Kimbrel</v>
      </c>
      <c r="V30" s="29" t="str">
        <f>signer2</f>
        <v>Cognizant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anupamg@cs.cmu.edu</v>
      </c>
      <c r="Y30" s="15" t="str">
        <f>HYPERLINK("mailto:"&amp;RADataTable[[#This Row],[allPIemail]]&amp;"&amp;subject=NSF Proposal:  "&amp;RADataTable[[#This Row],[Div]]&amp;" "&amp;RADataTable[[#This Row],[prop_id0]], "PIs@")</f>
        <v>PIs@</v>
      </c>
      <c r="Z30" t="s">
        <v>478</v>
      </c>
      <c r="AA30" t="s">
        <v>1260</v>
      </c>
      <c r="AB30">
        <v>4</v>
      </c>
      <c r="AC30">
        <v>4</v>
      </c>
      <c r="AD30"/>
      <c r="AE30" s="21" t="str">
        <f>IF(RADataTable[[#This Row],[maxScore]]-RADataTable[[#This Row],[minScore]]&gt;4,"Y","")</f>
        <v>Y</v>
      </c>
      <c r="AF30" s="21">
        <v>3</v>
      </c>
      <c r="AG30" s="26">
        <v>6.25</v>
      </c>
      <c r="AH30">
        <v>8</v>
      </c>
      <c r="AI30" t="s">
        <v>526</v>
      </c>
      <c r="AJ30" s="30">
        <v>43080.080555555556</v>
      </c>
      <c r="AK30" s="13">
        <v>1199999</v>
      </c>
      <c r="AL30" s="13">
        <v>1199999</v>
      </c>
      <c r="AM30">
        <v>0</v>
      </c>
      <c r="AN30" s="30">
        <v>43344</v>
      </c>
      <c r="AO30" s="21">
        <v>48</v>
      </c>
      <c r="AP30" s="21" t="s">
        <v>1706</v>
      </c>
      <c r="AS30" s="30"/>
      <c r="AT30" t="s">
        <v>1262</v>
      </c>
      <c r="AU30" s="21" t="s">
        <v>539</v>
      </c>
      <c r="AV30" s="21">
        <v>6</v>
      </c>
      <c r="AW30" s="21" t="s">
        <v>1971</v>
      </c>
      <c r="AX30" s="30">
        <v>43081</v>
      </c>
      <c r="AY30" s="21" t="s">
        <v>1972</v>
      </c>
      <c r="AZ30" s="21" t="s">
        <v>1973</v>
      </c>
      <c r="BA30" s="21">
        <v>9</v>
      </c>
      <c r="BG30" s="30"/>
      <c r="BP30" s="30"/>
      <c r="BU30" t="s">
        <v>1260</v>
      </c>
      <c r="BV30" s="21" t="s">
        <v>1261</v>
      </c>
      <c r="BW30" s="21" t="s">
        <v>1705</v>
      </c>
      <c r="BX30" s="21" t="s">
        <v>497</v>
      </c>
      <c r="BY30" s="31">
        <v>600000</v>
      </c>
      <c r="BZ30" s="31">
        <v>600000</v>
      </c>
      <c r="CA30" t="s">
        <v>1704</v>
      </c>
      <c r="CB30" s="21" t="s">
        <v>1708</v>
      </c>
      <c r="CC30" s="21" t="s">
        <v>844</v>
      </c>
      <c r="CD30" s="21" t="s">
        <v>1516</v>
      </c>
      <c r="CE30" s="21" t="s">
        <v>307</v>
      </c>
      <c r="CF30" s="31">
        <v>599999</v>
      </c>
      <c r="CG30" s="31">
        <v>599999</v>
      </c>
      <c r="CH30" t="s">
        <v>1704</v>
      </c>
      <c r="CM30" s="31"/>
      <c r="CN30" s="31"/>
      <c r="CT30" s="31"/>
      <c r="CU30" s="31"/>
      <c r="CV30" s="31"/>
      <c r="DA30" s="31"/>
      <c r="DB30" s="31"/>
      <c r="DC30" s="31"/>
      <c r="DH30" s="31"/>
      <c r="DI30" s="31"/>
      <c r="DO30" s="31"/>
      <c r="DP30" s="31"/>
      <c r="DR30" t="s">
        <v>529</v>
      </c>
      <c r="DS30" t="s">
        <v>479</v>
      </c>
      <c r="DT30" t="s">
        <v>583</v>
      </c>
      <c r="DU30" s="29" t="s">
        <v>1869</v>
      </c>
      <c r="DV30" t="s">
        <v>172</v>
      </c>
      <c r="DW30" t="s">
        <v>327</v>
      </c>
      <c r="DX30" t="s">
        <v>170</v>
      </c>
      <c r="DY30" t="s">
        <v>167</v>
      </c>
      <c r="DZ30" t="s">
        <v>168</v>
      </c>
      <c r="EA30" s="22">
        <v>43083.486793981479</v>
      </c>
      <c r="EB30" t="s">
        <v>1707</v>
      </c>
      <c r="EC30" t="s">
        <v>1974</v>
      </c>
    </row>
    <row r="31" spans="1:133" x14ac:dyDescent="0.4">
      <c r="A31" s="30"/>
      <c r="B31" s="22">
        <v>42934.507638888892</v>
      </c>
      <c r="C31" s="22" t="s">
        <v>1430</v>
      </c>
      <c r="D31" s="30" t="s">
        <v>477</v>
      </c>
      <c r="E31" s="30" t="s">
        <v>582</v>
      </c>
      <c r="F31" s="30" t="s">
        <v>169</v>
      </c>
      <c r="G31" s="30" t="s">
        <v>171</v>
      </c>
      <c r="H31" t="s">
        <v>94</v>
      </c>
      <c r="I31" t="s">
        <v>1431</v>
      </c>
      <c r="J31" t="s">
        <v>654</v>
      </c>
      <c r="L31">
        <v>1</v>
      </c>
      <c r="M31" s="26">
        <v>2.0699999999999998</v>
      </c>
      <c r="N31" t="s">
        <v>540</v>
      </c>
      <c r="Q31" s="29" t="s">
        <v>13</v>
      </c>
      <c r="R31" s="29" t="str">
        <f>IFERROR(MID(RADataTable[[#This Row],[RAtemplate]],1,LEN(RADataTable[[#This Row],[RAtemplate]])-8),"RA") &amp; " " &amp; RADataTable[[#This Row],[prop_id0]] &amp; " " &amp; RADataTable[[#This Row],[last0]]</f>
        <v>RA 1749734 Sidford</v>
      </c>
      <c r="U31" s="21" t="str">
        <f>IF(signer1="PD",IF(ISBLANK(RADataTable[[#This Row],[sign_blck_name]]),"",RADataTable[[#This Row],[sign_blck_name]]),IF(ISBLANK(signer1),"",signer1))</f>
        <v>Rahul Shah</v>
      </c>
      <c r="V31" s="29" t="str">
        <f>signer2</f>
        <v>Cognizant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sidford@stanford.edu</v>
      </c>
      <c r="Y31" s="15" t="str">
        <f>HYPERLINK("mailto:"&amp;RADataTable[[#This Row],[allPIemail]]&amp;"&amp;subject=NSF Proposal:  "&amp;RADataTable[[#This Row],[Div]]&amp;" "&amp;RADataTable[[#This Row],[prop_id0]], "PIs@")</f>
        <v>PIs@</v>
      </c>
      <c r="Z31" t="s">
        <v>478</v>
      </c>
      <c r="AA31" t="s">
        <v>702</v>
      </c>
      <c r="AB31">
        <v>4</v>
      </c>
      <c r="AC31">
        <v>4</v>
      </c>
      <c r="AD31"/>
      <c r="AE31" s="21" t="str">
        <f>IF(RADataTable[[#This Row],[maxScore]]-RADataTable[[#This Row],[minScore]]&gt;4,"Y","")</f>
        <v/>
      </c>
      <c r="AF31" s="21">
        <v>7</v>
      </c>
      <c r="AG31" s="26">
        <v>7.5</v>
      </c>
      <c r="AH31">
        <v>9</v>
      </c>
      <c r="AI31" t="s">
        <v>1466</v>
      </c>
      <c r="AJ31" s="30">
        <v>43032.515277777777</v>
      </c>
      <c r="AK31" s="13">
        <v>500000</v>
      </c>
      <c r="AL31" s="13">
        <v>500000</v>
      </c>
      <c r="AM31">
        <v>0</v>
      </c>
      <c r="AN31" s="30">
        <v>43009</v>
      </c>
      <c r="AO31" s="21">
        <v>60</v>
      </c>
      <c r="AP31" s="21" t="s">
        <v>1467</v>
      </c>
      <c r="AS31" s="30"/>
      <c r="AT31" t="s">
        <v>605</v>
      </c>
      <c r="AU31" s="21" t="s">
        <v>539</v>
      </c>
      <c r="AV31" s="21">
        <v>7</v>
      </c>
      <c r="AW31" s="21" t="s">
        <v>1847</v>
      </c>
      <c r="AX31" s="30">
        <v>43032</v>
      </c>
      <c r="AY31" s="21" t="s">
        <v>1864</v>
      </c>
      <c r="AZ31" s="21" t="s">
        <v>1849</v>
      </c>
      <c r="BA31" s="21">
        <v>14</v>
      </c>
      <c r="BB31" s="21">
        <v>1</v>
      </c>
      <c r="BG31" s="30"/>
      <c r="BP31" s="30"/>
      <c r="BU31" t="s">
        <v>702</v>
      </c>
      <c r="BV31" s="21" t="s">
        <v>703</v>
      </c>
      <c r="BW31" s="21" t="s">
        <v>1464</v>
      </c>
      <c r="BX31" s="21" t="s">
        <v>1465</v>
      </c>
      <c r="BY31" s="31">
        <v>500000</v>
      </c>
      <c r="BZ31" s="31">
        <v>500000</v>
      </c>
      <c r="CA31" t="s">
        <v>584</v>
      </c>
      <c r="CF31" s="31"/>
      <c r="CG31" s="31"/>
      <c r="CM31" s="31"/>
      <c r="CN31" s="31"/>
      <c r="CT31" s="31"/>
      <c r="CU31" s="31"/>
      <c r="CV31" s="31"/>
      <c r="DA31" s="31"/>
      <c r="DB31" s="31"/>
      <c r="DC31" s="31"/>
      <c r="DH31" s="31"/>
      <c r="DI31" s="31"/>
      <c r="DO31" s="31"/>
      <c r="DP31" s="31"/>
      <c r="DR31" t="s">
        <v>1850</v>
      </c>
      <c r="DS31" t="s">
        <v>479</v>
      </c>
      <c r="DT31" t="s">
        <v>583</v>
      </c>
      <c r="DU31" s="29" t="s">
        <v>1856</v>
      </c>
      <c r="DV31" t="s">
        <v>172</v>
      </c>
      <c r="DW31" t="s">
        <v>327</v>
      </c>
      <c r="DX31" t="s">
        <v>170</v>
      </c>
      <c r="DY31" t="s">
        <v>167</v>
      </c>
      <c r="DZ31" t="s">
        <v>168</v>
      </c>
      <c r="EA31" s="22">
        <v>43083.486793981479</v>
      </c>
      <c r="EB31" t="s">
        <v>1468</v>
      </c>
      <c r="EC31" t="s">
        <v>1865</v>
      </c>
    </row>
    <row r="32" spans="1:133" x14ac:dyDescent="0.4">
      <c r="A32" s="30"/>
      <c r="B32" s="22">
        <v>42934.524305555555</v>
      </c>
      <c r="C32" s="22" t="s">
        <v>1430</v>
      </c>
      <c r="D32" s="30" t="s">
        <v>477</v>
      </c>
      <c r="E32" s="30" t="s">
        <v>582</v>
      </c>
      <c r="F32" s="30" t="s">
        <v>169</v>
      </c>
      <c r="G32" s="30" t="s">
        <v>171</v>
      </c>
      <c r="H32" t="s">
        <v>94</v>
      </c>
      <c r="I32" t="s">
        <v>1431</v>
      </c>
      <c r="J32" t="s">
        <v>611</v>
      </c>
      <c r="L32">
        <v>1</v>
      </c>
      <c r="M32" s="26">
        <v>2.0699999999999998</v>
      </c>
      <c r="N32" t="s">
        <v>540</v>
      </c>
      <c r="Q32" s="29" t="s">
        <v>13</v>
      </c>
      <c r="R32" s="29" t="str">
        <f>IFERROR(MID(RADataTable[[#This Row],[RAtemplate]],1,LEN(RADataTable[[#This Row],[RAtemplate]])-8),"RA") &amp; " " &amp; RADataTable[[#This Row],[prop_id0]] &amp; " " &amp; RADataTable[[#This Row],[last0]]</f>
        <v>RA 1749747 Weinstein</v>
      </c>
      <c r="U32" s="21" t="str">
        <f>IF(signer1="PD",IF(ISBLANK(RADataTable[[#This Row],[sign_blck_name]]),"",RADataTable[[#This Row],[sign_blck_name]]),IF(ISBLANK(signer1),"",signer1))</f>
        <v>Tracy J. Kimbrel</v>
      </c>
      <c r="V32" s="29" t="str">
        <f>signer2</f>
        <v>Cognizant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omri@cs.columbia.edu</v>
      </c>
      <c r="Y32" s="15" t="str">
        <f>HYPERLINK("mailto:"&amp;RADataTable[[#This Row],[allPIemail]]&amp;"&amp;subject=NSF Proposal:  "&amp;RADataTable[[#This Row],[Div]]&amp;" "&amp;RADataTable[[#This Row],[prop_id0]], "PIs@")</f>
        <v>PIs@</v>
      </c>
      <c r="Z32" t="s">
        <v>478</v>
      </c>
      <c r="AA32" t="s">
        <v>712</v>
      </c>
      <c r="AB32">
        <v>4</v>
      </c>
      <c r="AC32">
        <v>4</v>
      </c>
      <c r="AD32"/>
      <c r="AE32" s="21" t="str">
        <f>IF(RADataTable[[#This Row],[maxScore]]-RADataTable[[#This Row],[minScore]]&gt;4,"Y","")</f>
        <v/>
      </c>
      <c r="AF32" s="21">
        <v>5</v>
      </c>
      <c r="AG32" s="26">
        <v>7</v>
      </c>
      <c r="AH32">
        <v>9</v>
      </c>
      <c r="AI32" t="s">
        <v>1473</v>
      </c>
      <c r="AJ32" s="30">
        <v>43059.920138888891</v>
      </c>
      <c r="AK32" s="13">
        <v>400000</v>
      </c>
      <c r="AL32" s="13">
        <v>400000</v>
      </c>
      <c r="AM32">
        <v>0</v>
      </c>
      <c r="AN32" s="30">
        <v>42979</v>
      </c>
      <c r="AO32" s="21">
        <v>60</v>
      </c>
      <c r="AP32" s="21" t="s">
        <v>1474</v>
      </c>
      <c r="AS32" s="30"/>
      <c r="AT32" t="s">
        <v>714</v>
      </c>
      <c r="AU32" s="21" t="s">
        <v>539</v>
      </c>
      <c r="AV32" s="21">
        <v>7</v>
      </c>
      <c r="AW32" s="21" t="s">
        <v>1866</v>
      </c>
      <c r="AX32" s="30">
        <v>43060</v>
      </c>
      <c r="AY32" s="21" t="s">
        <v>1867</v>
      </c>
      <c r="AZ32" s="21" t="s">
        <v>1868</v>
      </c>
      <c r="BA32" s="21">
        <v>12</v>
      </c>
      <c r="BG32" s="30"/>
      <c r="BP32" s="30"/>
      <c r="BU32" t="s">
        <v>712</v>
      </c>
      <c r="BV32" s="21" t="s">
        <v>713</v>
      </c>
      <c r="BW32" s="21" t="s">
        <v>1471</v>
      </c>
      <c r="BX32" s="21" t="s">
        <v>1472</v>
      </c>
      <c r="BY32" s="31">
        <v>400000</v>
      </c>
      <c r="BZ32" s="31">
        <v>400000</v>
      </c>
      <c r="CA32" t="s">
        <v>1469</v>
      </c>
      <c r="CF32" s="31"/>
      <c r="CG32" s="31"/>
      <c r="CM32" s="31"/>
      <c r="CN32" s="31"/>
      <c r="CT32" s="31"/>
      <c r="CU32" s="31"/>
      <c r="CV32" s="31"/>
      <c r="DA32" s="31"/>
      <c r="DB32" s="31"/>
      <c r="DC32" s="31"/>
      <c r="DH32" s="31"/>
      <c r="DI32" s="31"/>
      <c r="DO32" s="31"/>
      <c r="DP32" s="31"/>
      <c r="DR32" t="s">
        <v>1850</v>
      </c>
      <c r="DS32" t="s">
        <v>479</v>
      </c>
      <c r="DT32" t="s">
        <v>583</v>
      </c>
      <c r="DU32" s="29" t="s">
        <v>1869</v>
      </c>
      <c r="DV32" t="s">
        <v>172</v>
      </c>
      <c r="DW32" t="s">
        <v>327</v>
      </c>
      <c r="DX32" t="s">
        <v>170</v>
      </c>
      <c r="DY32" t="s">
        <v>167</v>
      </c>
      <c r="DZ32" t="s">
        <v>168</v>
      </c>
      <c r="EA32" s="22">
        <v>43083.486793981479</v>
      </c>
      <c r="EB32" t="s">
        <v>1475</v>
      </c>
      <c r="EC32" t="s">
        <v>1870</v>
      </c>
    </row>
    <row r="33" spans="1:133" x14ac:dyDescent="0.4">
      <c r="A33" s="30"/>
      <c r="B33" s="22">
        <v>42934.734722222223</v>
      </c>
      <c r="C33" s="22" t="s">
        <v>1430</v>
      </c>
      <c r="D33" s="30" t="s">
        <v>477</v>
      </c>
      <c r="E33" s="30" t="s">
        <v>582</v>
      </c>
      <c r="F33" s="30" t="s">
        <v>169</v>
      </c>
      <c r="G33" s="30" t="s">
        <v>171</v>
      </c>
      <c r="H33" t="s">
        <v>94</v>
      </c>
      <c r="I33" t="s">
        <v>1431</v>
      </c>
      <c r="J33" t="s">
        <v>611</v>
      </c>
      <c r="L33">
        <v>1</v>
      </c>
      <c r="M33" s="26">
        <v>2.0699999999999998</v>
      </c>
      <c r="N33" t="s">
        <v>540</v>
      </c>
      <c r="Q33" s="29" t="s">
        <v>13</v>
      </c>
      <c r="R33" s="29" t="str">
        <f>IFERROR(MID(RADataTable[[#This Row],[RAtemplate]],1,LEN(RADataTable[[#This Row],[RAtemplate]])-8),"RA") &amp; " " &amp; RADataTable[[#This Row],[prop_id0]] &amp; " " &amp; RADataTable[[#This Row],[last0]]</f>
        <v>RA 1750032 Thaler</v>
      </c>
      <c r="U33" s="21" t="str">
        <f>IF(signer1="PD",IF(ISBLANK(RADataTable[[#This Row],[sign_blck_name]]),"",RADataTable[[#This Row],[sign_blck_name]]),IF(ISBLANK(signer1),"",signer1))</f>
        <v>Tracy J. Kimbrel</v>
      </c>
      <c r="V33" s="29" t="str">
        <f>signer2</f>
        <v>Cognizant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jt1157@georgetown.edu</v>
      </c>
      <c r="Y33" s="15" t="str">
        <f>HYPERLINK("mailto:"&amp;RADataTable[[#This Row],[allPIemail]]&amp;"&amp;subject=NSF Proposal:  "&amp;RADataTable[[#This Row],[Div]]&amp;" "&amp;RADataTable[[#This Row],[prop_id0]], "PIs@")</f>
        <v>PIs@</v>
      </c>
      <c r="Z33" t="s">
        <v>478</v>
      </c>
      <c r="AA33" t="s">
        <v>771</v>
      </c>
      <c r="AB33">
        <v>4</v>
      </c>
      <c r="AC33">
        <v>4</v>
      </c>
      <c r="AD33"/>
      <c r="AE33" s="21" t="str">
        <f>IF(RADataTable[[#This Row],[maxScore]]-RADataTable[[#This Row],[minScore]]&gt;4,"Y","")</f>
        <v/>
      </c>
      <c r="AF33" s="21">
        <v>6</v>
      </c>
      <c r="AG33" s="26">
        <v>6.75</v>
      </c>
      <c r="AH33">
        <v>7</v>
      </c>
      <c r="AI33" t="s">
        <v>1493</v>
      </c>
      <c r="AJ33" s="30">
        <v>43059.936805555553</v>
      </c>
      <c r="AK33" s="13">
        <v>525636</v>
      </c>
      <c r="AL33" s="13">
        <v>525636</v>
      </c>
      <c r="AM33">
        <v>0</v>
      </c>
      <c r="AN33" s="30">
        <v>43252</v>
      </c>
      <c r="AO33" s="21">
        <v>60</v>
      </c>
      <c r="AP33" s="21" t="s">
        <v>1494</v>
      </c>
      <c r="AS33" s="30"/>
      <c r="AT33" t="s">
        <v>714</v>
      </c>
      <c r="AU33" s="21" t="s">
        <v>539</v>
      </c>
      <c r="AV33" s="21">
        <v>7</v>
      </c>
      <c r="AW33" s="21" t="s">
        <v>1866</v>
      </c>
      <c r="AX33" s="30">
        <v>43060</v>
      </c>
      <c r="AY33" s="21" t="s">
        <v>1877</v>
      </c>
      <c r="AZ33" s="21" t="s">
        <v>1868</v>
      </c>
      <c r="BA33" s="21">
        <v>12</v>
      </c>
      <c r="BG33" s="30"/>
      <c r="BP33" s="30"/>
      <c r="BU33" t="s">
        <v>771</v>
      </c>
      <c r="BV33" s="21" t="s">
        <v>772</v>
      </c>
      <c r="BW33" s="21" t="s">
        <v>1486</v>
      </c>
      <c r="BX33" s="21" t="s">
        <v>1492</v>
      </c>
      <c r="BY33" s="31">
        <v>525636</v>
      </c>
      <c r="BZ33" s="31">
        <v>525636</v>
      </c>
      <c r="CA33" t="s">
        <v>1469</v>
      </c>
      <c r="CF33" s="31"/>
      <c r="CG33" s="31"/>
      <c r="CM33" s="31"/>
      <c r="CN33" s="31"/>
      <c r="CT33" s="31"/>
      <c r="CU33" s="31"/>
      <c r="CV33" s="31"/>
      <c r="DA33" s="31"/>
      <c r="DB33" s="31"/>
      <c r="DC33" s="31"/>
      <c r="DH33" s="31"/>
      <c r="DI33" s="31"/>
      <c r="DO33" s="31"/>
      <c r="DP33" s="31"/>
      <c r="DR33" t="s">
        <v>1850</v>
      </c>
      <c r="DS33" t="s">
        <v>479</v>
      </c>
      <c r="DT33" t="s">
        <v>583</v>
      </c>
      <c r="DU33" s="29" t="s">
        <v>1869</v>
      </c>
      <c r="DV33" t="s">
        <v>172</v>
      </c>
      <c r="DW33" t="s">
        <v>327</v>
      </c>
      <c r="DX33" t="s">
        <v>170</v>
      </c>
      <c r="DY33" t="s">
        <v>167</v>
      </c>
      <c r="DZ33" t="s">
        <v>168</v>
      </c>
      <c r="EA33" s="22">
        <v>43083.486793981479</v>
      </c>
      <c r="EB33" t="s">
        <v>1495</v>
      </c>
      <c r="EC33" t="s">
        <v>1878</v>
      </c>
    </row>
    <row r="34" spans="1:133" x14ac:dyDescent="0.4">
      <c r="A34" s="30"/>
      <c r="B34" s="22">
        <v>42935.535416666666</v>
      </c>
      <c r="C34" s="22" t="s">
        <v>1430</v>
      </c>
      <c r="D34" s="30" t="s">
        <v>477</v>
      </c>
      <c r="E34" s="30" t="s">
        <v>582</v>
      </c>
      <c r="F34" s="30" t="s">
        <v>169</v>
      </c>
      <c r="G34" s="30" t="s">
        <v>171</v>
      </c>
      <c r="H34" t="s">
        <v>94</v>
      </c>
      <c r="I34" t="s">
        <v>1431</v>
      </c>
      <c r="J34" t="s">
        <v>611</v>
      </c>
      <c r="L34">
        <v>1</v>
      </c>
      <c r="M34" s="26">
        <v>2.0699999999999998</v>
      </c>
      <c r="N34" t="s">
        <v>540</v>
      </c>
      <c r="Q34" s="29" t="s">
        <v>13</v>
      </c>
      <c r="R34" s="29" t="str">
        <f>IFERROR(MID(RADataTable[[#This Row],[RAtemplate]],1,LEN(RADataTable[[#This Row],[RAtemplate]])-8),"RA") &amp; " " &amp; RADataTable[[#This Row],[prop_id0]] &amp; " " &amp; RADataTable[[#This Row],[last0]]</f>
        <v>RA 1750436 Mehta</v>
      </c>
      <c r="U34" s="21" t="str">
        <f>IF(signer1="PD",IF(ISBLANK(RADataTable[[#This Row],[sign_blck_name]]),"",RADataTable[[#This Row],[sign_blck_name]]),IF(ISBLANK(signer1),"",signer1))</f>
        <v>Tracy J. Kimbrel</v>
      </c>
      <c r="V34" s="29" t="str">
        <f>signer2</f>
        <v>Cognizant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rutameht@illinois.edu</v>
      </c>
      <c r="Y34" s="15" t="str">
        <f>HYPERLINK("mailto:"&amp;RADataTable[[#This Row],[allPIemail]]&amp;"&amp;subject=NSF Proposal:  "&amp;RADataTable[[#This Row],[Div]]&amp;" "&amp;RADataTable[[#This Row],[prop_id0]], "PIs@")</f>
        <v>PIs@</v>
      </c>
      <c r="Z34" t="s">
        <v>478</v>
      </c>
      <c r="AA34" t="s">
        <v>885</v>
      </c>
      <c r="AB34">
        <v>4</v>
      </c>
      <c r="AC34">
        <v>4</v>
      </c>
      <c r="AD34"/>
      <c r="AE34" s="21" t="str">
        <f>IF(RADataTable[[#This Row],[maxScore]]-RADataTable[[#This Row],[minScore]]&gt;4,"Y","")</f>
        <v/>
      </c>
      <c r="AF34" s="21">
        <v>6</v>
      </c>
      <c r="AG34" s="26">
        <v>7.25</v>
      </c>
      <c r="AH34">
        <v>9</v>
      </c>
      <c r="AI34" t="s">
        <v>1541</v>
      </c>
      <c r="AJ34" s="30">
        <v>43060.566666666666</v>
      </c>
      <c r="AK34" s="13">
        <v>499906</v>
      </c>
      <c r="AL34" s="13">
        <v>499906</v>
      </c>
      <c r="AM34">
        <v>0</v>
      </c>
      <c r="AN34" s="30">
        <v>43132</v>
      </c>
      <c r="AO34" s="21">
        <v>60</v>
      </c>
      <c r="AP34" s="21" t="s">
        <v>1542</v>
      </c>
      <c r="AS34" s="30"/>
      <c r="AT34" t="s">
        <v>714</v>
      </c>
      <c r="AU34" s="21" t="s">
        <v>539</v>
      </c>
      <c r="AV34" s="21">
        <v>7</v>
      </c>
      <c r="AW34" s="21" t="s">
        <v>1866</v>
      </c>
      <c r="AX34" s="30">
        <v>43060</v>
      </c>
      <c r="AY34" s="21" t="s">
        <v>1898</v>
      </c>
      <c r="AZ34" s="21" t="s">
        <v>1868</v>
      </c>
      <c r="BA34" s="21">
        <v>12</v>
      </c>
      <c r="BB34" s="21">
        <v>1</v>
      </c>
      <c r="BG34" s="30"/>
      <c r="BP34" s="30"/>
      <c r="BU34" t="s">
        <v>885</v>
      </c>
      <c r="BV34" s="21" t="s">
        <v>886</v>
      </c>
      <c r="BW34" s="21" t="s">
        <v>1540</v>
      </c>
      <c r="BX34" s="21" t="s">
        <v>1477</v>
      </c>
      <c r="BY34" s="31">
        <v>499906</v>
      </c>
      <c r="BZ34" s="31">
        <v>499906</v>
      </c>
      <c r="CA34" t="s">
        <v>1539</v>
      </c>
      <c r="CF34" s="31"/>
      <c r="CG34" s="31"/>
      <c r="CM34" s="31"/>
      <c r="CN34" s="31"/>
      <c r="CT34" s="31"/>
      <c r="CU34" s="31"/>
      <c r="CV34" s="31"/>
      <c r="DA34" s="31"/>
      <c r="DB34" s="31"/>
      <c r="DC34" s="31"/>
      <c r="DH34" s="31"/>
      <c r="DI34" s="31"/>
      <c r="DO34" s="31"/>
      <c r="DP34" s="31"/>
      <c r="DR34" t="s">
        <v>1850</v>
      </c>
      <c r="DS34" t="s">
        <v>479</v>
      </c>
      <c r="DT34" t="s">
        <v>583</v>
      </c>
      <c r="DU34" s="29" t="s">
        <v>1869</v>
      </c>
      <c r="DV34" t="s">
        <v>172</v>
      </c>
      <c r="DW34" t="s">
        <v>327</v>
      </c>
      <c r="DX34" t="s">
        <v>170</v>
      </c>
      <c r="DY34" t="s">
        <v>167</v>
      </c>
      <c r="DZ34" t="s">
        <v>168</v>
      </c>
      <c r="EA34" s="22">
        <v>43083.486793981479</v>
      </c>
      <c r="EB34" t="s">
        <v>1543</v>
      </c>
      <c r="EC34" t="s">
        <v>1899</v>
      </c>
    </row>
    <row r="35" spans="1:133" x14ac:dyDescent="0.4">
      <c r="A35" s="30"/>
      <c r="B35" s="22">
        <v>42935.633333333331</v>
      </c>
      <c r="C35" s="22" t="s">
        <v>1430</v>
      </c>
      <c r="D35" s="30" t="s">
        <v>477</v>
      </c>
      <c r="E35" s="30" t="s">
        <v>582</v>
      </c>
      <c r="F35" s="30" t="s">
        <v>169</v>
      </c>
      <c r="G35" s="30" t="s">
        <v>171</v>
      </c>
      <c r="H35" t="s">
        <v>94</v>
      </c>
      <c r="I35" t="s">
        <v>1431</v>
      </c>
      <c r="J35" t="s">
        <v>604</v>
      </c>
      <c r="L35">
        <v>1</v>
      </c>
      <c r="M35" s="26">
        <v>2.0699999999999998</v>
      </c>
      <c r="N35" t="s">
        <v>540</v>
      </c>
      <c r="Q35" s="29" t="s">
        <v>13</v>
      </c>
      <c r="R35" s="29" t="str">
        <f>IFERROR(MID(RADataTable[[#This Row],[RAtemplate]],1,LEN(RADataTable[[#This Row],[RAtemplate]])-8),"RA") &amp; " " &amp; RADataTable[[#This Row],[prop_id0]] &amp; " " &amp; RADataTable[[#This Row],[last0]]</f>
        <v>RA 1750780 Raichel</v>
      </c>
      <c r="U35" s="21" t="str">
        <f>IF(signer1="PD",IF(ISBLANK(RADataTable[[#This Row],[sign_blck_name]]),"",RADataTable[[#This Row],[sign_blck_name]]),IF(ISBLANK(signer1),"",signer1))</f>
        <v>Jack Snoeyink</v>
      </c>
      <c r="V35" s="29" t="str">
        <f>signer2</f>
        <v>Cognizant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Benjamin.Raichel@utdallas.edu</v>
      </c>
      <c r="Y35" s="15" t="str">
        <f>HYPERLINK("mailto:"&amp;RADataTable[[#This Row],[allPIemail]]&amp;"&amp;subject=NSF Proposal:  "&amp;RADataTable[[#This Row],[Div]]&amp;" "&amp;RADataTable[[#This Row],[prop_id0]], "PIs@")</f>
        <v>PIs@</v>
      </c>
      <c r="Z35" t="s">
        <v>478</v>
      </c>
      <c r="AA35" t="s">
        <v>971</v>
      </c>
      <c r="AB35">
        <v>4</v>
      </c>
      <c r="AC35">
        <v>4</v>
      </c>
      <c r="AD35"/>
      <c r="AE35" s="21" t="str">
        <f>IF(RADataTable[[#This Row],[maxScore]]-RADataTable[[#This Row],[minScore]]&gt;4,"Y","")</f>
        <v/>
      </c>
      <c r="AF35" s="21">
        <v>7</v>
      </c>
      <c r="AG35" s="26">
        <v>7.5</v>
      </c>
      <c r="AH35">
        <v>9</v>
      </c>
      <c r="AI35" t="s">
        <v>1466</v>
      </c>
      <c r="AJ35" s="30">
        <v>43030.181250000001</v>
      </c>
      <c r="AK35" s="13">
        <v>582785</v>
      </c>
      <c r="AL35" s="13">
        <v>582785</v>
      </c>
      <c r="AM35">
        <v>0</v>
      </c>
      <c r="AN35" s="30">
        <v>43344</v>
      </c>
      <c r="AO35" s="21">
        <v>60</v>
      </c>
      <c r="AP35" s="21" t="s">
        <v>1571</v>
      </c>
      <c r="AS35" s="30"/>
      <c r="AT35" t="s">
        <v>605</v>
      </c>
      <c r="AU35" s="21" t="s">
        <v>539</v>
      </c>
      <c r="AV35" s="21">
        <v>7</v>
      </c>
      <c r="AW35" s="21" t="s">
        <v>1847</v>
      </c>
      <c r="AX35" s="30">
        <v>43032</v>
      </c>
      <c r="AY35" s="21" t="s">
        <v>1864</v>
      </c>
      <c r="AZ35" s="21" t="s">
        <v>1849</v>
      </c>
      <c r="BA35" s="21">
        <v>14</v>
      </c>
      <c r="BB35" s="21">
        <v>1</v>
      </c>
      <c r="BG35" s="30"/>
      <c r="BP35" s="30"/>
      <c r="BU35" t="s">
        <v>971</v>
      </c>
      <c r="BV35" s="21" t="s">
        <v>972</v>
      </c>
      <c r="BW35" s="21" t="s">
        <v>1445</v>
      </c>
      <c r="BX35" s="21" t="s">
        <v>1570</v>
      </c>
      <c r="BY35" s="31">
        <v>582785</v>
      </c>
      <c r="BZ35" s="31">
        <v>582785</v>
      </c>
      <c r="CA35" t="s">
        <v>1439</v>
      </c>
      <c r="CF35" s="31"/>
      <c r="CG35" s="31"/>
      <c r="CM35" s="31"/>
      <c r="CN35" s="31"/>
      <c r="CT35" s="31"/>
      <c r="CU35" s="31"/>
      <c r="CV35" s="31"/>
      <c r="DA35" s="31"/>
      <c r="DB35" s="31"/>
      <c r="DC35" s="31"/>
      <c r="DH35" s="31"/>
      <c r="DI35" s="31"/>
      <c r="DO35" s="31"/>
      <c r="DP35" s="31"/>
      <c r="DR35" t="s">
        <v>1850</v>
      </c>
      <c r="DS35" t="s">
        <v>479</v>
      </c>
      <c r="DT35" t="s">
        <v>583</v>
      </c>
      <c r="DU35" s="29" t="s">
        <v>1851</v>
      </c>
      <c r="DV35" t="s">
        <v>172</v>
      </c>
      <c r="DW35" t="s">
        <v>327</v>
      </c>
      <c r="DX35" t="s">
        <v>170</v>
      </c>
      <c r="DY35" t="s">
        <v>167</v>
      </c>
      <c r="DZ35" t="s">
        <v>168</v>
      </c>
      <c r="EA35" s="22">
        <v>43083.486793981479</v>
      </c>
      <c r="EB35" t="s">
        <v>1572</v>
      </c>
      <c r="EC35" t="s">
        <v>1913</v>
      </c>
    </row>
    <row r="36" spans="1:133" x14ac:dyDescent="0.4">
      <c r="A36" s="30"/>
      <c r="B36" s="22">
        <v>43005.654861111114</v>
      </c>
      <c r="C36" s="22" t="s">
        <v>524</v>
      </c>
      <c r="D36" s="30" t="s">
        <v>477</v>
      </c>
      <c r="E36" s="30" t="s">
        <v>582</v>
      </c>
      <c r="F36" s="30" t="s">
        <v>169</v>
      </c>
      <c r="G36" s="30" t="s">
        <v>171</v>
      </c>
      <c r="H36" t="s">
        <v>94</v>
      </c>
      <c r="I36" t="s">
        <v>525</v>
      </c>
      <c r="J36" t="s">
        <v>654</v>
      </c>
      <c r="L36">
        <v>1</v>
      </c>
      <c r="M36" s="26">
        <v>2.0699999999999998</v>
      </c>
      <c r="N36" t="s">
        <v>540</v>
      </c>
      <c r="Q36" s="29" t="s">
        <v>13</v>
      </c>
      <c r="R36" s="29" t="str">
        <f>IFERROR(MID(RADataTable[[#This Row],[RAtemplate]],1,LEN(RADataTable[[#This Row],[RAtemplate]])-8),"RA") &amp; " " &amp; RADataTable[[#This Row],[prop_id0]] &amp; " " &amp; RADataTable[[#This Row],[last0]]</f>
        <v>RA 1763887 Woodruff</v>
      </c>
      <c r="U36" s="21" t="str">
        <f>IF(signer1="PD",IF(ISBLANK(RADataTable[[#This Row],[sign_blck_name]]),"",RADataTable[[#This Row],[sign_blck_name]]),IF(ISBLANK(signer1),"",signer1))</f>
        <v>Rahul Shah</v>
      </c>
      <c r="V36" s="29" t="str">
        <f>signer2</f>
        <v>Cognizant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dwoodruf@andrew.cmu.edu</v>
      </c>
      <c r="Y36" s="15" t="str">
        <f>HYPERLINK("mailto:"&amp;RADataTable[[#This Row],[allPIemail]]&amp;"&amp;subject=NSF Proposal:  "&amp;RADataTable[[#This Row],[Div]]&amp;" "&amp;RADataTable[[#This Row],[prop_id0]], "PIs@")</f>
        <v>PIs@</v>
      </c>
      <c r="Z36" t="s">
        <v>478</v>
      </c>
      <c r="AA36" t="s">
        <v>1379</v>
      </c>
      <c r="AB36">
        <v>4</v>
      </c>
      <c r="AC36">
        <v>4</v>
      </c>
      <c r="AD36"/>
      <c r="AE36" s="21" t="str">
        <f>IF(RADataTable[[#This Row],[maxScore]]-RADataTable[[#This Row],[minScore]]&gt;4,"Y","")</f>
        <v/>
      </c>
      <c r="AF36" s="21">
        <v>6</v>
      </c>
      <c r="AG36" s="26">
        <v>7</v>
      </c>
      <c r="AH36">
        <v>8</v>
      </c>
      <c r="AI36" t="s">
        <v>1450</v>
      </c>
      <c r="AJ36" s="30">
        <v>43081.438194444447</v>
      </c>
      <c r="AK36" s="13">
        <v>1191636</v>
      </c>
      <c r="AL36" s="13">
        <v>1191636</v>
      </c>
      <c r="AM36">
        <v>0</v>
      </c>
      <c r="AN36" s="30">
        <v>43252</v>
      </c>
      <c r="AO36" s="21">
        <v>48</v>
      </c>
      <c r="AP36" s="21" t="s">
        <v>1807</v>
      </c>
      <c r="AS36" s="30"/>
      <c r="AT36" t="s">
        <v>1262</v>
      </c>
      <c r="AU36" s="21" t="s">
        <v>539</v>
      </c>
      <c r="AV36" s="21">
        <v>7</v>
      </c>
      <c r="AW36" s="21" t="s">
        <v>1971</v>
      </c>
      <c r="AX36" s="30">
        <v>43081</v>
      </c>
      <c r="AY36" s="21" t="s">
        <v>1858</v>
      </c>
      <c r="AZ36" s="21" t="s">
        <v>1973</v>
      </c>
      <c r="BA36" s="21">
        <v>9</v>
      </c>
      <c r="BB36" s="21">
        <v>1</v>
      </c>
      <c r="BG36" s="30"/>
      <c r="BP36" s="30"/>
      <c r="BU36" t="s">
        <v>1379</v>
      </c>
      <c r="BV36" s="21" t="s">
        <v>1380</v>
      </c>
      <c r="BW36" s="21" t="s">
        <v>528</v>
      </c>
      <c r="BX36" s="21" t="s">
        <v>497</v>
      </c>
      <c r="BY36" s="31">
        <v>1191636</v>
      </c>
      <c r="BZ36" s="31">
        <v>1191636</v>
      </c>
      <c r="CA36" t="s">
        <v>1806</v>
      </c>
      <c r="CF36" s="31"/>
      <c r="CG36" s="31"/>
      <c r="CM36" s="31"/>
      <c r="CN36" s="31"/>
      <c r="CT36" s="31"/>
      <c r="CU36" s="31"/>
      <c r="CV36" s="31"/>
      <c r="DA36" s="31"/>
      <c r="DB36" s="31"/>
      <c r="DC36" s="31"/>
      <c r="DH36" s="31"/>
      <c r="DI36" s="31"/>
      <c r="DO36" s="31"/>
      <c r="DP36" s="31"/>
      <c r="DR36" t="s">
        <v>529</v>
      </c>
      <c r="DS36" t="s">
        <v>479</v>
      </c>
      <c r="DT36" t="s">
        <v>583</v>
      </c>
      <c r="DU36" s="29" t="s">
        <v>1856</v>
      </c>
      <c r="DV36" t="s">
        <v>172</v>
      </c>
      <c r="DW36" t="s">
        <v>327</v>
      </c>
      <c r="DX36" t="s">
        <v>170</v>
      </c>
      <c r="DY36" t="s">
        <v>167</v>
      </c>
      <c r="DZ36" t="s">
        <v>168</v>
      </c>
      <c r="EA36" s="22">
        <v>43083.486793981479</v>
      </c>
      <c r="EB36" t="s">
        <v>1808</v>
      </c>
      <c r="EC36" t="s">
        <v>1993</v>
      </c>
    </row>
    <row r="37" spans="1:133" x14ac:dyDescent="0.4">
      <c r="A37" s="30"/>
      <c r="B37" s="22">
        <v>43005.67291666667</v>
      </c>
      <c r="C37" s="22" t="s">
        <v>524</v>
      </c>
      <c r="D37" s="30" t="s">
        <v>477</v>
      </c>
      <c r="E37" s="30" t="s">
        <v>582</v>
      </c>
      <c r="F37" s="30" t="s">
        <v>169</v>
      </c>
      <c r="G37" s="30" t="s">
        <v>171</v>
      </c>
      <c r="H37" t="s">
        <v>94</v>
      </c>
      <c r="I37" t="s">
        <v>525</v>
      </c>
      <c r="J37" t="s">
        <v>611</v>
      </c>
      <c r="L37">
        <v>1</v>
      </c>
      <c r="M37" s="26">
        <v>2.0699999999999998</v>
      </c>
      <c r="N37" t="s">
        <v>540</v>
      </c>
      <c r="Q37" s="29" t="s">
        <v>13</v>
      </c>
      <c r="R37" s="29" t="str">
        <f>IFERROR(MID(RADataTable[[#This Row],[RAtemplate]],1,LEN(RADataTable[[#This Row],[RAtemplate]])-8),"RA") &amp; " " &amp; RADataTable[[#This Row],[prop_id0]] &amp; " " &amp; RADataTable[[#This Row],[last0]]</f>
        <v>RA 1763937 Demaine</v>
      </c>
      <c r="U37" s="21" t="str">
        <f>IF(signer1="PD",IF(ISBLANK(RADataTable[[#This Row],[sign_blck_name]]),"",RADataTable[[#This Row],[sign_blck_name]]),IF(ISBLANK(signer1),"",signer1))</f>
        <v>Tracy J. Kimbrel</v>
      </c>
      <c r="V37" s="29" t="str">
        <f>signer2</f>
        <v>Cognizant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edemaine@mit.edu</v>
      </c>
      <c r="Y37" s="15" t="str">
        <f>HYPERLINK("mailto:"&amp;RADataTable[[#This Row],[allPIemail]]&amp;"&amp;subject=NSF Proposal:  "&amp;RADataTable[[#This Row],[Div]]&amp;" "&amp;RADataTable[[#This Row],[prop_id0]], "PIs@")</f>
        <v>PIs@</v>
      </c>
      <c r="Z37" t="s">
        <v>478</v>
      </c>
      <c r="AA37" t="s">
        <v>1387</v>
      </c>
      <c r="AB37">
        <v>4</v>
      </c>
      <c r="AC37">
        <v>4</v>
      </c>
      <c r="AD37"/>
      <c r="AE37" s="21" t="str">
        <f>IF(RADataTable[[#This Row],[maxScore]]-RADataTable[[#This Row],[minScore]]&gt;4,"Y","")</f>
        <v/>
      </c>
      <c r="AF37" s="21">
        <v>6</v>
      </c>
      <c r="AG37" s="26">
        <v>6.75</v>
      </c>
      <c r="AH37">
        <v>7</v>
      </c>
      <c r="AI37" t="s">
        <v>1493</v>
      </c>
      <c r="AJ37" s="30">
        <v>43080.599305555559</v>
      </c>
      <c r="AK37" s="13">
        <v>1200000</v>
      </c>
      <c r="AL37" s="13">
        <v>1200000</v>
      </c>
      <c r="AM37">
        <v>0</v>
      </c>
      <c r="AN37" s="30">
        <v>43252</v>
      </c>
      <c r="AO37" s="21">
        <v>48</v>
      </c>
      <c r="AP37" s="21" t="s">
        <v>1811</v>
      </c>
      <c r="AS37" s="30"/>
      <c r="AT37" t="s">
        <v>1262</v>
      </c>
      <c r="AU37" s="21" t="s">
        <v>539</v>
      </c>
      <c r="AV37" s="21">
        <v>7</v>
      </c>
      <c r="AW37" s="21" t="s">
        <v>1971</v>
      </c>
      <c r="AX37" s="30">
        <v>43081</v>
      </c>
      <c r="AY37" s="21" t="s">
        <v>1877</v>
      </c>
      <c r="AZ37" s="21" t="s">
        <v>1973</v>
      </c>
      <c r="BA37" s="21">
        <v>9</v>
      </c>
      <c r="BG37" s="30"/>
      <c r="BP37" s="30"/>
      <c r="BU37" t="s">
        <v>1387</v>
      </c>
      <c r="BV37" s="21" t="s">
        <v>1388</v>
      </c>
      <c r="BW37" s="21" t="s">
        <v>1810</v>
      </c>
      <c r="BX37" s="21" t="s">
        <v>1487</v>
      </c>
      <c r="BY37" s="31">
        <v>600000</v>
      </c>
      <c r="BZ37" s="31">
        <v>600000</v>
      </c>
      <c r="CA37" t="s">
        <v>1809</v>
      </c>
      <c r="CB37" s="21" t="s">
        <v>1813</v>
      </c>
      <c r="CC37" s="21" t="s">
        <v>1814</v>
      </c>
      <c r="CD37" s="21" t="s">
        <v>1815</v>
      </c>
      <c r="CE37" s="21" t="s">
        <v>500</v>
      </c>
      <c r="CF37" s="31">
        <v>600000</v>
      </c>
      <c r="CG37" s="31">
        <v>600000</v>
      </c>
      <c r="CH37" t="s">
        <v>1809</v>
      </c>
      <c r="CM37" s="31"/>
      <c r="CN37" s="31"/>
      <c r="CT37" s="31"/>
      <c r="CU37" s="31"/>
      <c r="CV37" s="31"/>
      <c r="DA37" s="31"/>
      <c r="DB37" s="31"/>
      <c r="DC37" s="31"/>
      <c r="DH37" s="31"/>
      <c r="DI37" s="31"/>
      <c r="DO37" s="31"/>
      <c r="DP37" s="31"/>
      <c r="DR37" t="s">
        <v>529</v>
      </c>
      <c r="DS37" t="s">
        <v>479</v>
      </c>
      <c r="DT37" t="s">
        <v>583</v>
      </c>
      <c r="DU37" s="29" t="s">
        <v>1869</v>
      </c>
      <c r="DV37" t="s">
        <v>172</v>
      </c>
      <c r="DW37" t="s">
        <v>327</v>
      </c>
      <c r="DX37" t="s">
        <v>170</v>
      </c>
      <c r="DY37" t="s">
        <v>167</v>
      </c>
      <c r="DZ37" t="s">
        <v>168</v>
      </c>
      <c r="EA37" s="22">
        <v>43083.486793981479</v>
      </c>
      <c r="EB37" t="s">
        <v>1812</v>
      </c>
      <c r="EC37" t="s">
        <v>1994</v>
      </c>
    </row>
    <row r="38" spans="1:133" x14ac:dyDescent="0.4">
      <c r="A38" s="30"/>
      <c r="B38" s="22">
        <v>42935.723611111112</v>
      </c>
      <c r="C38" s="22" t="s">
        <v>1430</v>
      </c>
      <c r="D38" s="30" t="s">
        <v>477</v>
      </c>
      <c r="E38" s="30" t="s">
        <v>582</v>
      </c>
      <c r="F38" s="30" t="s">
        <v>169</v>
      </c>
      <c r="G38" s="30" t="s">
        <v>171</v>
      </c>
      <c r="H38" t="s">
        <v>94</v>
      </c>
      <c r="I38" t="s">
        <v>1431</v>
      </c>
      <c r="J38" t="s">
        <v>611</v>
      </c>
      <c r="L38">
        <v>1</v>
      </c>
      <c r="M38" s="26">
        <v>2.09</v>
      </c>
      <c r="N38" t="s">
        <v>540</v>
      </c>
      <c r="Q38" s="29" t="s">
        <v>13</v>
      </c>
      <c r="R38" s="29" t="str">
        <f>IFERROR(MID(RADataTable[[#This Row],[RAtemplate]],1,LEN(RADataTable[[#This Row],[RAtemplate]])-8),"RA") &amp; " " &amp; RADataTable[[#This Row],[prop_id0]] &amp; " " &amp; RADataTable[[#This Row],[last0]]</f>
        <v>RA 1751254 Fasy</v>
      </c>
      <c r="U38" s="21" t="str">
        <f>IF(signer1="PD",IF(ISBLANK(RADataTable[[#This Row],[sign_blck_name]]),"",RADataTable[[#This Row],[sign_blck_name]]),IF(ISBLANK(signer1),"",signer1))</f>
        <v>Tracy J. Kimbrel</v>
      </c>
      <c r="V38" s="29" t="str">
        <f>signer2</f>
        <v>Cognizant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brittany@cs.montana.edu</v>
      </c>
      <c r="Y38" s="15" t="str">
        <f>HYPERLINK("mailto:"&amp;RADataTable[[#This Row],[allPIemail]]&amp;"&amp;subject=NSF Proposal:  "&amp;RADataTable[[#This Row],[Div]]&amp;" "&amp;RADataTable[[#This Row],[prop_id0]], "PIs@")</f>
        <v>PIs@</v>
      </c>
      <c r="Z38" t="s">
        <v>478</v>
      </c>
      <c r="AA38" t="s">
        <v>1073</v>
      </c>
      <c r="AB38">
        <v>4</v>
      </c>
      <c r="AC38">
        <v>4</v>
      </c>
      <c r="AD38"/>
      <c r="AE38" s="21" t="str">
        <f>IF(RADataTable[[#This Row],[maxScore]]-RADataTable[[#This Row],[minScore]]&gt;4,"Y","")</f>
        <v/>
      </c>
      <c r="AF38" s="21">
        <v>5</v>
      </c>
      <c r="AG38" s="26">
        <v>6.5</v>
      </c>
      <c r="AH38">
        <v>7</v>
      </c>
      <c r="AI38" t="s">
        <v>1461</v>
      </c>
      <c r="AJ38" s="30">
        <v>43031.43472222222</v>
      </c>
      <c r="AK38" s="13">
        <v>552355</v>
      </c>
      <c r="AL38" s="13">
        <v>552355</v>
      </c>
      <c r="AM38">
        <v>0</v>
      </c>
      <c r="AN38" s="30">
        <v>43344</v>
      </c>
      <c r="AO38" s="21">
        <v>60</v>
      </c>
      <c r="AP38" s="21" t="s">
        <v>1615</v>
      </c>
      <c r="AS38" s="30"/>
      <c r="AT38" t="s">
        <v>605</v>
      </c>
      <c r="AU38" s="21" t="s">
        <v>539</v>
      </c>
      <c r="AV38" s="21">
        <v>9</v>
      </c>
      <c r="AW38" s="21" t="s">
        <v>1847</v>
      </c>
      <c r="AX38" s="30">
        <v>43032</v>
      </c>
      <c r="AY38" s="21" t="s">
        <v>1862</v>
      </c>
      <c r="AZ38" s="21" t="s">
        <v>1849</v>
      </c>
      <c r="BA38" s="21">
        <v>14</v>
      </c>
      <c r="BG38" s="30"/>
      <c r="BP38" s="30"/>
      <c r="BU38" t="s">
        <v>1073</v>
      </c>
      <c r="BV38" s="21" t="s">
        <v>1074</v>
      </c>
      <c r="BW38" s="21" t="s">
        <v>1613</v>
      </c>
      <c r="BX38" s="21" t="s">
        <v>1614</v>
      </c>
      <c r="BY38" s="31">
        <v>552355</v>
      </c>
      <c r="BZ38" s="31">
        <v>552355</v>
      </c>
      <c r="CA38" t="s">
        <v>1612</v>
      </c>
      <c r="CF38" s="31"/>
      <c r="CG38" s="31"/>
      <c r="CM38" s="31"/>
      <c r="CN38" s="31"/>
      <c r="CT38" s="31"/>
      <c r="CU38" s="31"/>
      <c r="CV38" s="31"/>
      <c r="DA38" s="31"/>
      <c r="DB38" s="31"/>
      <c r="DC38" s="31"/>
      <c r="DH38" s="31"/>
      <c r="DI38" s="31"/>
      <c r="DO38" s="31"/>
      <c r="DP38" s="31"/>
      <c r="DR38" t="s">
        <v>1850</v>
      </c>
      <c r="DS38" t="s">
        <v>479</v>
      </c>
      <c r="DT38" t="s">
        <v>583</v>
      </c>
      <c r="DU38" s="29" t="s">
        <v>1869</v>
      </c>
      <c r="DV38" t="s">
        <v>172</v>
      </c>
      <c r="DW38" t="s">
        <v>327</v>
      </c>
      <c r="DX38" t="s">
        <v>170</v>
      </c>
      <c r="DY38" t="s">
        <v>167</v>
      </c>
      <c r="DZ38" t="s">
        <v>168</v>
      </c>
      <c r="EA38" s="22">
        <v>43083.486793981479</v>
      </c>
      <c r="EB38" t="s">
        <v>1616</v>
      </c>
      <c r="EC38" t="s">
        <v>1930</v>
      </c>
    </row>
    <row r="39" spans="1:133" x14ac:dyDescent="0.4">
      <c r="A39" s="30"/>
      <c r="B39" s="22">
        <v>42934.453472222223</v>
      </c>
      <c r="C39" s="22" t="s">
        <v>1430</v>
      </c>
      <c r="D39" s="30" t="s">
        <v>477</v>
      </c>
      <c r="E39" s="30" t="s">
        <v>582</v>
      </c>
      <c r="F39" s="30" t="s">
        <v>169</v>
      </c>
      <c r="G39" s="30" t="s">
        <v>171</v>
      </c>
      <c r="H39" t="s">
        <v>94</v>
      </c>
      <c r="I39" t="s">
        <v>1431</v>
      </c>
      <c r="J39" t="s">
        <v>654</v>
      </c>
      <c r="L39">
        <v>1</v>
      </c>
      <c r="M39" s="26">
        <v>2.1</v>
      </c>
      <c r="N39" t="s">
        <v>540</v>
      </c>
      <c r="Q39" s="29" t="s">
        <v>13</v>
      </c>
      <c r="R39" s="29" t="str">
        <f>IFERROR(MID(RADataTable[[#This Row],[RAtemplate]],1,LEN(RADataTable[[#This Row],[RAtemplate]])-8),"RA") &amp; " " &amp; RADataTable[[#This Row],[prop_id0]] &amp; " " &amp; RADataTable[[#This Row],[last0]]</f>
        <v>RA 1749678 Im</v>
      </c>
      <c r="U39" s="21" t="str">
        <f>IF(signer1="PD",IF(ISBLANK(RADataTable[[#This Row],[sign_blck_name]]),"",RADataTable[[#This Row],[sign_blck_name]]),IF(ISBLANK(signer1),"",signer1))</f>
        <v>Rahul Shah</v>
      </c>
      <c r="V39" s="29" t="str">
        <f>signer2</f>
        <v>Cognizant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sim3@ucmerced.edu</v>
      </c>
      <c r="Y39" s="15" t="str">
        <f>HYPERLINK("mailto:"&amp;RADataTable[[#This Row],[allPIemail]]&amp;"&amp;subject=NSF Proposal:  "&amp;RADataTable[[#This Row],[Div]]&amp;" "&amp;RADataTable[[#This Row],[prop_id0]], "PIs@")</f>
        <v>PIs@</v>
      </c>
      <c r="Z39" t="s">
        <v>478</v>
      </c>
      <c r="AA39" t="s">
        <v>685</v>
      </c>
      <c r="AB39">
        <v>4</v>
      </c>
      <c r="AC39">
        <v>4</v>
      </c>
      <c r="AD39"/>
      <c r="AE39" s="21" t="str">
        <f>IF(RADataTable[[#This Row],[maxScore]]-RADataTable[[#This Row],[minScore]]&gt;4,"Y","")</f>
        <v/>
      </c>
      <c r="AF39" s="21">
        <v>5</v>
      </c>
      <c r="AG39" s="26">
        <v>6.5</v>
      </c>
      <c r="AH39">
        <v>7</v>
      </c>
      <c r="AI39" t="s">
        <v>1461</v>
      </c>
      <c r="AJ39" s="30">
        <v>43032.518055555556</v>
      </c>
      <c r="AK39" s="13">
        <v>514477</v>
      </c>
      <c r="AL39" s="13">
        <v>514477</v>
      </c>
      <c r="AM39">
        <v>0</v>
      </c>
      <c r="AN39" s="30">
        <v>43282</v>
      </c>
      <c r="AO39" s="21">
        <v>60</v>
      </c>
      <c r="AP39" s="21" t="s">
        <v>1462</v>
      </c>
      <c r="AS39" s="30"/>
      <c r="AT39" t="s">
        <v>605</v>
      </c>
      <c r="AU39" s="21" t="s">
        <v>539</v>
      </c>
      <c r="AV39" s="21">
        <v>10</v>
      </c>
      <c r="AW39" s="21" t="s">
        <v>1847</v>
      </c>
      <c r="AX39" s="30">
        <v>43032</v>
      </c>
      <c r="AY39" s="21" t="s">
        <v>1862</v>
      </c>
      <c r="AZ39" s="21" t="s">
        <v>1849</v>
      </c>
      <c r="BA39" s="21">
        <v>14</v>
      </c>
      <c r="BG39" s="30"/>
      <c r="BP39" s="30"/>
      <c r="BU39" t="s">
        <v>685</v>
      </c>
      <c r="BV39" s="21" t="s">
        <v>686</v>
      </c>
      <c r="BW39" s="21" t="s">
        <v>1459</v>
      </c>
      <c r="BX39" s="21" t="s">
        <v>1460</v>
      </c>
      <c r="BY39" s="31">
        <v>514477</v>
      </c>
      <c r="BZ39" s="31">
        <v>514477</v>
      </c>
      <c r="CA39" t="s">
        <v>1432</v>
      </c>
      <c r="CF39" s="31"/>
      <c r="CG39" s="31"/>
      <c r="CM39" s="31"/>
      <c r="CN39" s="31"/>
      <c r="CT39" s="31"/>
      <c r="CU39" s="31"/>
      <c r="CV39" s="31"/>
      <c r="DA39" s="31"/>
      <c r="DB39" s="31"/>
      <c r="DC39" s="31"/>
      <c r="DH39" s="31"/>
      <c r="DI39" s="31"/>
      <c r="DO39" s="31"/>
      <c r="DP39" s="31"/>
      <c r="DR39" t="s">
        <v>1850</v>
      </c>
      <c r="DS39" t="s">
        <v>479</v>
      </c>
      <c r="DT39" t="s">
        <v>583</v>
      </c>
      <c r="DU39" s="29" t="s">
        <v>1856</v>
      </c>
      <c r="DV39" t="s">
        <v>172</v>
      </c>
      <c r="DW39" t="s">
        <v>327</v>
      </c>
      <c r="DX39" t="s">
        <v>170</v>
      </c>
      <c r="DY39" t="s">
        <v>167</v>
      </c>
      <c r="DZ39" t="s">
        <v>168</v>
      </c>
      <c r="EA39" s="22">
        <v>43083.486793981479</v>
      </c>
      <c r="EB39" t="s">
        <v>1463</v>
      </c>
      <c r="EC39" t="s">
        <v>1863</v>
      </c>
    </row>
    <row r="40" spans="1:133" x14ac:dyDescent="0.4">
      <c r="A40" s="30"/>
      <c r="B40" s="22">
        <v>42935.696527777778</v>
      </c>
      <c r="C40" s="22" t="s">
        <v>1430</v>
      </c>
      <c r="D40" s="30" t="s">
        <v>477</v>
      </c>
      <c r="E40" s="30" t="s">
        <v>582</v>
      </c>
      <c r="F40" s="30" t="s">
        <v>169</v>
      </c>
      <c r="G40" s="30" t="s">
        <v>171</v>
      </c>
      <c r="H40" t="s">
        <v>94</v>
      </c>
      <c r="I40" t="s">
        <v>1431</v>
      </c>
      <c r="J40" t="s">
        <v>604</v>
      </c>
      <c r="L40">
        <v>1</v>
      </c>
      <c r="M40" s="26">
        <v>2.1</v>
      </c>
      <c r="N40" t="s">
        <v>540</v>
      </c>
      <c r="Q40" s="29" t="s">
        <v>13</v>
      </c>
      <c r="R40" s="29" t="str">
        <f>IFERROR(MID(RADataTable[[#This Row],[RAtemplate]],1,LEN(RADataTable[[#This Row],[RAtemplate]])-8),"RA") &amp; " " &amp; RADataTable[[#This Row],[prop_id0]] &amp; " " &amp; RADataTable[[#This Row],[last0]]</f>
        <v>RA 1751135 Nayyeri</v>
      </c>
      <c r="U40" s="21" t="str">
        <f>IF(signer1="PD",IF(ISBLANK(RADataTable[[#This Row],[sign_blck_name]]),"",RADataTable[[#This Row],[sign_blck_name]]),IF(ISBLANK(signer1),"",signer1))</f>
        <v>Jack Snoeyink</v>
      </c>
      <c r="V40" s="29" t="str">
        <f>signer2</f>
        <v>Cognizant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nayyeria@eecs.oregonstate.edu</v>
      </c>
      <c r="Y40" s="15" t="str">
        <f>HYPERLINK("mailto:"&amp;RADataTable[[#This Row],[allPIemail]]&amp;"&amp;subject=NSF Proposal:  "&amp;RADataTable[[#This Row],[Div]]&amp;" "&amp;RADataTable[[#This Row],[prop_id0]], "PIs@")</f>
        <v>PIs@</v>
      </c>
      <c r="Z40" t="s">
        <v>478</v>
      </c>
      <c r="AA40" t="s">
        <v>1048</v>
      </c>
      <c r="AB40">
        <v>4</v>
      </c>
      <c r="AC40">
        <v>4</v>
      </c>
      <c r="AD40"/>
      <c r="AE40" s="21" t="str">
        <f>IF(RADataTable[[#This Row],[maxScore]]-RADataTable[[#This Row],[minScore]]&gt;4,"Y","")</f>
        <v/>
      </c>
      <c r="AF40" s="21">
        <v>6</v>
      </c>
      <c r="AG40" s="26">
        <v>6.75</v>
      </c>
      <c r="AH40">
        <v>7</v>
      </c>
      <c r="AI40" t="s">
        <v>1493</v>
      </c>
      <c r="AJ40" s="30">
        <v>43031.69027777778</v>
      </c>
      <c r="AK40" s="13">
        <v>607459</v>
      </c>
      <c r="AL40" s="13">
        <v>607459</v>
      </c>
      <c r="AM40">
        <v>0</v>
      </c>
      <c r="AN40" s="30">
        <v>43344</v>
      </c>
      <c r="AO40" s="21">
        <v>60</v>
      </c>
      <c r="AP40" s="21" t="s">
        <v>1601</v>
      </c>
      <c r="AS40" s="30"/>
      <c r="AT40" t="s">
        <v>605</v>
      </c>
      <c r="AU40" s="21" t="s">
        <v>539</v>
      </c>
      <c r="AV40" s="21">
        <v>10</v>
      </c>
      <c r="AW40" s="21" t="s">
        <v>1847</v>
      </c>
      <c r="AX40" s="30">
        <v>43032</v>
      </c>
      <c r="AY40" s="21" t="s">
        <v>1877</v>
      </c>
      <c r="AZ40" s="21" t="s">
        <v>1849</v>
      </c>
      <c r="BA40" s="21">
        <v>14</v>
      </c>
      <c r="BB40" s="21">
        <v>2</v>
      </c>
      <c r="BG40" s="30"/>
      <c r="BP40" s="30"/>
      <c r="BU40" t="s">
        <v>1048</v>
      </c>
      <c r="BV40" s="21" t="s">
        <v>1049</v>
      </c>
      <c r="BW40" s="21" t="s">
        <v>1599</v>
      </c>
      <c r="BX40" s="21" t="s">
        <v>1600</v>
      </c>
      <c r="BY40" s="31">
        <v>607459</v>
      </c>
      <c r="BZ40" s="31">
        <v>607459</v>
      </c>
      <c r="CA40" t="s">
        <v>1439</v>
      </c>
      <c r="CF40" s="31"/>
      <c r="CG40" s="31"/>
      <c r="CM40" s="31"/>
      <c r="CN40" s="31"/>
      <c r="CT40" s="31"/>
      <c r="CU40" s="31"/>
      <c r="CV40" s="31"/>
      <c r="DA40" s="31"/>
      <c r="DB40" s="31"/>
      <c r="DC40" s="31"/>
      <c r="DH40" s="31"/>
      <c r="DI40" s="31"/>
      <c r="DO40" s="31"/>
      <c r="DP40" s="31"/>
      <c r="DR40" t="s">
        <v>1850</v>
      </c>
      <c r="DS40" t="s">
        <v>479</v>
      </c>
      <c r="DT40" t="s">
        <v>583</v>
      </c>
      <c r="DU40" s="29" t="s">
        <v>1851</v>
      </c>
      <c r="DV40" t="s">
        <v>172</v>
      </c>
      <c r="DW40" t="s">
        <v>327</v>
      </c>
      <c r="DX40" t="s">
        <v>170</v>
      </c>
      <c r="DY40" t="s">
        <v>167</v>
      </c>
      <c r="DZ40" t="s">
        <v>168</v>
      </c>
      <c r="EA40" s="22">
        <v>43083.486793981479</v>
      </c>
      <c r="EB40" t="s">
        <v>1602</v>
      </c>
      <c r="EC40" t="s">
        <v>1926</v>
      </c>
    </row>
    <row r="41" spans="1:133" x14ac:dyDescent="0.4">
      <c r="A41" s="30"/>
      <c r="B41" s="22">
        <v>42935.70416666667</v>
      </c>
      <c r="C41" s="22" t="s">
        <v>1430</v>
      </c>
      <c r="D41" s="30" t="s">
        <v>477</v>
      </c>
      <c r="E41" s="30" t="s">
        <v>582</v>
      </c>
      <c r="F41" s="30" t="s">
        <v>169</v>
      </c>
      <c r="G41" s="30" t="s">
        <v>171</v>
      </c>
      <c r="H41" t="s">
        <v>94</v>
      </c>
      <c r="I41" t="s">
        <v>1431</v>
      </c>
      <c r="J41" t="s">
        <v>654</v>
      </c>
      <c r="L41">
        <v>1</v>
      </c>
      <c r="M41" s="26">
        <v>2.1</v>
      </c>
      <c r="N41" t="s">
        <v>540</v>
      </c>
      <c r="Q41" s="29" t="s">
        <v>13</v>
      </c>
      <c r="R41" s="29" t="str">
        <f>IFERROR(MID(RADataTable[[#This Row],[RAtemplate]],1,LEN(RADataTable[[#This Row],[RAtemplate]])-8),"RA") &amp; " " &amp; RADataTable[[#This Row],[prop_id0]] &amp; " " &amp; RADataTable[[#This Row],[last0]]</f>
        <v>RA 1751181 Young</v>
      </c>
      <c r="U41" s="21" t="str">
        <f>IF(signer1="PD",IF(ISBLANK(RADataTable[[#This Row],[sign_blck_name]]),"",RADataTable[[#This Row],[sign_blck_name]]),IF(ISBLANK(signer1),"",signer1))</f>
        <v>Rahul Shah</v>
      </c>
      <c r="V41" s="29" t="str">
        <f>signer2</f>
        <v>Cognizant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maxwelly@outlook.com</v>
      </c>
      <c r="Y41" s="15" t="str">
        <f>HYPERLINK("mailto:"&amp;RADataTable[[#This Row],[allPIemail]]&amp;"&amp;subject=NSF Proposal:  "&amp;RADataTable[[#This Row],[Div]]&amp;" "&amp;RADataTable[[#This Row],[prop_id0]], "PIs@")</f>
        <v>PIs@</v>
      </c>
      <c r="Z41" t="s">
        <v>478</v>
      </c>
      <c r="AA41" t="s">
        <v>1056</v>
      </c>
      <c r="AB41">
        <v>4</v>
      </c>
      <c r="AC41">
        <v>4</v>
      </c>
      <c r="AD41"/>
      <c r="AE41" s="21" t="str">
        <f>IF(RADataTable[[#This Row],[maxScore]]-RADataTable[[#This Row],[minScore]]&gt;4,"Y","")</f>
        <v>Y</v>
      </c>
      <c r="AF41" s="21">
        <v>4</v>
      </c>
      <c r="AG41" s="26">
        <v>5.75</v>
      </c>
      <c r="AH41">
        <v>9</v>
      </c>
      <c r="AI41" t="s">
        <v>1606</v>
      </c>
      <c r="AJ41" s="30">
        <v>43059.229861111111</v>
      </c>
      <c r="AK41" s="13">
        <v>400000</v>
      </c>
      <c r="AL41" s="13">
        <v>400000</v>
      </c>
      <c r="AM41">
        <v>0</v>
      </c>
      <c r="AN41" s="30">
        <v>43344</v>
      </c>
      <c r="AO41" s="21">
        <v>60</v>
      </c>
      <c r="AP41" s="21" t="s">
        <v>1607</v>
      </c>
      <c r="AS41" s="30"/>
      <c r="AT41" t="s">
        <v>714</v>
      </c>
      <c r="AU41" s="21" t="s">
        <v>539</v>
      </c>
      <c r="AV41" s="21">
        <v>10</v>
      </c>
      <c r="AW41" s="21" t="s">
        <v>1866</v>
      </c>
      <c r="AX41" s="30">
        <v>43060</v>
      </c>
      <c r="AY41" s="21" t="s">
        <v>1927</v>
      </c>
      <c r="AZ41" s="21" t="s">
        <v>1868</v>
      </c>
      <c r="BA41" s="21">
        <v>12</v>
      </c>
      <c r="BG41" s="30"/>
      <c r="BP41" s="30"/>
      <c r="BU41" t="s">
        <v>1056</v>
      </c>
      <c r="BV41" s="21" t="s">
        <v>1057</v>
      </c>
      <c r="BW41" s="21" t="s">
        <v>1604</v>
      </c>
      <c r="BX41" s="21" t="s">
        <v>1605</v>
      </c>
      <c r="BY41" s="31">
        <v>400000</v>
      </c>
      <c r="BZ41" s="31">
        <v>400000</v>
      </c>
      <c r="CA41" t="s">
        <v>1603</v>
      </c>
      <c r="CF41" s="31"/>
      <c r="CG41" s="31"/>
      <c r="CM41" s="31"/>
      <c r="CN41" s="31"/>
      <c r="CT41" s="31"/>
      <c r="CU41" s="31"/>
      <c r="CV41" s="31"/>
      <c r="DA41" s="31"/>
      <c r="DB41" s="31"/>
      <c r="DC41" s="31"/>
      <c r="DH41" s="31"/>
      <c r="DI41" s="31"/>
      <c r="DO41" s="31"/>
      <c r="DP41" s="31"/>
      <c r="DR41" t="s">
        <v>1850</v>
      </c>
      <c r="DS41" t="s">
        <v>479</v>
      </c>
      <c r="DT41" t="s">
        <v>583</v>
      </c>
      <c r="DU41" s="29" t="s">
        <v>1856</v>
      </c>
      <c r="DV41" t="s">
        <v>172</v>
      </c>
      <c r="DW41" t="s">
        <v>327</v>
      </c>
      <c r="DX41" t="s">
        <v>170</v>
      </c>
      <c r="DY41" t="s">
        <v>167</v>
      </c>
      <c r="DZ41" t="s">
        <v>168</v>
      </c>
      <c r="EA41" s="22">
        <v>43083.486793981479</v>
      </c>
      <c r="EB41" t="s">
        <v>1608</v>
      </c>
      <c r="EC41" t="s">
        <v>1928</v>
      </c>
    </row>
    <row r="42" spans="1:133" x14ac:dyDescent="0.4">
      <c r="A42" s="30"/>
      <c r="B42" s="22">
        <v>42935.69027777778</v>
      </c>
      <c r="C42" s="22" t="s">
        <v>1430</v>
      </c>
      <c r="D42" s="30" t="s">
        <v>477</v>
      </c>
      <c r="E42" s="30" t="s">
        <v>582</v>
      </c>
      <c r="F42" s="30" t="s">
        <v>169</v>
      </c>
      <c r="G42" s="30" t="s">
        <v>171</v>
      </c>
      <c r="H42" t="s">
        <v>94</v>
      </c>
      <c r="I42" t="s">
        <v>1431</v>
      </c>
      <c r="J42" t="s">
        <v>604</v>
      </c>
      <c r="L42">
        <v>1</v>
      </c>
      <c r="M42" s="26">
        <v>2.12</v>
      </c>
      <c r="N42" t="s">
        <v>540</v>
      </c>
      <c r="Q42" s="29" t="s">
        <v>13</v>
      </c>
      <c r="R42" s="29" t="str">
        <f>IFERROR(MID(RADataTable[[#This Row],[RAtemplate]],1,LEN(RADataTable[[#This Row],[RAtemplate]])-8),"RA") &amp; " " &amp; RADataTable[[#This Row],[prop_id0]] &amp; " " &amp; RADataTable[[#This Row],[last0]]</f>
        <v>RA 1751102 Vouga</v>
      </c>
      <c r="U42" s="21" t="str">
        <f>IF(signer1="PD",IF(ISBLANK(RADataTable[[#This Row],[sign_blck_name]]),"",RADataTable[[#This Row],[sign_blck_name]]),IF(ISBLANK(signer1),"",signer1))</f>
        <v>Jack Snoeyink</v>
      </c>
      <c r="V42" s="29" t="str">
        <f>signer2</f>
        <v>Cognizant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evouga@cs.utexas.edu</v>
      </c>
      <c r="Y42" s="15" t="str">
        <f>HYPERLINK("mailto:"&amp;RADataTable[[#This Row],[allPIemail]]&amp;"&amp;subject=NSF Proposal:  "&amp;RADataTable[[#This Row],[Div]]&amp;" "&amp;RADataTable[[#This Row],[prop_id0]], "PIs@")</f>
        <v>PIs@</v>
      </c>
      <c r="Z42" t="s">
        <v>478</v>
      </c>
      <c r="AA42" t="s">
        <v>1039</v>
      </c>
      <c r="AB42">
        <v>4</v>
      </c>
      <c r="AC42">
        <v>4</v>
      </c>
      <c r="AD42"/>
      <c r="AE42" s="21" t="str">
        <f>IF(RADataTable[[#This Row],[maxScore]]-RADataTable[[#This Row],[minScore]]&gt;4,"Y","")</f>
        <v/>
      </c>
      <c r="AF42" s="21">
        <v>5</v>
      </c>
      <c r="AG42" s="26">
        <v>6.5</v>
      </c>
      <c r="AH42">
        <v>7</v>
      </c>
      <c r="AI42" t="s">
        <v>1461</v>
      </c>
      <c r="AJ42" s="30">
        <v>43031.392361111109</v>
      </c>
      <c r="AK42" s="13">
        <v>523537</v>
      </c>
      <c r="AL42" s="13">
        <v>523537</v>
      </c>
      <c r="AM42">
        <v>0</v>
      </c>
      <c r="AN42" s="30">
        <v>43344</v>
      </c>
      <c r="AO42" s="21">
        <v>60</v>
      </c>
      <c r="AP42" s="21" t="s">
        <v>1596</v>
      </c>
      <c r="AS42" s="30"/>
      <c r="AT42" t="s">
        <v>605</v>
      </c>
      <c r="AU42" s="21" t="s">
        <v>539</v>
      </c>
      <c r="AV42" s="21">
        <v>12</v>
      </c>
      <c r="AW42" s="21" t="s">
        <v>1847</v>
      </c>
      <c r="AX42" s="30">
        <v>43032</v>
      </c>
      <c r="AY42" s="21" t="s">
        <v>1862</v>
      </c>
      <c r="AZ42" s="21" t="s">
        <v>1849</v>
      </c>
      <c r="BA42" s="21">
        <v>14</v>
      </c>
      <c r="BG42" s="30"/>
      <c r="BP42" s="30"/>
      <c r="BU42" t="s">
        <v>1039</v>
      </c>
      <c r="BV42" s="21" t="s">
        <v>1040</v>
      </c>
      <c r="BW42" s="21" t="s">
        <v>1534</v>
      </c>
      <c r="BX42" s="21" t="s">
        <v>550</v>
      </c>
      <c r="BY42" s="31">
        <v>523537</v>
      </c>
      <c r="BZ42" s="31">
        <v>523537</v>
      </c>
      <c r="CA42" t="s">
        <v>1439</v>
      </c>
      <c r="CF42" s="31"/>
      <c r="CG42" s="31"/>
      <c r="CM42" s="31"/>
      <c r="CN42" s="31"/>
      <c r="CT42" s="31"/>
      <c r="CU42" s="31"/>
      <c r="CV42" s="31"/>
      <c r="DA42" s="31"/>
      <c r="DB42" s="31"/>
      <c r="DC42" s="31"/>
      <c r="DH42" s="31"/>
      <c r="DI42" s="31"/>
      <c r="DO42" s="31"/>
      <c r="DP42" s="31"/>
      <c r="DR42" t="s">
        <v>1850</v>
      </c>
      <c r="DS42" t="s">
        <v>479</v>
      </c>
      <c r="DT42" t="s">
        <v>583</v>
      </c>
      <c r="DU42" s="29" t="s">
        <v>1851</v>
      </c>
      <c r="DV42" t="s">
        <v>172</v>
      </c>
      <c r="DW42" t="s">
        <v>327</v>
      </c>
      <c r="DX42" t="s">
        <v>170</v>
      </c>
      <c r="DY42" t="s">
        <v>167</v>
      </c>
      <c r="DZ42" t="s">
        <v>168</v>
      </c>
      <c r="EA42" s="22">
        <v>43083.486793981479</v>
      </c>
      <c r="EB42" t="s">
        <v>1597</v>
      </c>
      <c r="EC42" t="s">
        <v>1925</v>
      </c>
    </row>
    <row r="43" spans="1:133" x14ac:dyDescent="0.4">
      <c r="A43" s="30"/>
      <c r="B43" s="22">
        <v>42956.472222222219</v>
      </c>
      <c r="C43" s="22" t="s">
        <v>1621</v>
      </c>
      <c r="D43" s="30" t="s">
        <v>477</v>
      </c>
      <c r="E43" s="30" t="s">
        <v>578</v>
      </c>
      <c r="F43" s="30" t="s">
        <v>169</v>
      </c>
      <c r="G43" s="30" t="s">
        <v>171</v>
      </c>
      <c r="H43" t="s">
        <v>94</v>
      </c>
      <c r="I43" t="s">
        <v>1630</v>
      </c>
      <c r="J43" t="s">
        <v>604</v>
      </c>
      <c r="K43" s="22">
        <v>43082.662800925929</v>
      </c>
      <c r="L43">
        <v>1</v>
      </c>
      <c r="M43" s="26">
        <v>3.04</v>
      </c>
      <c r="N43" t="s">
        <v>542</v>
      </c>
      <c r="Q43" s="29" t="s">
        <v>13</v>
      </c>
      <c r="R43" s="29" t="str">
        <f>IFERROR(MID(RADataTable[[#This Row],[RAtemplate]],1,LEN(RADataTable[[#This Row],[RAtemplate]])-8),"RA") &amp; " " &amp; RADataTable[[#This Row],[prop_id0]] &amp; " " &amp; RADataTable[[#This Row],[last0]]</f>
        <v>RA 1755702 Charkhgard</v>
      </c>
      <c r="U43" s="21" t="str">
        <f>IF(signer1="PD",IF(ISBLANK(RADataTable[[#This Row],[sign_blck_name]]),"",RADataTable[[#This Row],[sign_blck_name]]),IF(ISBLANK(signer1),"",signer1))</f>
        <v>Jack Snoeyink</v>
      </c>
      <c r="V43" s="29" t="str">
        <f>signer2</f>
        <v>Cognizant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hcharkhgard@usf.edu</v>
      </c>
      <c r="Y43" s="15" t="str">
        <f>HYPERLINK("mailto:"&amp;RADataTable[[#This Row],[allPIemail]]&amp;"&amp;subject=NSF Proposal:  "&amp;RADataTable[[#This Row],[Div]]&amp;" "&amp;RADataTable[[#This Row],[prop_id0]], "PIs@")</f>
        <v>PIs@</v>
      </c>
      <c r="Z43" t="s">
        <v>478</v>
      </c>
      <c r="AA43" t="s">
        <v>1147</v>
      </c>
      <c r="AB43">
        <v>3</v>
      </c>
      <c r="AC43">
        <v>3</v>
      </c>
      <c r="AD43"/>
      <c r="AE43" s="21" t="str">
        <f>IF(RADataTable[[#This Row],[maxScore]]-RADataTable[[#This Row],[minScore]]&gt;4,"Y","")</f>
        <v/>
      </c>
      <c r="AF43" s="21">
        <v>5</v>
      </c>
      <c r="AG43" s="26">
        <v>5</v>
      </c>
      <c r="AH43">
        <v>5</v>
      </c>
      <c r="AI43" t="s">
        <v>1652</v>
      </c>
      <c r="AJ43" s="30">
        <v>43031.770833333336</v>
      </c>
      <c r="AK43" s="13">
        <v>172682</v>
      </c>
      <c r="AL43" s="13">
        <v>172682</v>
      </c>
      <c r="AM43">
        <v>0</v>
      </c>
      <c r="AN43" s="30">
        <v>43221</v>
      </c>
      <c r="AO43" s="21">
        <v>24</v>
      </c>
      <c r="AP43" s="21" t="s">
        <v>1653</v>
      </c>
      <c r="AS43" s="30"/>
      <c r="AT43" t="s">
        <v>605</v>
      </c>
      <c r="AU43" s="21" t="s">
        <v>541</v>
      </c>
      <c r="AV43" s="21">
        <v>4</v>
      </c>
      <c r="AW43" s="21" t="s">
        <v>1847</v>
      </c>
      <c r="AX43" s="30">
        <v>43032</v>
      </c>
      <c r="AY43" s="21" t="s">
        <v>1947</v>
      </c>
      <c r="AZ43" s="21" t="s">
        <v>1849</v>
      </c>
      <c r="BA43" s="21">
        <v>14</v>
      </c>
      <c r="BG43" s="30"/>
      <c r="BP43" s="30"/>
      <c r="BU43" t="s">
        <v>1147</v>
      </c>
      <c r="BV43" s="21" t="s">
        <v>1148</v>
      </c>
      <c r="BW43" s="21" t="s">
        <v>1651</v>
      </c>
      <c r="BX43" s="21" t="s">
        <v>558</v>
      </c>
      <c r="BY43" s="31">
        <v>172682</v>
      </c>
      <c r="BZ43" s="31">
        <v>172682</v>
      </c>
      <c r="CA43" t="s">
        <v>1631</v>
      </c>
      <c r="CF43" s="31"/>
      <c r="CG43" s="31"/>
      <c r="CM43" s="31"/>
      <c r="CN43" s="31"/>
      <c r="CT43" s="31"/>
      <c r="CU43" s="31"/>
      <c r="CV43" s="31"/>
      <c r="DA43" s="31"/>
      <c r="DB43" s="31"/>
      <c r="DC43" s="31"/>
      <c r="DH43" s="31"/>
      <c r="DI43" s="31"/>
      <c r="DO43" s="31"/>
      <c r="DP43" s="31"/>
      <c r="DR43" t="s">
        <v>1936</v>
      </c>
      <c r="DS43" t="s">
        <v>479</v>
      </c>
      <c r="DT43" t="s">
        <v>579</v>
      </c>
      <c r="DU43" s="29" t="s">
        <v>1851</v>
      </c>
      <c r="DV43" t="s">
        <v>172</v>
      </c>
      <c r="DW43" t="s">
        <v>327</v>
      </c>
      <c r="DX43" t="s">
        <v>170</v>
      </c>
      <c r="DY43" t="s">
        <v>167</v>
      </c>
      <c r="DZ43" t="s">
        <v>168</v>
      </c>
      <c r="EA43" s="22">
        <v>43083.486793981479</v>
      </c>
      <c r="EB43" t="s">
        <v>1654</v>
      </c>
      <c r="EC43" t="s">
        <v>1948</v>
      </c>
    </row>
    <row r="44" spans="1:133" x14ac:dyDescent="0.4">
      <c r="A44" s="30"/>
      <c r="B44" s="22">
        <v>42954.456944444442</v>
      </c>
      <c r="C44" s="22" t="s">
        <v>1621</v>
      </c>
      <c r="D44" s="30" t="s">
        <v>477</v>
      </c>
      <c r="E44" s="30" t="s">
        <v>578</v>
      </c>
      <c r="F44" s="30" t="s">
        <v>169</v>
      </c>
      <c r="G44" s="30" t="s">
        <v>171</v>
      </c>
      <c r="H44" t="s">
        <v>94</v>
      </c>
      <c r="I44" t="s">
        <v>1630</v>
      </c>
      <c r="J44" t="s">
        <v>611</v>
      </c>
      <c r="K44" s="22">
        <v>43082.662870370368</v>
      </c>
      <c r="L44">
        <v>1</v>
      </c>
      <c r="M44" s="26">
        <v>3.05</v>
      </c>
      <c r="N44" t="s">
        <v>542</v>
      </c>
      <c r="Q44" s="29" t="s">
        <v>13</v>
      </c>
      <c r="R44" s="29" t="str">
        <f>IFERROR(MID(RADataTable[[#This Row],[RAtemplate]],1,LEN(RADataTable[[#This Row],[RAtemplate]])-8),"RA") &amp; " " &amp; RADataTable[[#This Row],[prop_id0]] &amp; " " &amp; RADataTable[[#This Row],[last0]]</f>
        <v>RA 1755471 Tong</v>
      </c>
      <c r="U44" s="21" t="str">
        <f>IF(signer1="PD",IF(ISBLANK(RADataTable[[#This Row],[sign_blck_name]]),"",RADataTable[[#This Row],[sign_blck_name]]),IF(ISBLANK(signer1),"",signer1))</f>
        <v>Tracy J. Kimbrel</v>
      </c>
      <c r="V44" s="29" t="str">
        <f>signer2</f>
        <v>Cognizant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wtong@georgiasouthern.edu</v>
      </c>
      <c r="Y44" s="15" t="str">
        <f>HYPERLINK("mailto:"&amp;RADataTable[[#This Row],[allPIemail]]&amp;"&amp;subject=NSF Proposal:  "&amp;RADataTable[[#This Row],[Div]]&amp;" "&amp;RADataTable[[#This Row],[prop_id0]], "PIs@")</f>
        <v>PIs@</v>
      </c>
      <c r="Z44" t="s">
        <v>478</v>
      </c>
      <c r="AA44" t="s">
        <v>1118</v>
      </c>
      <c r="AB44">
        <v>3</v>
      </c>
      <c r="AC44">
        <v>3</v>
      </c>
      <c r="AD44"/>
      <c r="AE44" s="21" t="str">
        <f>IF(RADataTable[[#This Row],[maxScore]]-RADataTable[[#This Row],[minScore]]&gt;4,"Y","")</f>
        <v/>
      </c>
      <c r="AF44" s="21">
        <v>3</v>
      </c>
      <c r="AG44" s="26">
        <v>4</v>
      </c>
      <c r="AH44">
        <v>5</v>
      </c>
      <c r="AI44" t="s">
        <v>1635</v>
      </c>
      <c r="AJ44" s="30">
        <v>43060.386805555558</v>
      </c>
      <c r="AK44" s="13">
        <v>162689</v>
      </c>
      <c r="AL44" s="13">
        <v>162689</v>
      </c>
      <c r="AM44">
        <v>0</v>
      </c>
      <c r="AN44" s="30">
        <v>43235</v>
      </c>
      <c r="AO44" s="21">
        <v>24</v>
      </c>
      <c r="AP44" s="21" t="s">
        <v>1636</v>
      </c>
      <c r="AS44" s="30"/>
      <c r="AT44" t="s">
        <v>714</v>
      </c>
      <c r="AU44" s="21" t="s">
        <v>541</v>
      </c>
      <c r="AV44" s="21">
        <v>5</v>
      </c>
      <c r="AW44" s="21" t="s">
        <v>1866</v>
      </c>
      <c r="AX44" s="30">
        <v>43060</v>
      </c>
      <c r="AY44" s="21" t="s">
        <v>570</v>
      </c>
      <c r="AZ44" s="21" t="s">
        <v>1868</v>
      </c>
      <c r="BA44" s="21">
        <v>12</v>
      </c>
      <c r="BG44" s="30"/>
      <c r="BP44" s="30"/>
      <c r="BU44" t="s">
        <v>1118</v>
      </c>
      <c r="BV44" s="21" t="s">
        <v>1119</v>
      </c>
      <c r="BW44" s="21" t="s">
        <v>1633</v>
      </c>
      <c r="BX44" s="21" t="s">
        <v>1634</v>
      </c>
      <c r="BY44" s="31">
        <v>162689</v>
      </c>
      <c r="BZ44" s="31">
        <v>162689</v>
      </c>
      <c r="CA44" t="s">
        <v>1631</v>
      </c>
      <c r="CF44" s="31"/>
      <c r="CG44" s="31"/>
      <c r="CM44" s="31"/>
      <c r="CN44" s="31"/>
      <c r="CT44" s="31"/>
      <c r="CU44" s="31"/>
      <c r="CV44" s="31"/>
      <c r="DA44" s="31"/>
      <c r="DB44" s="31"/>
      <c r="DC44" s="31"/>
      <c r="DH44" s="31"/>
      <c r="DI44" s="31"/>
      <c r="DO44" s="31"/>
      <c r="DP44" s="31"/>
      <c r="DR44" t="s">
        <v>1936</v>
      </c>
      <c r="DS44" t="s">
        <v>479</v>
      </c>
      <c r="DT44" t="s">
        <v>579</v>
      </c>
      <c r="DU44" s="29" t="s">
        <v>1869</v>
      </c>
      <c r="DV44" t="s">
        <v>172</v>
      </c>
      <c r="DW44" t="s">
        <v>327</v>
      </c>
      <c r="DX44" t="s">
        <v>170</v>
      </c>
      <c r="DY44" t="s">
        <v>167</v>
      </c>
      <c r="DZ44" t="s">
        <v>168</v>
      </c>
      <c r="EA44" s="22">
        <v>43083.486793981479</v>
      </c>
      <c r="EB44" t="s">
        <v>1637</v>
      </c>
      <c r="EC44" t="s">
        <v>1940</v>
      </c>
    </row>
    <row r="45" spans="1:133" x14ac:dyDescent="0.4">
      <c r="A45" s="30"/>
      <c r="B45" s="22">
        <v>42956.648611111108</v>
      </c>
      <c r="C45" s="22" t="s">
        <v>1621</v>
      </c>
      <c r="D45" s="30" t="s">
        <v>477</v>
      </c>
      <c r="E45" s="30" t="s">
        <v>578</v>
      </c>
      <c r="F45" s="30" t="s">
        <v>169</v>
      </c>
      <c r="G45" s="30" t="s">
        <v>171</v>
      </c>
      <c r="H45" t="s">
        <v>94</v>
      </c>
      <c r="I45" t="s">
        <v>1630</v>
      </c>
      <c r="J45" t="s">
        <v>611</v>
      </c>
      <c r="K45" s="22">
        <v>43082.662939814814</v>
      </c>
      <c r="L45">
        <v>1</v>
      </c>
      <c r="M45" s="26">
        <v>3.05</v>
      </c>
      <c r="N45" t="s">
        <v>542</v>
      </c>
      <c r="Q45" s="29" t="s">
        <v>13</v>
      </c>
      <c r="R45" s="29" t="str">
        <f>IFERROR(MID(RADataTable[[#This Row],[RAtemplate]],1,LEN(RADataTable[[#This Row],[RAtemplate]])-8),"RA") &amp; " " &amp; RADataTable[[#This Row],[prop_id0]] &amp; " " &amp; RADataTable[[#This Row],[last0]]</f>
        <v>RA 1755885 Hosseini</v>
      </c>
      <c r="U45" s="21" t="str">
        <f>IF(signer1="PD",IF(ISBLANK(RADataTable[[#This Row],[sign_blck_name]]),"",RADataTable[[#This Row],[sign_blck_name]]),IF(ISBLANK(signer1),"",signer1))</f>
        <v>Tracy J. Kimbrel</v>
      </c>
      <c r="V45" s="29" t="str">
        <f>signer2</f>
        <v>Cognizant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hhvcs@rit.edu</v>
      </c>
      <c r="Y45" s="15" t="str">
        <f>HYPERLINK("mailto:"&amp;RADataTable[[#This Row],[allPIemail]]&amp;"&amp;subject=NSF Proposal:  "&amp;RADataTable[[#This Row],[Div]]&amp;" "&amp;RADataTable[[#This Row],[prop_id0]], "PIs@")</f>
        <v>PIs@</v>
      </c>
      <c r="Z45" t="s">
        <v>478</v>
      </c>
      <c r="AA45" t="s">
        <v>1209</v>
      </c>
      <c r="AB45">
        <v>3</v>
      </c>
      <c r="AC45">
        <v>3</v>
      </c>
      <c r="AD45"/>
      <c r="AE45" s="21" t="str">
        <f>IF(RADataTable[[#This Row],[maxScore]]-RADataTable[[#This Row],[minScore]]&gt;4,"Y","")</f>
        <v/>
      </c>
      <c r="AF45" s="21">
        <v>5</v>
      </c>
      <c r="AG45" s="26">
        <v>5.666666666666667</v>
      </c>
      <c r="AH45">
        <v>7</v>
      </c>
      <c r="AI45" t="s">
        <v>1677</v>
      </c>
      <c r="AJ45" s="30">
        <v>43059.231249999997</v>
      </c>
      <c r="AK45" s="13">
        <v>173878</v>
      </c>
      <c r="AL45" s="13">
        <v>173878</v>
      </c>
      <c r="AM45">
        <v>0</v>
      </c>
      <c r="AN45" s="30">
        <v>43344</v>
      </c>
      <c r="AO45" s="21">
        <v>24</v>
      </c>
      <c r="AP45" s="21" t="s">
        <v>1678</v>
      </c>
      <c r="AS45" s="30"/>
      <c r="AT45" t="s">
        <v>714</v>
      </c>
      <c r="AU45" s="21" t="s">
        <v>541</v>
      </c>
      <c r="AV45" s="21">
        <v>5</v>
      </c>
      <c r="AW45" s="21" t="s">
        <v>1866</v>
      </c>
      <c r="AX45" s="30">
        <v>43060</v>
      </c>
      <c r="AY45" s="21" t="s">
        <v>1961</v>
      </c>
      <c r="AZ45" s="21" t="s">
        <v>1868</v>
      </c>
      <c r="BA45" s="21">
        <v>12</v>
      </c>
      <c r="BG45" s="30"/>
      <c r="BP45" s="30"/>
      <c r="BU45" t="s">
        <v>1209</v>
      </c>
      <c r="BV45" s="21" t="s">
        <v>1210</v>
      </c>
      <c r="BW45" s="21" t="s">
        <v>1651</v>
      </c>
      <c r="BX45" s="21" t="s">
        <v>1676</v>
      </c>
      <c r="BY45" s="31">
        <v>173878</v>
      </c>
      <c r="BZ45" s="31">
        <v>173878</v>
      </c>
      <c r="CA45" t="s">
        <v>1646</v>
      </c>
      <c r="CF45" s="31"/>
      <c r="CG45" s="31"/>
      <c r="CM45" s="31"/>
      <c r="CN45" s="31"/>
      <c r="CT45" s="31"/>
      <c r="CU45" s="31"/>
      <c r="CV45" s="31"/>
      <c r="DA45" s="31"/>
      <c r="DB45" s="31"/>
      <c r="DC45" s="31"/>
      <c r="DH45" s="31"/>
      <c r="DI45" s="31"/>
      <c r="DO45" s="31"/>
      <c r="DP45" s="31"/>
      <c r="DR45" t="s">
        <v>1936</v>
      </c>
      <c r="DS45" t="s">
        <v>479</v>
      </c>
      <c r="DT45" t="s">
        <v>579</v>
      </c>
      <c r="DU45" s="29" t="s">
        <v>1869</v>
      </c>
      <c r="DV45" t="s">
        <v>172</v>
      </c>
      <c r="DW45" t="s">
        <v>327</v>
      </c>
      <c r="DX45" t="s">
        <v>170</v>
      </c>
      <c r="DY45" t="s">
        <v>167</v>
      </c>
      <c r="DZ45" t="s">
        <v>168</v>
      </c>
      <c r="EA45" s="22">
        <v>43083.486793981479</v>
      </c>
      <c r="EB45" t="s">
        <v>1679</v>
      </c>
      <c r="EC45" t="s">
        <v>1962</v>
      </c>
    </row>
    <row r="46" spans="1:133" x14ac:dyDescent="0.4">
      <c r="A46" s="30"/>
      <c r="B46" s="22">
        <v>42956.695833333331</v>
      </c>
      <c r="C46" s="22" t="s">
        <v>1621</v>
      </c>
      <c r="D46" s="30" t="s">
        <v>477</v>
      </c>
      <c r="E46" s="30" t="s">
        <v>578</v>
      </c>
      <c r="F46" s="30" t="s">
        <v>169</v>
      </c>
      <c r="G46" s="30" t="s">
        <v>171</v>
      </c>
      <c r="H46" t="s">
        <v>94</v>
      </c>
      <c r="I46" t="s">
        <v>1630</v>
      </c>
      <c r="J46" t="s">
        <v>611</v>
      </c>
      <c r="K46" s="22">
        <v>43082.66300925926</v>
      </c>
      <c r="L46">
        <v>1</v>
      </c>
      <c r="M46" s="26">
        <v>3.05</v>
      </c>
      <c r="N46" t="s">
        <v>542</v>
      </c>
      <c r="Q46" s="29" t="s">
        <v>13</v>
      </c>
      <c r="R46" s="29" t="str">
        <f>IFERROR(MID(RADataTable[[#This Row],[RAtemplate]],1,LEN(RADataTable[[#This Row],[RAtemplate]])-8),"RA") &amp; " " &amp; RADataTable[[#This Row],[prop_id0]] &amp; " " &amp; RADataTable[[#This Row],[last0]]</f>
        <v>RA 1755950 Escobedo</v>
      </c>
      <c r="U46" s="21" t="str">
        <f>IF(signer1="PD",IF(ISBLANK(RADataTable[[#This Row],[sign_blck_name]]),"",RADataTable[[#This Row],[sign_blck_name]]),IF(ISBLANK(signer1),"",signer1))</f>
        <v>Tracy J. Kimbrel</v>
      </c>
      <c r="V46" s="29" t="str">
        <f>signer2</f>
        <v>Cognizant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adres@asu.edu</v>
      </c>
      <c r="Y46" s="15" t="str">
        <f>HYPERLINK("mailto:"&amp;RADataTable[[#This Row],[allPIemail]]&amp;"&amp;subject=NSF Proposal:  "&amp;RADataTable[[#This Row],[Div]]&amp;" "&amp;RADataTable[[#This Row],[prop_id0]], "PIs@")</f>
        <v>PIs@</v>
      </c>
      <c r="Z46" t="s">
        <v>478</v>
      </c>
      <c r="AA46" t="s">
        <v>1224</v>
      </c>
      <c r="AB46">
        <v>3</v>
      </c>
      <c r="AC46">
        <v>3</v>
      </c>
      <c r="AD46"/>
      <c r="AE46" s="21" t="str">
        <f>IF(RADataTable[[#This Row],[maxScore]]-RADataTable[[#This Row],[minScore]]&gt;4,"Y","")</f>
        <v/>
      </c>
      <c r="AF46" s="21">
        <v>4</v>
      </c>
      <c r="AG46" s="26">
        <v>5</v>
      </c>
      <c r="AH46">
        <v>6</v>
      </c>
      <c r="AI46" t="s">
        <v>1686</v>
      </c>
      <c r="AJ46" s="30">
        <v>43058.972916666666</v>
      </c>
      <c r="AK46" s="13">
        <v>175000</v>
      </c>
      <c r="AL46" s="13">
        <v>175000</v>
      </c>
      <c r="AM46">
        <v>0</v>
      </c>
      <c r="AN46" s="30">
        <v>43328</v>
      </c>
      <c r="AO46" s="21">
        <v>24</v>
      </c>
      <c r="AP46" s="21" t="s">
        <v>1687</v>
      </c>
      <c r="AS46" s="30"/>
      <c r="AT46" t="s">
        <v>714</v>
      </c>
      <c r="AU46" s="21" t="s">
        <v>541</v>
      </c>
      <c r="AV46" s="21">
        <v>5</v>
      </c>
      <c r="AW46" s="21" t="s">
        <v>1866</v>
      </c>
      <c r="AX46" s="30">
        <v>43060</v>
      </c>
      <c r="AY46" s="21" t="s">
        <v>572</v>
      </c>
      <c r="AZ46" s="21" t="s">
        <v>1868</v>
      </c>
      <c r="BA46" s="21">
        <v>12</v>
      </c>
      <c r="BG46" s="30"/>
      <c r="BP46" s="30"/>
      <c r="BU46" t="s">
        <v>1224</v>
      </c>
      <c r="BV46" s="21" t="s">
        <v>1225</v>
      </c>
      <c r="BW46" s="21" t="s">
        <v>1684</v>
      </c>
      <c r="BX46" s="21" t="s">
        <v>1685</v>
      </c>
      <c r="BY46" s="31">
        <v>175000</v>
      </c>
      <c r="BZ46" s="31">
        <v>175000</v>
      </c>
      <c r="CA46" t="s">
        <v>1646</v>
      </c>
      <c r="CF46" s="31"/>
      <c r="CG46" s="31"/>
      <c r="CM46" s="31"/>
      <c r="CN46" s="31"/>
      <c r="CT46" s="31"/>
      <c r="CU46" s="31"/>
      <c r="CV46" s="31"/>
      <c r="DA46" s="31"/>
      <c r="DB46" s="31"/>
      <c r="DC46" s="31"/>
      <c r="DH46" s="31"/>
      <c r="DI46" s="31"/>
      <c r="DO46" s="31"/>
      <c r="DP46" s="31"/>
      <c r="DR46" t="s">
        <v>1936</v>
      </c>
      <c r="DS46" t="s">
        <v>479</v>
      </c>
      <c r="DT46" t="s">
        <v>579</v>
      </c>
      <c r="DU46" s="29" t="s">
        <v>1869</v>
      </c>
      <c r="DV46" t="s">
        <v>172</v>
      </c>
      <c r="DW46" t="s">
        <v>327</v>
      </c>
      <c r="DX46" t="s">
        <v>170</v>
      </c>
      <c r="DY46" t="s">
        <v>167</v>
      </c>
      <c r="DZ46" t="s">
        <v>168</v>
      </c>
      <c r="EA46" s="22">
        <v>43083.486793981479</v>
      </c>
      <c r="EB46" t="s">
        <v>1688</v>
      </c>
      <c r="EC46" t="s">
        <v>1965</v>
      </c>
    </row>
    <row r="47" spans="1:133" x14ac:dyDescent="0.4">
      <c r="A47" s="30">
        <v>43081.686678240738</v>
      </c>
      <c r="B47" s="22">
        <v>42956.439583333333</v>
      </c>
      <c r="C47" s="22" t="s">
        <v>1621</v>
      </c>
      <c r="D47" s="30" t="s">
        <v>1622</v>
      </c>
      <c r="E47" s="30" t="s">
        <v>580</v>
      </c>
      <c r="F47" s="30" t="s">
        <v>169</v>
      </c>
      <c r="G47" s="30" t="s">
        <v>2073</v>
      </c>
      <c r="H47" t="s">
        <v>94</v>
      </c>
      <c r="I47" t="s">
        <v>1623</v>
      </c>
      <c r="J47" t="s">
        <v>2046</v>
      </c>
      <c r="K47" s="22">
        <v>43070.440868055557</v>
      </c>
      <c r="L47">
        <v>2</v>
      </c>
      <c r="M47" s="26">
        <v>3.09</v>
      </c>
      <c r="N47" t="s">
        <v>309</v>
      </c>
      <c r="O47" t="s">
        <v>542</v>
      </c>
      <c r="Q47" s="29" t="s">
        <v>13</v>
      </c>
      <c r="R47" s="29" t="str">
        <f>IFERROR(MID(RADataTable[[#This Row],[RAtemplate]],1,LEN(RADataTable[[#This Row],[RAtemplate]])-8),"RA") &amp; " " &amp; RADataTable[[#This Row],[prop_id0]] &amp; " " &amp; RADataTable[[#This Row],[last0]]</f>
        <v>RA 1755679 FANG</v>
      </c>
      <c r="U47" s="21" t="str">
        <f>IF(signer1="PD",IF(ISBLANK(RADataTable[[#This Row],[sign_blck_name]]),"",RADataTable[[#This Row],[sign_blck_name]]),IF(ISBLANK(signer1),"",signer1))</f>
        <v>James Donlon</v>
      </c>
      <c r="V47" s="29" t="str">
        <f>signer2</f>
        <v>Cognizant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feifang@cmu.edu</v>
      </c>
      <c r="Y47" s="15" t="str">
        <f>HYPERLINK("mailto:"&amp;RADataTable[[#This Row],[allPIemail]]&amp;"&amp;subject=NSF Proposal:  "&amp;RADataTable[[#This Row],[Div]]&amp;" "&amp;RADataTable[[#This Row],[prop_id0]], "PIs@")</f>
        <v>PIs@</v>
      </c>
      <c r="Z47" t="s">
        <v>1625</v>
      </c>
      <c r="AA47" t="s">
        <v>2044</v>
      </c>
      <c r="AB47">
        <v>5</v>
      </c>
      <c r="AD47"/>
      <c r="AE47" s="21" t="str">
        <f>IF(RADataTable[[#This Row],[maxScore]]-RADataTable[[#This Row],[minScore]]&gt;4,"Y","")</f>
        <v>Y</v>
      </c>
      <c r="AF47" s="21">
        <v>3</v>
      </c>
      <c r="AG47" s="26">
        <v>5.6</v>
      </c>
      <c r="AH47">
        <v>9</v>
      </c>
      <c r="AI47" t="s">
        <v>2075</v>
      </c>
      <c r="AJ47" s="30">
        <v>43068.363194444442</v>
      </c>
      <c r="AK47" s="13">
        <v>175000</v>
      </c>
      <c r="AL47" s="13">
        <v>175000</v>
      </c>
      <c r="AM47">
        <v>0</v>
      </c>
      <c r="AN47" s="30">
        <v>43101</v>
      </c>
      <c r="AO47" s="21">
        <v>24</v>
      </c>
      <c r="AP47" s="21" t="s">
        <v>2077</v>
      </c>
      <c r="AS47" s="30"/>
      <c r="AT47" t="s">
        <v>714</v>
      </c>
      <c r="AU47" s="21" t="s">
        <v>546</v>
      </c>
      <c r="AV47" s="21">
        <v>9</v>
      </c>
      <c r="AW47" s="21" t="s">
        <v>1866</v>
      </c>
      <c r="AX47" s="30">
        <v>43060</v>
      </c>
      <c r="AY47" s="21" t="s">
        <v>2084</v>
      </c>
      <c r="AZ47" s="21" t="s">
        <v>1868</v>
      </c>
      <c r="BA47" s="21">
        <v>12</v>
      </c>
      <c r="BB47" s="21">
        <v>2</v>
      </c>
      <c r="BC47" s="21" t="s">
        <v>2048</v>
      </c>
      <c r="BD47" s="21" t="s">
        <v>541</v>
      </c>
      <c r="BF47" s="21" t="s">
        <v>2085</v>
      </c>
      <c r="BG47" s="30">
        <v>43068</v>
      </c>
      <c r="BH47" s="21" t="s">
        <v>2086</v>
      </c>
      <c r="BI47" s="21" t="s">
        <v>2087</v>
      </c>
      <c r="BJ47" s="21">
        <v>6</v>
      </c>
      <c r="BP47" s="30"/>
      <c r="BU47" t="s">
        <v>2044</v>
      </c>
      <c r="BV47" s="21" t="s">
        <v>2045</v>
      </c>
      <c r="BW47" s="21" t="s">
        <v>2074</v>
      </c>
      <c r="BX47" s="21" t="s">
        <v>497</v>
      </c>
      <c r="BY47" s="31">
        <v>175000</v>
      </c>
      <c r="BZ47" s="31">
        <v>175000</v>
      </c>
      <c r="CA47" t="s">
        <v>1624</v>
      </c>
      <c r="CF47" s="31"/>
      <c r="CG47" s="31"/>
      <c r="CM47" s="31"/>
      <c r="CN47" s="31"/>
      <c r="CT47" s="31"/>
      <c r="CU47" s="31"/>
      <c r="CV47" s="31"/>
      <c r="DA47" s="31"/>
      <c r="DB47" s="31"/>
      <c r="DC47" s="31"/>
      <c r="DH47" s="31"/>
      <c r="DI47" s="31"/>
      <c r="DO47" s="31"/>
      <c r="DP47" s="31"/>
      <c r="DR47" t="s">
        <v>1936</v>
      </c>
      <c r="DS47" t="s">
        <v>1937</v>
      </c>
      <c r="DT47" t="s">
        <v>581</v>
      </c>
      <c r="DU47" s="29" t="s">
        <v>2088</v>
      </c>
      <c r="DV47" t="s">
        <v>2076</v>
      </c>
      <c r="DW47" t="s">
        <v>327</v>
      </c>
      <c r="DX47" t="s">
        <v>170</v>
      </c>
      <c r="DY47" t="s">
        <v>167</v>
      </c>
      <c r="DZ47" t="s">
        <v>168</v>
      </c>
      <c r="EA47" s="22">
        <v>43083.486793981479</v>
      </c>
      <c r="EB47" t="s">
        <v>2078</v>
      </c>
      <c r="EC47" t="s">
        <v>2089</v>
      </c>
    </row>
    <row r="48" spans="1:133" x14ac:dyDescent="0.4">
      <c r="A48" s="30"/>
      <c r="B48" s="22">
        <v>43003.736805555556</v>
      </c>
      <c r="C48" s="22" t="s">
        <v>524</v>
      </c>
      <c r="D48" s="30" t="s">
        <v>477</v>
      </c>
      <c r="E48" s="30" t="s">
        <v>582</v>
      </c>
      <c r="F48" s="30" t="s">
        <v>169</v>
      </c>
      <c r="G48" s="30" t="s">
        <v>171</v>
      </c>
      <c r="H48" t="s">
        <v>94</v>
      </c>
      <c r="I48" t="s">
        <v>525</v>
      </c>
      <c r="J48" t="s">
        <v>654</v>
      </c>
      <c r="K48" s="22">
        <v>43082.529826388891</v>
      </c>
      <c r="L48">
        <v>1</v>
      </c>
      <c r="M48" s="26">
        <v>3.09</v>
      </c>
      <c r="N48" t="s">
        <v>542</v>
      </c>
      <c r="Q48" s="29" t="s">
        <v>13</v>
      </c>
      <c r="R48" s="29" t="str">
        <f>IFERROR(MID(RADataTable[[#This Row],[RAtemplate]],1,LEN(RADataTable[[#This Row],[RAtemplate]])-8),"RA") &amp; " " &amp; RADataTable[[#This Row],[prop_id0]] &amp; " " &amp; RADataTable[[#This Row],[last0]]</f>
        <v>RA 1763258 Goodrich</v>
      </c>
      <c r="U48" s="21" t="str">
        <f>IF(signer1="PD",IF(ISBLANK(RADataTable[[#This Row],[sign_blck_name]]),"",RADataTable[[#This Row],[sign_blck_name]]),IF(ISBLANK(signer1),"",signer1))</f>
        <v>Rahul Shah</v>
      </c>
      <c r="V48" s="29" t="str">
        <f>signer2</f>
        <v>Cognizant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goodrich@acm.org</v>
      </c>
      <c r="Y48" s="15" t="str">
        <f>HYPERLINK("mailto:"&amp;RADataTable[[#This Row],[allPIemail]]&amp;"&amp;subject=NSF Proposal:  "&amp;RADataTable[[#This Row],[Div]]&amp;" "&amp;RADataTable[[#This Row],[prop_id0]], "PIs@")</f>
        <v>PIs@</v>
      </c>
      <c r="Z48" t="s">
        <v>478</v>
      </c>
      <c r="AA48" t="s">
        <v>1279</v>
      </c>
      <c r="AB48">
        <v>4</v>
      </c>
      <c r="AC48">
        <v>4</v>
      </c>
      <c r="AD48"/>
      <c r="AE48" s="21" t="str">
        <f>IF(RADataTable[[#This Row],[maxScore]]-RADataTable[[#This Row],[minScore]]&gt;4,"Y","")</f>
        <v/>
      </c>
      <c r="AF48" s="21">
        <v>5</v>
      </c>
      <c r="AG48" s="26">
        <v>5.75</v>
      </c>
      <c r="AH48">
        <v>7</v>
      </c>
      <c r="AI48" t="s">
        <v>531</v>
      </c>
      <c r="AJ48" s="30">
        <v>43081.234722222223</v>
      </c>
      <c r="AK48" s="13">
        <v>1199544</v>
      </c>
      <c r="AL48" s="13">
        <v>1199544</v>
      </c>
      <c r="AM48">
        <v>0</v>
      </c>
      <c r="AN48" s="30">
        <v>43282</v>
      </c>
      <c r="AO48" s="21">
        <v>48</v>
      </c>
      <c r="AP48" s="21" t="s">
        <v>1710</v>
      </c>
      <c r="AS48" s="30"/>
      <c r="AT48" t="s">
        <v>1262</v>
      </c>
      <c r="AU48" s="21" t="s">
        <v>541</v>
      </c>
      <c r="AV48" s="21">
        <v>9</v>
      </c>
      <c r="AW48" s="21" t="s">
        <v>1971</v>
      </c>
      <c r="AX48" s="30">
        <v>43081</v>
      </c>
      <c r="AY48" s="21" t="s">
        <v>532</v>
      </c>
      <c r="AZ48" s="21" t="s">
        <v>1973</v>
      </c>
      <c r="BA48" s="21">
        <v>9</v>
      </c>
      <c r="BG48" s="30"/>
      <c r="BP48" s="30"/>
      <c r="BU48" t="s">
        <v>1279</v>
      </c>
      <c r="BV48" s="21" t="s">
        <v>1280</v>
      </c>
      <c r="BW48" s="21" t="s">
        <v>1524</v>
      </c>
      <c r="BX48" s="21" t="s">
        <v>1709</v>
      </c>
      <c r="BY48" s="31">
        <v>1199544</v>
      </c>
      <c r="BZ48" s="31">
        <v>1199544</v>
      </c>
      <c r="CA48" t="s">
        <v>1704</v>
      </c>
      <c r="CF48" s="31"/>
      <c r="CG48" s="31"/>
      <c r="CM48" s="31"/>
      <c r="CN48" s="31"/>
      <c r="CT48" s="31"/>
      <c r="CU48" s="31"/>
      <c r="CV48" s="31"/>
      <c r="DA48" s="31"/>
      <c r="DB48" s="31"/>
      <c r="DC48" s="31"/>
      <c r="DH48" s="31"/>
      <c r="DI48" s="31"/>
      <c r="DO48" s="31"/>
      <c r="DP48" s="31"/>
      <c r="DR48" t="s">
        <v>529</v>
      </c>
      <c r="DS48" t="s">
        <v>479</v>
      </c>
      <c r="DT48" t="s">
        <v>583</v>
      </c>
      <c r="DU48" s="29" t="s">
        <v>1856</v>
      </c>
      <c r="DV48" t="s">
        <v>172</v>
      </c>
      <c r="DW48" t="s">
        <v>327</v>
      </c>
      <c r="DX48" t="s">
        <v>170</v>
      </c>
      <c r="DY48" t="s">
        <v>167</v>
      </c>
      <c r="DZ48" t="s">
        <v>168</v>
      </c>
      <c r="EA48" s="22">
        <v>43083.486793981479</v>
      </c>
      <c r="EB48" t="s">
        <v>1711</v>
      </c>
      <c r="EC48" t="s">
        <v>1975</v>
      </c>
    </row>
    <row r="49" spans="1:133" x14ac:dyDescent="0.4">
      <c r="A49" s="30"/>
      <c r="B49" s="22">
        <v>43004.525694444441</v>
      </c>
      <c r="C49" s="22" t="s">
        <v>524</v>
      </c>
      <c r="D49" s="30" t="s">
        <v>477</v>
      </c>
      <c r="E49" s="30" t="s">
        <v>582</v>
      </c>
      <c r="F49" s="30" t="s">
        <v>169</v>
      </c>
      <c r="G49" s="30" t="s">
        <v>171</v>
      </c>
      <c r="H49" t="s">
        <v>94</v>
      </c>
      <c r="I49" t="s">
        <v>525</v>
      </c>
      <c r="J49" t="s">
        <v>611</v>
      </c>
      <c r="K49" s="22">
        <v>43082.529895833337</v>
      </c>
      <c r="L49">
        <v>1</v>
      </c>
      <c r="M49" s="26">
        <v>3.09</v>
      </c>
      <c r="N49" t="s">
        <v>542</v>
      </c>
      <c r="Q49" s="29" t="s">
        <v>13</v>
      </c>
      <c r="R49" s="29" t="str">
        <f>IFERROR(MID(RADataTable[[#This Row],[RAtemplate]],1,LEN(RADataTable[[#This Row],[RAtemplate]])-8),"RA") &amp; " " &amp; RADataTable[[#This Row],[prop_id0]] &amp; " " &amp; RADataTable[[#This Row],[last0]]</f>
        <v>RA 1763320 Munagala</v>
      </c>
      <c r="U49" s="21" t="str">
        <f>IF(signer1="PD",IF(ISBLANK(RADataTable[[#This Row],[sign_blck_name]]),"",RADataTable[[#This Row],[sign_blck_name]]),IF(ISBLANK(signer1),"",signer1))</f>
        <v>Tracy J. Kimbrel</v>
      </c>
      <c r="V49" s="29" t="str">
        <f>signer2</f>
        <v>Cognizant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kamesh@cs.duke.edu</v>
      </c>
      <c r="Y49" s="15" t="str">
        <f>HYPERLINK("mailto:"&amp;RADataTable[[#This Row],[allPIemail]]&amp;"&amp;subject=NSF Proposal:  "&amp;RADataTable[[#This Row],[Div]]&amp;" "&amp;RADataTable[[#This Row],[prop_id0]], "PIs@")</f>
        <v>PIs@</v>
      </c>
      <c r="Z49" t="s">
        <v>478</v>
      </c>
      <c r="AA49" t="s">
        <v>1322</v>
      </c>
      <c r="AB49">
        <v>4</v>
      </c>
      <c r="AC49">
        <v>4</v>
      </c>
      <c r="AD49"/>
      <c r="AE49" s="21" t="str">
        <f>IF(RADataTable[[#This Row],[maxScore]]-RADataTable[[#This Row],[minScore]]&gt;4,"Y","")</f>
        <v/>
      </c>
      <c r="AF49" s="21">
        <v>3</v>
      </c>
      <c r="AG49" s="26">
        <v>5</v>
      </c>
      <c r="AH49">
        <v>7</v>
      </c>
      <c r="AI49" t="s">
        <v>1748</v>
      </c>
      <c r="AJ49" s="30">
        <v>43081.281944444447</v>
      </c>
      <c r="AK49" s="13">
        <v>1199044</v>
      </c>
      <c r="AL49" s="13">
        <v>1199044</v>
      </c>
      <c r="AM49">
        <v>0</v>
      </c>
      <c r="AN49" s="30">
        <v>43282</v>
      </c>
      <c r="AO49" s="21">
        <v>48</v>
      </c>
      <c r="AP49" s="21" t="s">
        <v>1749</v>
      </c>
      <c r="AQ49">
        <v>1</v>
      </c>
      <c r="AR49" t="s">
        <v>1981</v>
      </c>
      <c r="AS49" s="30">
        <v>43075.668749999997</v>
      </c>
      <c r="AT49" t="s">
        <v>1262</v>
      </c>
      <c r="AU49" s="21" t="s">
        <v>541</v>
      </c>
      <c r="AV49" s="21">
        <v>9</v>
      </c>
      <c r="AW49" s="21" t="s">
        <v>1971</v>
      </c>
      <c r="AX49" s="30">
        <v>43081</v>
      </c>
      <c r="AY49" s="21" t="s">
        <v>1982</v>
      </c>
      <c r="AZ49" s="21" t="s">
        <v>1973</v>
      </c>
      <c r="BA49" s="21">
        <v>9</v>
      </c>
      <c r="BB49" s="21">
        <v>1</v>
      </c>
      <c r="BG49" s="30"/>
      <c r="BP49" s="30"/>
      <c r="BU49" t="s">
        <v>1322</v>
      </c>
      <c r="BV49" s="21" t="s">
        <v>1323</v>
      </c>
      <c r="BW49" s="21" t="s">
        <v>1747</v>
      </c>
      <c r="BX49" s="21" t="s">
        <v>1520</v>
      </c>
      <c r="BY49" s="31">
        <v>599974</v>
      </c>
      <c r="BZ49" s="31">
        <v>599974</v>
      </c>
      <c r="CA49" t="s">
        <v>1712</v>
      </c>
      <c r="CB49" s="21" t="s">
        <v>1751</v>
      </c>
      <c r="CC49" s="21" t="s">
        <v>1752</v>
      </c>
      <c r="CD49" s="21" t="s">
        <v>1753</v>
      </c>
      <c r="CE49" s="21" t="s">
        <v>1754</v>
      </c>
      <c r="CF49" s="31">
        <v>599070</v>
      </c>
      <c r="CG49" s="31">
        <v>599070</v>
      </c>
      <c r="CH49" t="s">
        <v>1712</v>
      </c>
      <c r="CM49" s="31"/>
      <c r="CN49" s="31"/>
      <c r="CT49" s="31"/>
      <c r="CU49" s="31"/>
      <c r="CV49" s="31"/>
      <c r="DA49" s="31"/>
      <c r="DB49" s="31"/>
      <c r="DC49" s="31"/>
      <c r="DH49" s="31"/>
      <c r="DI49" s="31"/>
      <c r="DO49" s="31"/>
      <c r="DP49" s="31"/>
      <c r="DR49" t="s">
        <v>529</v>
      </c>
      <c r="DS49" t="s">
        <v>479</v>
      </c>
      <c r="DT49" t="s">
        <v>583</v>
      </c>
      <c r="DU49" s="29" t="s">
        <v>1869</v>
      </c>
      <c r="DV49" t="s">
        <v>172</v>
      </c>
      <c r="DW49" t="s">
        <v>327</v>
      </c>
      <c r="DX49" t="s">
        <v>170</v>
      </c>
      <c r="DY49" t="s">
        <v>167</v>
      </c>
      <c r="DZ49" t="s">
        <v>168</v>
      </c>
      <c r="EA49" s="22">
        <v>43083.486793981479</v>
      </c>
      <c r="EB49" t="s">
        <v>1750</v>
      </c>
      <c r="EC49" t="s">
        <v>1983</v>
      </c>
    </row>
    <row r="50" spans="1:133" x14ac:dyDescent="0.4">
      <c r="A50" s="30"/>
      <c r="B50" s="22">
        <v>43005.413194444445</v>
      </c>
      <c r="C50" s="22" t="s">
        <v>524</v>
      </c>
      <c r="D50" s="30" t="s">
        <v>477</v>
      </c>
      <c r="E50" s="30" t="s">
        <v>582</v>
      </c>
      <c r="F50" s="30" t="s">
        <v>169</v>
      </c>
      <c r="G50" s="30" t="s">
        <v>171</v>
      </c>
      <c r="H50" t="s">
        <v>94</v>
      </c>
      <c r="I50" t="s">
        <v>525</v>
      </c>
      <c r="J50" t="s">
        <v>654</v>
      </c>
      <c r="K50" s="22">
        <v>43082.529965277776</v>
      </c>
      <c r="L50">
        <v>1</v>
      </c>
      <c r="M50" s="26">
        <v>3.09</v>
      </c>
      <c r="N50" t="s">
        <v>542</v>
      </c>
      <c r="Q50" s="29" t="s">
        <v>13</v>
      </c>
      <c r="R50" s="29" t="str">
        <f>IFERROR(MID(RADataTable[[#This Row],[RAtemplate]],1,LEN(RADataTable[[#This Row],[RAtemplate]])-8),"RA") &amp; " " &amp; RADataTable[[#This Row],[prop_id0]] &amp; " " &amp; RADataTable[[#This Row],[last0]]</f>
        <v>RA 1763481 Rudra</v>
      </c>
      <c r="U50" s="21" t="str">
        <f>IF(signer1="PD",IF(ISBLANK(RADataTable[[#This Row],[sign_blck_name]]),"",RADataTable[[#This Row],[sign_blck_name]]),IF(ISBLANK(signer1),"",signer1))</f>
        <v>Rahul Shah</v>
      </c>
      <c r="V50" s="29" t="str">
        <f>signer2</f>
        <v>Cognizant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atri@buffalo.edu</v>
      </c>
      <c r="Y50" s="15" t="str">
        <f>HYPERLINK("mailto:"&amp;RADataTable[[#This Row],[allPIemail]]&amp;"&amp;subject=NSF Proposal:  "&amp;RADataTable[[#This Row],[Div]]&amp;" "&amp;RADataTable[[#This Row],[prop_id0]], "PIs@")</f>
        <v>PIs@</v>
      </c>
      <c r="Z50" t="s">
        <v>478</v>
      </c>
      <c r="AA50" t="s">
        <v>1334</v>
      </c>
      <c r="AB50">
        <v>4</v>
      </c>
      <c r="AC50">
        <v>4</v>
      </c>
      <c r="AD50"/>
      <c r="AE50" s="21" t="str">
        <f>IF(RADataTable[[#This Row],[maxScore]]-RADataTable[[#This Row],[minScore]]&gt;4,"Y","")</f>
        <v/>
      </c>
      <c r="AF50" s="21">
        <v>3</v>
      </c>
      <c r="AG50" s="26">
        <v>5</v>
      </c>
      <c r="AH50">
        <v>7</v>
      </c>
      <c r="AI50" t="s">
        <v>1757</v>
      </c>
      <c r="AJ50" s="30">
        <v>43081.477777777778</v>
      </c>
      <c r="AK50" s="13">
        <v>1197440</v>
      </c>
      <c r="AL50" s="13">
        <v>1197440</v>
      </c>
      <c r="AM50">
        <v>0</v>
      </c>
      <c r="AN50" s="30">
        <v>43191</v>
      </c>
      <c r="AO50" s="21">
        <v>48</v>
      </c>
      <c r="AP50" s="21" t="s">
        <v>1758</v>
      </c>
      <c r="AS50" s="30"/>
      <c r="AT50" t="s">
        <v>1262</v>
      </c>
      <c r="AU50" s="21" t="s">
        <v>541</v>
      </c>
      <c r="AV50" s="21">
        <v>9</v>
      </c>
      <c r="AW50" s="21" t="s">
        <v>1971</v>
      </c>
      <c r="AX50" s="30">
        <v>43081</v>
      </c>
      <c r="AY50" s="21" t="s">
        <v>1984</v>
      </c>
      <c r="AZ50" s="21" t="s">
        <v>1973</v>
      </c>
      <c r="BA50" s="21">
        <v>9</v>
      </c>
      <c r="BG50" s="30"/>
      <c r="BP50" s="30"/>
      <c r="BU50" t="s">
        <v>1334</v>
      </c>
      <c r="BV50" s="21" t="s">
        <v>1335</v>
      </c>
      <c r="BW50" s="21" t="s">
        <v>1756</v>
      </c>
      <c r="BX50" s="21" t="s">
        <v>1512</v>
      </c>
      <c r="BY50" s="31">
        <v>645322</v>
      </c>
      <c r="BZ50" s="31">
        <v>645322</v>
      </c>
      <c r="CA50" t="s">
        <v>1704</v>
      </c>
      <c r="CB50" s="21" t="s">
        <v>1760</v>
      </c>
      <c r="CC50" s="21" t="s">
        <v>1761</v>
      </c>
      <c r="CD50" s="21" t="s">
        <v>1762</v>
      </c>
      <c r="CE50" s="21" t="s">
        <v>1465</v>
      </c>
      <c r="CF50" s="31">
        <v>552118</v>
      </c>
      <c r="CG50" s="31">
        <v>552118</v>
      </c>
      <c r="CH50" t="s">
        <v>1704</v>
      </c>
      <c r="CM50" s="31"/>
      <c r="CN50" s="31"/>
      <c r="CT50" s="31"/>
      <c r="CU50" s="31"/>
      <c r="CV50" s="31"/>
      <c r="DA50" s="31"/>
      <c r="DB50" s="31"/>
      <c r="DC50" s="31"/>
      <c r="DH50" s="31"/>
      <c r="DI50" s="31"/>
      <c r="DO50" s="31"/>
      <c r="DP50" s="31"/>
      <c r="DR50" t="s">
        <v>529</v>
      </c>
      <c r="DS50" t="s">
        <v>479</v>
      </c>
      <c r="DT50" t="s">
        <v>583</v>
      </c>
      <c r="DU50" s="29" t="s">
        <v>1856</v>
      </c>
      <c r="DV50" t="s">
        <v>172</v>
      </c>
      <c r="DW50" t="s">
        <v>327</v>
      </c>
      <c r="DX50" t="s">
        <v>170</v>
      </c>
      <c r="DY50" t="s">
        <v>167</v>
      </c>
      <c r="DZ50" t="s">
        <v>168</v>
      </c>
      <c r="EA50" s="22">
        <v>43083.486793981479</v>
      </c>
      <c r="EB50" t="s">
        <v>1759</v>
      </c>
      <c r="EC50" t="s">
        <v>1985</v>
      </c>
    </row>
    <row r="51" spans="1:133" x14ac:dyDescent="0.4">
      <c r="A51" s="30"/>
      <c r="B51" s="22">
        <v>43005.479861111111</v>
      </c>
      <c r="C51" s="22" t="s">
        <v>524</v>
      </c>
      <c r="D51" s="30" t="s">
        <v>477</v>
      </c>
      <c r="E51" s="30" t="s">
        <v>582</v>
      </c>
      <c r="F51" s="30" t="s">
        <v>169</v>
      </c>
      <c r="G51" s="30" t="s">
        <v>171</v>
      </c>
      <c r="H51" t="s">
        <v>94</v>
      </c>
      <c r="I51" t="s">
        <v>525</v>
      </c>
      <c r="J51" t="s">
        <v>654</v>
      </c>
      <c r="K51" s="22">
        <v>43082.530034722222</v>
      </c>
      <c r="L51">
        <v>1</v>
      </c>
      <c r="M51" s="26">
        <v>3.09</v>
      </c>
      <c r="N51" t="s">
        <v>542</v>
      </c>
      <c r="Q51" s="29" t="s">
        <v>13</v>
      </c>
      <c r="R51" s="29" t="str">
        <f>IFERROR(MID(RADataTable[[#This Row],[RAtemplate]],1,LEN(RADataTable[[#This Row],[RAtemplate]])-8),"RA") &amp; " " &amp; RADataTable[[#This Row],[prop_id0]] &amp; " " &amp; RADataTable[[#This Row],[last0]]</f>
        <v>RA 1763557 Nguyen</v>
      </c>
      <c r="U51" s="21" t="str">
        <f>IF(signer1="PD",IF(ISBLANK(RADataTable[[#This Row],[sign_blck_name]]),"",RADataTable[[#This Row],[sign_blck_name]]),IF(ISBLANK(signer1),"",signer1))</f>
        <v>Rahul Shah</v>
      </c>
      <c r="V51" s="29" t="str">
        <f>signer2</f>
        <v>Cognizant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hu.nguyen@neu.edu</v>
      </c>
      <c r="Y51" s="15" t="str">
        <f>HYPERLINK("mailto:"&amp;RADataTable[[#This Row],[allPIemail]]&amp;"&amp;subject=NSF Proposal:  "&amp;RADataTable[[#This Row],[Div]]&amp;" "&amp;RADataTable[[#This Row],[prop_id0]], "PIs@")</f>
        <v>PIs@</v>
      </c>
      <c r="Z51" t="s">
        <v>478</v>
      </c>
      <c r="AA51" t="s">
        <v>1343</v>
      </c>
      <c r="AB51">
        <v>4</v>
      </c>
      <c r="AC51">
        <v>4</v>
      </c>
      <c r="AD51"/>
      <c r="AE51" s="21" t="str">
        <f>IF(RADataTable[[#This Row],[maxScore]]-RADataTable[[#This Row],[minScore]]&gt;4,"Y","")</f>
        <v/>
      </c>
      <c r="AF51" s="21">
        <v>5</v>
      </c>
      <c r="AG51" s="26">
        <v>5.5</v>
      </c>
      <c r="AH51">
        <v>7</v>
      </c>
      <c r="AI51" t="s">
        <v>1563</v>
      </c>
      <c r="AJ51" s="30">
        <v>43081.395138888889</v>
      </c>
      <c r="AK51" s="13">
        <v>1049949</v>
      </c>
      <c r="AL51" s="13">
        <v>1049949</v>
      </c>
      <c r="AM51">
        <v>0</v>
      </c>
      <c r="AN51" s="30">
        <v>43344</v>
      </c>
      <c r="AO51" s="21">
        <v>48</v>
      </c>
      <c r="AP51" s="21" t="s">
        <v>1764</v>
      </c>
      <c r="AS51" s="30"/>
      <c r="AT51" t="s">
        <v>1262</v>
      </c>
      <c r="AU51" s="21" t="s">
        <v>541</v>
      </c>
      <c r="AV51" s="21">
        <v>9</v>
      </c>
      <c r="AW51" s="21" t="s">
        <v>1971</v>
      </c>
      <c r="AX51" s="30">
        <v>43081</v>
      </c>
      <c r="AY51" s="21" t="s">
        <v>1909</v>
      </c>
      <c r="AZ51" s="21" t="s">
        <v>1973</v>
      </c>
      <c r="BA51" s="21">
        <v>9</v>
      </c>
      <c r="BG51" s="30"/>
      <c r="BP51" s="30"/>
      <c r="BU51" t="s">
        <v>1343</v>
      </c>
      <c r="BV51" s="21" t="s">
        <v>489</v>
      </c>
      <c r="BW51" s="21" t="s">
        <v>1566</v>
      </c>
      <c r="BX51" s="21" t="s">
        <v>502</v>
      </c>
      <c r="BY51" s="31">
        <v>574949</v>
      </c>
      <c r="BZ51" s="31">
        <v>574949</v>
      </c>
      <c r="CA51" t="s">
        <v>1704</v>
      </c>
      <c r="CB51" s="21" t="s">
        <v>1765</v>
      </c>
      <c r="CC51" s="21" t="s">
        <v>1766</v>
      </c>
      <c r="CD51" s="21" t="s">
        <v>1767</v>
      </c>
      <c r="CE51" s="21" t="s">
        <v>1728</v>
      </c>
      <c r="CF51" s="31">
        <v>475000</v>
      </c>
      <c r="CG51" s="31">
        <v>475000</v>
      </c>
      <c r="CH51" t="s">
        <v>1704</v>
      </c>
      <c r="CM51" s="31"/>
      <c r="CN51" s="31"/>
      <c r="CT51" s="31"/>
      <c r="CU51" s="31"/>
      <c r="CV51" s="31"/>
      <c r="DA51" s="31"/>
      <c r="DB51" s="31"/>
      <c r="DC51" s="31"/>
      <c r="DH51" s="31"/>
      <c r="DI51" s="31"/>
      <c r="DO51" s="31"/>
      <c r="DP51" s="31"/>
      <c r="DR51" t="s">
        <v>529</v>
      </c>
      <c r="DS51" t="s">
        <v>479</v>
      </c>
      <c r="DT51" t="s">
        <v>583</v>
      </c>
      <c r="DU51" s="29" t="s">
        <v>1856</v>
      </c>
      <c r="DV51" t="s">
        <v>172</v>
      </c>
      <c r="DW51" t="s">
        <v>327</v>
      </c>
      <c r="DX51" t="s">
        <v>170</v>
      </c>
      <c r="DY51" t="s">
        <v>167</v>
      </c>
      <c r="DZ51" t="s">
        <v>168</v>
      </c>
      <c r="EA51" s="22">
        <v>43083.486793981479</v>
      </c>
      <c r="EB51" t="s">
        <v>1569</v>
      </c>
      <c r="EC51" t="s">
        <v>1986</v>
      </c>
    </row>
    <row r="52" spans="1:133" x14ac:dyDescent="0.4">
      <c r="A52" s="30"/>
      <c r="B52" s="22">
        <v>43005.582638888889</v>
      </c>
      <c r="C52" s="22" t="s">
        <v>524</v>
      </c>
      <c r="D52" s="30" t="s">
        <v>477</v>
      </c>
      <c r="E52" s="30" t="s">
        <v>582</v>
      </c>
      <c r="F52" s="30" t="s">
        <v>169</v>
      </c>
      <c r="G52" s="30" t="s">
        <v>171</v>
      </c>
      <c r="H52" t="s">
        <v>94</v>
      </c>
      <c r="I52" t="s">
        <v>525</v>
      </c>
      <c r="J52" t="s">
        <v>611</v>
      </c>
      <c r="K52" s="22">
        <v>43082.530104166668</v>
      </c>
      <c r="L52">
        <v>1</v>
      </c>
      <c r="M52" s="26">
        <v>3.09</v>
      </c>
      <c r="N52" t="s">
        <v>542</v>
      </c>
      <c r="Q52" s="29" t="s">
        <v>13</v>
      </c>
      <c r="R52" s="29" t="str">
        <f>IFERROR(MID(RADataTable[[#This Row],[RAtemplate]],1,LEN(RADataTable[[#This Row],[RAtemplate]])-8),"RA") &amp; " " &amp; RADataTable[[#This Row],[prop_id0]] &amp; " " &amp; RADataTable[[#This Row],[last0]]</f>
        <v>RA 1763717 Cheng</v>
      </c>
      <c r="U52" s="21" t="str">
        <f>IF(signer1="PD",IF(ISBLANK(RADataTable[[#This Row],[sign_blck_name]]),"",RADataTable[[#This Row],[sign_blck_name]]),IF(ISBLANK(signer1),"",signer1))</f>
        <v>Tracy J. Kimbrel</v>
      </c>
      <c r="V52" s="29" t="str">
        <f>signer2</f>
        <v>Cognizant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qcheng@ou.edu</v>
      </c>
      <c r="Y52" s="15" t="str">
        <f>HYPERLINK("mailto:"&amp;RADataTable[[#This Row],[allPIemail]]&amp;"&amp;subject=NSF Proposal:  "&amp;RADataTable[[#This Row],[Div]]&amp;" "&amp;RADataTable[[#This Row],[prop_id0]], "PIs@")</f>
        <v>PIs@</v>
      </c>
      <c r="Z52" t="s">
        <v>478</v>
      </c>
      <c r="AA52" t="s">
        <v>1351</v>
      </c>
      <c r="AB52">
        <v>4</v>
      </c>
      <c r="AC52">
        <v>4</v>
      </c>
      <c r="AD52"/>
      <c r="AE52" s="21" t="str">
        <f>IF(RADataTable[[#This Row],[maxScore]]-RADataTable[[#This Row],[minScore]]&gt;4,"Y","")</f>
        <v/>
      </c>
      <c r="AF52" s="21">
        <v>3</v>
      </c>
      <c r="AG52" s="26">
        <v>5</v>
      </c>
      <c r="AH52">
        <v>7</v>
      </c>
      <c r="AI52" t="s">
        <v>1772</v>
      </c>
      <c r="AJ52" s="30">
        <v>43081.617361111108</v>
      </c>
      <c r="AK52" s="13">
        <v>1198691</v>
      </c>
      <c r="AL52" s="13">
        <v>1198691</v>
      </c>
      <c r="AM52">
        <v>0</v>
      </c>
      <c r="AN52" s="30">
        <v>43282</v>
      </c>
      <c r="AO52" s="21">
        <v>36</v>
      </c>
      <c r="AP52" s="21" t="s">
        <v>1773</v>
      </c>
      <c r="AS52" s="30"/>
      <c r="AT52" t="s">
        <v>1262</v>
      </c>
      <c r="AU52" s="21" t="s">
        <v>541</v>
      </c>
      <c r="AV52" s="21">
        <v>9</v>
      </c>
      <c r="AW52" s="21" t="s">
        <v>1971</v>
      </c>
      <c r="AX52" s="30">
        <v>43081</v>
      </c>
      <c r="AY52" s="21" t="s">
        <v>1987</v>
      </c>
      <c r="AZ52" s="21" t="s">
        <v>1973</v>
      </c>
      <c r="BA52" s="21">
        <v>9</v>
      </c>
      <c r="BG52" s="30"/>
      <c r="BP52" s="30"/>
      <c r="BU52" t="s">
        <v>1351</v>
      </c>
      <c r="BV52" s="21" t="s">
        <v>1352</v>
      </c>
      <c r="BW52" s="21" t="s">
        <v>1770</v>
      </c>
      <c r="BX52" s="21" t="s">
        <v>1771</v>
      </c>
      <c r="BY52" s="31">
        <v>298823</v>
      </c>
      <c r="BZ52" s="31">
        <v>298823</v>
      </c>
      <c r="CA52" t="s">
        <v>1769</v>
      </c>
      <c r="CB52" s="21" t="s">
        <v>1775</v>
      </c>
      <c r="CC52" s="21" t="s">
        <v>1776</v>
      </c>
      <c r="CD52" s="21" t="s">
        <v>1777</v>
      </c>
      <c r="CE52" s="21" t="s">
        <v>1709</v>
      </c>
      <c r="CF52" s="31">
        <v>299950</v>
      </c>
      <c r="CG52" s="31">
        <v>299950</v>
      </c>
      <c r="CH52" t="s">
        <v>1722</v>
      </c>
      <c r="CI52" s="21" t="s">
        <v>1779</v>
      </c>
      <c r="CJ52" s="21" t="s">
        <v>1780</v>
      </c>
      <c r="CK52" s="21" t="s">
        <v>1781</v>
      </c>
      <c r="CL52" s="21" t="s">
        <v>1782</v>
      </c>
      <c r="CM52" s="31">
        <v>299918</v>
      </c>
      <c r="CN52" s="31">
        <v>299918</v>
      </c>
      <c r="CO52" t="s">
        <v>1769</v>
      </c>
      <c r="CP52" s="21" t="s">
        <v>1785</v>
      </c>
      <c r="CQ52" s="21" t="s">
        <v>1786</v>
      </c>
      <c r="CR52" s="21" t="s">
        <v>1787</v>
      </c>
      <c r="CS52" s="21" t="s">
        <v>1788</v>
      </c>
      <c r="CT52" s="31">
        <v>300000</v>
      </c>
      <c r="CU52" s="31">
        <v>300000</v>
      </c>
      <c r="CV52" s="31" t="s">
        <v>1722</v>
      </c>
      <c r="DA52" s="31"/>
      <c r="DB52" s="31"/>
      <c r="DC52" s="31"/>
      <c r="DH52" s="31"/>
      <c r="DI52" s="31"/>
      <c r="DO52" s="31"/>
      <c r="DP52" s="31"/>
      <c r="DR52" t="s">
        <v>529</v>
      </c>
      <c r="DS52" t="s">
        <v>479</v>
      </c>
      <c r="DT52" t="s">
        <v>583</v>
      </c>
      <c r="DU52" s="29" t="s">
        <v>1869</v>
      </c>
      <c r="DV52" t="s">
        <v>172</v>
      </c>
      <c r="DW52" t="s">
        <v>327</v>
      </c>
      <c r="DX52" t="s">
        <v>170</v>
      </c>
      <c r="DY52" t="s">
        <v>167</v>
      </c>
      <c r="DZ52" t="s">
        <v>168</v>
      </c>
      <c r="EA52" s="22">
        <v>43083.486793981479</v>
      </c>
      <c r="EB52" t="s">
        <v>1774</v>
      </c>
      <c r="EC52" t="s">
        <v>1988</v>
      </c>
    </row>
    <row r="53" spans="1:133" x14ac:dyDescent="0.4">
      <c r="A53" s="30"/>
      <c r="B53" s="22">
        <v>43005.590277777781</v>
      </c>
      <c r="C53" s="22" t="s">
        <v>524</v>
      </c>
      <c r="D53" s="30" t="s">
        <v>477</v>
      </c>
      <c r="E53" s="30" t="s">
        <v>582</v>
      </c>
      <c r="F53" s="30" t="s">
        <v>169</v>
      </c>
      <c r="G53" s="30" t="s">
        <v>171</v>
      </c>
      <c r="H53" t="s">
        <v>94</v>
      </c>
      <c r="I53" t="s">
        <v>525</v>
      </c>
      <c r="J53" t="s">
        <v>611</v>
      </c>
      <c r="K53" s="22">
        <v>43082.530173611114</v>
      </c>
      <c r="L53">
        <v>1</v>
      </c>
      <c r="M53" s="26">
        <v>3.09</v>
      </c>
      <c r="N53" t="s">
        <v>542</v>
      </c>
      <c r="Q53" s="29" t="s">
        <v>13</v>
      </c>
      <c r="R53" s="29" t="str">
        <f>IFERROR(MID(RADataTable[[#This Row],[RAtemplate]],1,LEN(RADataTable[[#This Row],[RAtemplate]])-8),"RA") &amp; " " &amp; RADataTable[[#This Row],[prop_id0]] &amp; " " &amp; RADataTable[[#This Row],[last0]]</f>
        <v>RA 1763733 Gleich</v>
      </c>
      <c r="U53" s="21" t="str">
        <f>IF(signer1="PD",IF(ISBLANK(RADataTable[[#This Row],[sign_blck_name]]),"",RADataTable[[#This Row],[sign_blck_name]]),IF(ISBLANK(signer1),"",signer1))</f>
        <v>Tracy J. Kimbrel</v>
      </c>
      <c r="V53" s="29" t="str">
        <f>signer2</f>
        <v>Cognizant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dgleich@purdue.edu</v>
      </c>
      <c r="Y53" s="15" t="str">
        <f>HYPERLINK("mailto:"&amp;RADataTable[[#This Row],[allPIemail]]&amp;"&amp;subject=NSF Proposal:  "&amp;RADataTable[[#This Row],[Div]]&amp;" "&amp;RADataTable[[#This Row],[prop_id0]], "PIs@")</f>
        <v>PIs@</v>
      </c>
      <c r="Z53" t="s">
        <v>478</v>
      </c>
      <c r="AA53" t="s">
        <v>1360</v>
      </c>
      <c r="AB53">
        <v>4</v>
      </c>
      <c r="AC53">
        <v>4</v>
      </c>
      <c r="AD53"/>
      <c r="AE53" s="21" t="str">
        <f>IF(RADataTable[[#This Row],[maxScore]]-RADataTable[[#This Row],[minScore]]&gt;4,"Y","")</f>
        <v/>
      </c>
      <c r="AF53" s="21">
        <v>5</v>
      </c>
      <c r="AG53" s="26">
        <v>5.75</v>
      </c>
      <c r="AH53">
        <v>7</v>
      </c>
      <c r="AI53" t="s">
        <v>531</v>
      </c>
      <c r="AJ53" s="30">
        <v>43080.352777777778</v>
      </c>
      <c r="AK53" s="13">
        <v>1099433</v>
      </c>
      <c r="AL53" s="13">
        <v>1099433</v>
      </c>
      <c r="AM53">
        <v>0</v>
      </c>
      <c r="AN53" s="30">
        <v>43327</v>
      </c>
      <c r="AO53" s="21">
        <v>48</v>
      </c>
      <c r="AP53" s="21" t="s">
        <v>1791</v>
      </c>
      <c r="AQ53">
        <v>1</v>
      </c>
      <c r="AR53" t="s">
        <v>504</v>
      </c>
      <c r="AS53" s="30">
        <v>43079.986111111109</v>
      </c>
      <c r="AT53" t="s">
        <v>1262</v>
      </c>
      <c r="AU53" s="21" t="s">
        <v>541</v>
      </c>
      <c r="AV53" s="21">
        <v>9</v>
      </c>
      <c r="AW53" s="21" t="s">
        <v>1971</v>
      </c>
      <c r="AX53" s="30">
        <v>43081</v>
      </c>
      <c r="AY53" s="21" t="s">
        <v>1989</v>
      </c>
      <c r="AZ53" s="21" t="s">
        <v>1973</v>
      </c>
      <c r="BA53" s="21">
        <v>9</v>
      </c>
      <c r="BB53" s="21">
        <v>1</v>
      </c>
      <c r="BG53" s="30"/>
      <c r="BP53" s="30"/>
      <c r="BU53" t="s">
        <v>1360</v>
      </c>
      <c r="BV53" s="21" t="s">
        <v>1361</v>
      </c>
      <c r="BW53" s="21" t="s">
        <v>528</v>
      </c>
      <c r="BX53" s="21" t="s">
        <v>495</v>
      </c>
      <c r="BY53" s="31">
        <v>508040</v>
      </c>
      <c r="BZ53" s="31">
        <v>508040</v>
      </c>
      <c r="CA53" t="s">
        <v>1790</v>
      </c>
      <c r="CB53" s="21" t="s">
        <v>1793</v>
      </c>
      <c r="CC53" s="21" t="s">
        <v>1794</v>
      </c>
      <c r="CD53" s="21" t="s">
        <v>1795</v>
      </c>
      <c r="CE53" s="21" t="s">
        <v>1754</v>
      </c>
      <c r="CF53" s="31">
        <v>591393</v>
      </c>
      <c r="CG53" s="31">
        <v>591393</v>
      </c>
      <c r="CH53" t="s">
        <v>1790</v>
      </c>
      <c r="CM53" s="31"/>
      <c r="CN53" s="31"/>
      <c r="CT53" s="31"/>
      <c r="CU53" s="31"/>
      <c r="CV53" s="31"/>
      <c r="DA53" s="31"/>
      <c r="DB53" s="31"/>
      <c r="DC53" s="31"/>
      <c r="DH53" s="31"/>
      <c r="DI53" s="31"/>
      <c r="DO53" s="31"/>
      <c r="DP53" s="31"/>
      <c r="DR53" t="s">
        <v>529</v>
      </c>
      <c r="DS53" t="s">
        <v>479</v>
      </c>
      <c r="DT53" t="s">
        <v>583</v>
      </c>
      <c r="DU53" s="29" t="s">
        <v>1869</v>
      </c>
      <c r="DV53" t="s">
        <v>172</v>
      </c>
      <c r="DW53" t="s">
        <v>327</v>
      </c>
      <c r="DX53" t="s">
        <v>170</v>
      </c>
      <c r="DY53" t="s">
        <v>167</v>
      </c>
      <c r="DZ53" t="s">
        <v>168</v>
      </c>
      <c r="EA53" s="22">
        <v>43083.486793981479</v>
      </c>
      <c r="EB53" t="s">
        <v>1792</v>
      </c>
      <c r="EC53" t="s">
        <v>1990</v>
      </c>
    </row>
    <row r="54" spans="1:133" x14ac:dyDescent="0.4">
      <c r="A54" s="30"/>
      <c r="B54" s="22">
        <v>43005.654861111114</v>
      </c>
      <c r="C54" s="22" t="s">
        <v>524</v>
      </c>
      <c r="D54" s="30" t="s">
        <v>477</v>
      </c>
      <c r="E54" s="30" t="s">
        <v>582</v>
      </c>
      <c r="F54" s="30" t="s">
        <v>169</v>
      </c>
      <c r="G54" s="30" t="s">
        <v>171</v>
      </c>
      <c r="H54" t="s">
        <v>94</v>
      </c>
      <c r="I54" t="s">
        <v>525</v>
      </c>
      <c r="J54" t="s">
        <v>611</v>
      </c>
      <c r="K54" s="22">
        <v>43082.530243055553</v>
      </c>
      <c r="L54">
        <v>1</v>
      </c>
      <c r="M54" s="26">
        <v>3.09</v>
      </c>
      <c r="N54" t="s">
        <v>542</v>
      </c>
      <c r="Q54" s="29" t="s">
        <v>13</v>
      </c>
      <c r="R54" s="29" t="str">
        <f>IFERROR(MID(RADataTable[[#This Row],[RAtemplate]],1,LEN(RADataTable[[#This Row],[RAtemplate]])-8),"RA") &amp; " " &amp; RADataTable[[#This Row],[prop_id0]] &amp; " " &amp; RADataTable[[#This Row],[last0]]</f>
        <v>RA 1763886 Chen</v>
      </c>
      <c r="U54" s="21" t="str">
        <f>IF(signer1="PD",IF(ISBLANK(RADataTable[[#This Row],[sign_blck_name]]),"",RADataTable[[#This Row],[sign_blck_name]]),IF(ISBLANK(signer1),"",signer1))</f>
        <v>Tracy J. Kimbrel</v>
      </c>
      <c r="V54" s="29" t="str">
        <f>signer2</f>
        <v>Cognizant Program Director</v>
      </c>
      <c r="W54" s="15" t="str">
        <f>HYPERLINK("https://www.ejacket.nsf.gov/ej/showProposal.do?Continue=Y&amp;ID="&amp;RADataTable[[#This Row],[prop_id0]],"eJ")</f>
        <v>eJ</v>
      </c>
      <c r="X54" s="15" t="str">
        <f>HYPERLINK("mailto:"&amp;RADataTable[[#This Row],[email]]&amp;"&amp;subject=Your NSF Proposal:  "&amp;RADataTable[[#This Row],[Div]]&amp;" "&amp;RADataTable[[#This Row],[prop_id0]], RADataTable[[#This Row],[email]])</f>
        <v>gchen16@uh.edu</v>
      </c>
      <c r="Y54" s="15" t="str">
        <f>HYPERLINK("mailto:"&amp;RADataTable[[#This Row],[allPIemail]]&amp;"&amp;subject=NSF Proposal:  "&amp;RADataTable[[#This Row],[Div]]&amp;" "&amp;RADataTable[[#This Row],[prop_id0]], "PIs@")</f>
        <v>PIs@</v>
      </c>
      <c r="Z54" t="s">
        <v>478</v>
      </c>
      <c r="AA54" t="s">
        <v>1372</v>
      </c>
      <c r="AB54">
        <v>4</v>
      </c>
      <c r="AC54">
        <v>4</v>
      </c>
      <c r="AD54"/>
      <c r="AE54" s="21" t="str">
        <f>IF(RADataTable[[#This Row],[maxScore]]-RADataTable[[#This Row],[minScore]]&gt;4,"Y","")</f>
        <v/>
      </c>
      <c r="AF54" s="21">
        <v>3</v>
      </c>
      <c r="AG54" s="26">
        <v>4.25</v>
      </c>
      <c r="AH54">
        <v>5</v>
      </c>
      <c r="AI54" t="s">
        <v>1799</v>
      </c>
      <c r="AJ54" s="30">
        <v>43081.45416666667</v>
      </c>
      <c r="AK54" s="13">
        <v>1199997</v>
      </c>
      <c r="AL54" s="13">
        <v>1199997</v>
      </c>
      <c r="AM54">
        <v>0</v>
      </c>
      <c r="AN54" s="30">
        <v>43221</v>
      </c>
      <c r="AO54" s="21">
        <v>48</v>
      </c>
      <c r="AP54" s="21" t="s">
        <v>1800</v>
      </c>
      <c r="AS54" s="30"/>
      <c r="AT54" t="s">
        <v>1262</v>
      </c>
      <c r="AU54" s="21" t="s">
        <v>541</v>
      </c>
      <c r="AV54" s="21">
        <v>9</v>
      </c>
      <c r="AW54" s="21" t="s">
        <v>1971</v>
      </c>
      <c r="AX54" s="30">
        <v>43081</v>
      </c>
      <c r="AY54" s="21" t="s">
        <v>1991</v>
      </c>
      <c r="AZ54" s="21" t="s">
        <v>1973</v>
      </c>
      <c r="BA54" s="21">
        <v>9</v>
      </c>
      <c r="BG54" s="30"/>
      <c r="BP54" s="30"/>
      <c r="BU54" t="s">
        <v>1372</v>
      </c>
      <c r="BV54" s="21" t="s">
        <v>750</v>
      </c>
      <c r="BW54" s="21" t="s">
        <v>1798</v>
      </c>
      <c r="BX54" s="21" t="s">
        <v>1701</v>
      </c>
      <c r="BY54" s="31">
        <v>599997</v>
      </c>
      <c r="BZ54" s="31">
        <v>599997</v>
      </c>
      <c r="CA54" t="s">
        <v>1797</v>
      </c>
      <c r="CB54" s="21" t="s">
        <v>1802</v>
      </c>
      <c r="CC54" s="21" t="s">
        <v>488</v>
      </c>
      <c r="CD54" s="21" t="s">
        <v>1803</v>
      </c>
      <c r="CE54" s="21" t="s">
        <v>1600</v>
      </c>
      <c r="CF54" s="31">
        <v>600000</v>
      </c>
      <c r="CG54" s="31">
        <v>600000</v>
      </c>
      <c r="CH54" t="s">
        <v>1797</v>
      </c>
      <c r="CM54" s="31"/>
      <c r="CN54" s="31"/>
      <c r="CT54" s="31"/>
      <c r="CU54" s="31"/>
      <c r="CV54" s="31"/>
      <c r="DA54" s="31"/>
      <c r="DB54" s="31"/>
      <c r="DC54" s="31"/>
      <c r="DH54" s="31"/>
      <c r="DI54" s="31"/>
      <c r="DO54" s="31"/>
      <c r="DP54" s="31"/>
      <c r="DR54" t="s">
        <v>529</v>
      </c>
      <c r="DS54" t="s">
        <v>479</v>
      </c>
      <c r="DT54" t="s">
        <v>583</v>
      </c>
      <c r="DU54" s="29" t="s">
        <v>1869</v>
      </c>
      <c r="DV54" t="s">
        <v>172</v>
      </c>
      <c r="DW54" t="s">
        <v>327</v>
      </c>
      <c r="DX54" t="s">
        <v>170</v>
      </c>
      <c r="DY54" t="s">
        <v>167</v>
      </c>
      <c r="DZ54" t="s">
        <v>168</v>
      </c>
      <c r="EA54" s="22">
        <v>43083.486793981479</v>
      </c>
      <c r="EB54" t="s">
        <v>1801</v>
      </c>
      <c r="EC54" t="s">
        <v>1992</v>
      </c>
    </row>
    <row r="55" spans="1:133" x14ac:dyDescent="0.4">
      <c r="A55" s="30"/>
      <c r="B55" s="22">
        <v>43005.740277777775</v>
      </c>
      <c r="C55" s="22" t="s">
        <v>1831</v>
      </c>
      <c r="D55" s="30" t="s">
        <v>1622</v>
      </c>
      <c r="E55" s="30" t="s">
        <v>580</v>
      </c>
      <c r="F55" s="30" t="s">
        <v>169</v>
      </c>
      <c r="G55" s="30" t="s">
        <v>171</v>
      </c>
      <c r="H55" t="s">
        <v>94</v>
      </c>
      <c r="I55" t="s">
        <v>1832</v>
      </c>
      <c r="J55" t="s">
        <v>1166</v>
      </c>
      <c r="L55">
        <v>1</v>
      </c>
      <c r="M55" s="26">
        <v>3.09</v>
      </c>
      <c r="N55" t="s">
        <v>542</v>
      </c>
      <c r="Q55" s="29" t="s">
        <v>13</v>
      </c>
      <c r="R55" s="29" t="str">
        <f>IFERROR(MID(RADataTable[[#This Row],[RAtemplate]],1,LEN(RADataTable[[#This Row],[RAtemplate]])-8),"RA") &amp; " " &amp; RADataTable[[#This Row],[prop_id0]] &amp; " " &amp; RADataTable[[#This Row],[last0]]</f>
        <v>RA 1764056 Mahoney</v>
      </c>
      <c r="U55" s="21" t="str">
        <f>IF(signer1="PD",IF(ISBLANK(RADataTable[[#This Row],[sign_blck_name]]),"",RADataTable[[#This Row],[sign_blck_name]]),IF(ISBLANK(signer1),"",signer1))</f>
        <v>Weng-keen Wong</v>
      </c>
      <c r="V55" s="29" t="str">
        <f>signer2</f>
        <v>Cognizant Program Director</v>
      </c>
      <c r="W55" s="15" t="str">
        <f>HYPERLINK("https://www.ejacket.nsf.gov/ej/showProposal.do?Continue=Y&amp;ID="&amp;RADataTable[[#This Row],[prop_id0]],"eJ")</f>
        <v>eJ</v>
      </c>
      <c r="X55" s="15" t="str">
        <f>HYPERLINK("mailto:"&amp;RADataTable[[#This Row],[email]]&amp;"&amp;subject=Your NSF Proposal:  "&amp;RADataTable[[#This Row],[Div]]&amp;" "&amp;RADataTable[[#This Row],[prop_id0]], RADataTable[[#This Row],[email]])</f>
        <v>mmahoney@icsi.berkeley.edu</v>
      </c>
      <c r="Y55" s="15" t="str">
        <f>HYPERLINK("mailto:"&amp;RADataTable[[#This Row],[allPIemail]]&amp;"&amp;subject=NSF Proposal:  "&amp;RADataTable[[#This Row],[Div]]&amp;" "&amp;RADataTable[[#This Row],[prop_id0]], "PIs@")</f>
        <v>PIs@</v>
      </c>
      <c r="Z55" t="s">
        <v>1625</v>
      </c>
      <c r="AA55" t="s">
        <v>1411</v>
      </c>
      <c r="AB55">
        <v>4</v>
      </c>
      <c r="AC55">
        <v>4</v>
      </c>
      <c r="AD55"/>
      <c r="AE55" s="21" t="str">
        <f>IF(RADataTable[[#This Row],[maxScore]]-RADataTable[[#This Row],[minScore]]&gt;4,"Y","")</f>
        <v/>
      </c>
      <c r="AF55" s="21">
        <v>5</v>
      </c>
      <c r="AG55" s="26">
        <v>5.25</v>
      </c>
      <c r="AH55">
        <v>6</v>
      </c>
      <c r="AI55" t="s">
        <v>1835</v>
      </c>
      <c r="AJ55" s="30">
        <v>43081.304861111108</v>
      </c>
      <c r="AK55" s="13">
        <v>1200000</v>
      </c>
      <c r="AL55" s="13">
        <v>1200000</v>
      </c>
      <c r="AM55">
        <v>0</v>
      </c>
      <c r="AN55" s="30">
        <v>43160</v>
      </c>
      <c r="AO55" s="21">
        <v>48</v>
      </c>
      <c r="AP55" s="21" t="s">
        <v>1836</v>
      </c>
      <c r="AS55" s="30"/>
      <c r="AT55" t="s">
        <v>1262</v>
      </c>
      <c r="AU55" s="21" t="s">
        <v>541</v>
      </c>
      <c r="AV55" s="21">
        <v>9</v>
      </c>
      <c r="AW55" s="21" t="s">
        <v>1971</v>
      </c>
      <c r="AX55" s="30">
        <v>43081</v>
      </c>
      <c r="AY55" s="21" t="s">
        <v>1999</v>
      </c>
      <c r="AZ55" s="21" t="s">
        <v>1973</v>
      </c>
      <c r="BA55" s="21">
        <v>9</v>
      </c>
      <c r="BB55" s="21">
        <v>1</v>
      </c>
      <c r="BG55" s="30"/>
      <c r="BP55" s="30"/>
      <c r="BU55" t="s">
        <v>1411</v>
      </c>
      <c r="BV55" s="21" t="s">
        <v>1412</v>
      </c>
      <c r="BW55" s="21" t="s">
        <v>1524</v>
      </c>
      <c r="BX55" s="21" t="s">
        <v>1834</v>
      </c>
      <c r="BY55" s="31">
        <v>1200000</v>
      </c>
      <c r="BZ55" s="31">
        <v>1200000</v>
      </c>
      <c r="CA55" t="s">
        <v>1833</v>
      </c>
      <c r="CF55" s="31"/>
      <c r="CG55" s="31"/>
      <c r="CM55" s="31"/>
      <c r="CN55" s="31"/>
      <c r="CT55" s="31"/>
      <c r="CU55" s="31"/>
      <c r="CV55" s="31"/>
      <c r="DA55" s="31"/>
      <c r="DB55" s="31"/>
      <c r="DC55" s="31"/>
      <c r="DH55" s="31"/>
      <c r="DI55" s="31"/>
      <c r="DO55" s="31"/>
      <c r="DP55" s="31"/>
      <c r="DR55" t="s">
        <v>2000</v>
      </c>
      <c r="DS55" t="s">
        <v>1937</v>
      </c>
      <c r="DT55" t="s">
        <v>581</v>
      </c>
      <c r="DU55" s="29" t="s">
        <v>1955</v>
      </c>
      <c r="DV55" t="s">
        <v>172</v>
      </c>
      <c r="DW55" t="s">
        <v>327</v>
      </c>
      <c r="DX55" t="s">
        <v>170</v>
      </c>
      <c r="DY55" t="s">
        <v>167</v>
      </c>
      <c r="DZ55" t="s">
        <v>168</v>
      </c>
      <c r="EA55" s="22">
        <v>43083.486793981479</v>
      </c>
      <c r="EB55" t="s">
        <v>1837</v>
      </c>
      <c r="EC55" t="s">
        <v>2001</v>
      </c>
    </row>
    <row r="56" spans="1:133" x14ac:dyDescent="0.4">
      <c r="A56" s="30"/>
      <c r="B56" s="22">
        <v>42933.444444444445</v>
      </c>
      <c r="C56" s="22" t="s">
        <v>1430</v>
      </c>
      <c r="D56" s="30" t="s">
        <v>1622</v>
      </c>
      <c r="E56" s="30" t="s">
        <v>580</v>
      </c>
      <c r="F56" s="30" t="s">
        <v>169</v>
      </c>
      <c r="G56" s="30" t="s">
        <v>171</v>
      </c>
      <c r="H56" t="s">
        <v>94</v>
      </c>
      <c r="I56" t="s">
        <v>2065</v>
      </c>
      <c r="J56" t="s">
        <v>1166</v>
      </c>
      <c r="K56" s="22">
        <v>43068.644884259258</v>
      </c>
      <c r="L56">
        <v>2</v>
      </c>
      <c r="M56" s="26">
        <v>3.11</v>
      </c>
      <c r="N56" t="s">
        <v>542</v>
      </c>
      <c r="O56" t="s">
        <v>542</v>
      </c>
      <c r="Q56" s="29" t="s">
        <v>13</v>
      </c>
      <c r="R56" s="29" t="str">
        <f>IFERROR(MID(RADataTable[[#This Row],[RAtemplate]],1,LEN(RADataTable[[#This Row],[RAtemplate]])-8),"RA") &amp; " " &amp; RADataTable[[#This Row],[prop_id0]] &amp; " " &amp; RADataTable[[#This Row],[last0]]</f>
        <v>RA 1749315 Yang</v>
      </c>
      <c r="U56" s="21" t="str">
        <f>IF(signer1="PD",IF(ISBLANK(RADataTable[[#This Row],[sign_blck_name]]),"",RADataTable[[#This Row],[sign_blck_name]]),IF(ISBLANK(signer1),"",signer1))</f>
        <v>Weng-keen Wong</v>
      </c>
      <c r="V56" s="29" t="str">
        <f>signer2</f>
        <v>Cognizant Program Director</v>
      </c>
      <c r="W56" s="15" t="str">
        <f>HYPERLINK("https://www.ejacket.nsf.gov/ej/showProposal.do?Continue=Y&amp;ID="&amp;RADataTable[[#This Row],[prop_id0]],"eJ")</f>
        <v>eJ</v>
      </c>
      <c r="X56" s="15" t="str">
        <f>HYPERLINK("mailto:"&amp;RADataTable[[#This Row],[email]]&amp;"&amp;subject=Your NSF Proposal:  "&amp;RADataTable[[#This Row],[Div]]&amp;" "&amp;RADataTable[[#This Row],[prop_id0]], RADataTable[[#This Row],[email]])</f>
        <v>tianbao-yang@uiowa.edu</v>
      </c>
      <c r="Y56" s="15" t="str">
        <f>HYPERLINK("mailto:"&amp;RADataTable[[#This Row],[allPIemail]]&amp;"&amp;subject=NSF Proposal:  "&amp;RADataTable[[#This Row],[Div]]&amp;" "&amp;RADataTable[[#This Row],[prop_id0]], "PIs@")</f>
        <v>PIs@</v>
      </c>
      <c r="Z56" t="s">
        <v>1625</v>
      </c>
      <c r="AA56" t="s">
        <v>2015</v>
      </c>
      <c r="AB56">
        <v>7</v>
      </c>
      <c r="AD56"/>
      <c r="AE56" s="21" t="str">
        <f>IF(RADataTable[[#This Row],[maxScore]]-RADataTable[[#This Row],[minScore]]&gt;4,"Y","")</f>
        <v/>
      </c>
      <c r="AF56" s="21">
        <v>4</v>
      </c>
      <c r="AG56" s="26">
        <v>6</v>
      </c>
      <c r="AH56">
        <v>8</v>
      </c>
      <c r="AI56" t="s">
        <v>2069</v>
      </c>
      <c r="AJ56" s="30">
        <v>43060.395138888889</v>
      </c>
      <c r="AK56" s="13">
        <v>543913</v>
      </c>
      <c r="AL56" s="13">
        <v>543913</v>
      </c>
      <c r="AM56">
        <v>0</v>
      </c>
      <c r="AN56" s="30">
        <v>43252</v>
      </c>
      <c r="AO56" s="21">
        <v>60</v>
      </c>
      <c r="AP56" s="21" t="s">
        <v>2071</v>
      </c>
      <c r="AQ56">
        <v>1</v>
      </c>
      <c r="AR56" t="s">
        <v>571</v>
      </c>
      <c r="AS56" s="30">
        <v>43032.890972222223</v>
      </c>
      <c r="AT56" t="s">
        <v>2018</v>
      </c>
      <c r="AU56" s="21" t="s">
        <v>541</v>
      </c>
      <c r="AW56" s="21" t="s">
        <v>2079</v>
      </c>
      <c r="AX56" s="30">
        <v>43035</v>
      </c>
      <c r="AY56" s="21" t="s">
        <v>2080</v>
      </c>
      <c r="AZ56" s="21" t="s">
        <v>2081</v>
      </c>
      <c r="BA56" s="21">
        <v>10</v>
      </c>
      <c r="BC56" s="21" t="s">
        <v>714</v>
      </c>
      <c r="BD56" s="21" t="s">
        <v>541</v>
      </c>
      <c r="BE56" s="21">
        <v>11</v>
      </c>
      <c r="BF56" s="21" t="s">
        <v>1866</v>
      </c>
      <c r="BG56" s="30">
        <v>43060</v>
      </c>
      <c r="BH56" s="21" t="s">
        <v>2082</v>
      </c>
      <c r="BI56" s="21" t="s">
        <v>1868</v>
      </c>
      <c r="BJ56" s="21">
        <v>12</v>
      </c>
      <c r="BP56" s="30"/>
      <c r="BU56" t="s">
        <v>2015</v>
      </c>
      <c r="BV56" s="21" t="s">
        <v>2016</v>
      </c>
      <c r="BW56" s="21" t="s">
        <v>2067</v>
      </c>
      <c r="BX56" s="21" t="s">
        <v>2068</v>
      </c>
      <c r="BY56" s="31">
        <v>543913</v>
      </c>
      <c r="BZ56" s="31">
        <v>543913</v>
      </c>
      <c r="CA56" t="s">
        <v>2066</v>
      </c>
      <c r="CF56" s="31"/>
      <c r="CG56" s="31"/>
      <c r="CM56" s="31"/>
      <c r="CN56" s="31"/>
      <c r="CT56" s="31"/>
      <c r="CU56" s="31"/>
      <c r="CV56" s="31"/>
      <c r="DA56" s="31"/>
      <c r="DB56" s="31"/>
      <c r="DC56" s="31"/>
      <c r="DH56" s="31"/>
      <c r="DI56" s="31"/>
      <c r="DO56" s="31"/>
      <c r="DP56" s="31"/>
      <c r="DR56" t="s">
        <v>1850</v>
      </c>
      <c r="DS56" t="s">
        <v>1937</v>
      </c>
      <c r="DT56" t="s">
        <v>581</v>
      </c>
      <c r="DU56" s="29" t="s">
        <v>1955</v>
      </c>
      <c r="DV56" t="s">
        <v>2070</v>
      </c>
      <c r="DW56" t="s">
        <v>327</v>
      </c>
      <c r="DX56" t="s">
        <v>170</v>
      </c>
      <c r="DY56" t="s">
        <v>167</v>
      </c>
      <c r="DZ56" t="s">
        <v>168</v>
      </c>
      <c r="EA56" s="22">
        <v>43083.486793981479</v>
      </c>
      <c r="EB56" t="s">
        <v>2072</v>
      </c>
      <c r="EC56" t="s">
        <v>2083</v>
      </c>
    </row>
    <row r="57" spans="1:133" x14ac:dyDescent="0.4">
      <c r="A57" s="30"/>
      <c r="B57" s="22">
        <v>42935.491666666669</v>
      </c>
      <c r="C57" s="22" t="s">
        <v>1430</v>
      </c>
      <c r="D57" s="30" t="s">
        <v>477</v>
      </c>
      <c r="E57" s="30" t="s">
        <v>582</v>
      </c>
      <c r="F57" s="30" t="s">
        <v>169</v>
      </c>
      <c r="G57" s="30" t="s">
        <v>171</v>
      </c>
      <c r="H57" t="s">
        <v>94</v>
      </c>
      <c r="I57" t="s">
        <v>1431</v>
      </c>
      <c r="J57" t="s">
        <v>654</v>
      </c>
      <c r="K57" s="22">
        <v>43082.663078703707</v>
      </c>
      <c r="L57">
        <v>1</v>
      </c>
      <c r="M57" s="26">
        <v>3.11</v>
      </c>
      <c r="N57" t="s">
        <v>542</v>
      </c>
      <c r="Q57" s="29" t="s">
        <v>13</v>
      </c>
      <c r="R57" s="29" t="str">
        <f>IFERROR(MID(RADataTable[[#This Row],[RAtemplate]],1,LEN(RADataTable[[#This Row],[RAtemplate]])-8),"RA") &amp; " " &amp; RADataTable[[#This Row],[prop_id0]] &amp; " " &amp; RADataTable[[#This Row],[last0]]</f>
        <v>RA 1750344 Valiant</v>
      </c>
      <c r="U57" s="21" t="str">
        <f>IF(signer1="PD",IF(ISBLANK(RADataTable[[#This Row],[sign_blck_name]]),"",RADataTable[[#This Row],[sign_blck_name]]),IF(ISBLANK(signer1),"",signer1))</f>
        <v>Rahul Shah</v>
      </c>
      <c r="V57" s="29" t="str">
        <f>signer2</f>
        <v>Cognizant Program Director</v>
      </c>
      <c r="W57" s="15" t="str">
        <f>HYPERLINK("https://www.ejacket.nsf.gov/ej/showProposal.do?Continue=Y&amp;ID="&amp;RADataTable[[#This Row],[prop_id0]],"eJ")</f>
        <v>eJ</v>
      </c>
      <c r="X57" s="15" t="str">
        <f>HYPERLINK("mailto:"&amp;RADataTable[[#This Row],[email]]&amp;"&amp;subject=Your NSF Proposal:  "&amp;RADataTable[[#This Row],[Div]]&amp;" "&amp;RADataTable[[#This Row],[prop_id0]], RADataTable[[#This Row],[email]])</f>
        <v>pvaliant@gmail.com</v>
      </c>
      <c r="Y57" s="15" t="str">
        <f>HYPERLINK("mailto:"&amp;RADataTable[[#This Row],[allPIemail]]&amp;"&amp;subject=NSF Proposal:  "&amp;RADataTable[[#This Row],[Div]]&amp;" "&amp;RADataTable[[#This Row],[prop_id0]], "PIs@")</f>
        <v>PIs@</v>
      </c>
      <c r="Z57" t="s">
        <v>478</v>
      </c>
      <c r="AA57" t="s">
        <v>875</v>
      </c>
      <c r="AB57">
        <v>4</v>
      </c>
      <c r="AD57"/>
      <c r="AE57" s="21" t="str">
        <f>IF(RADataTable[[#This Row],[maxScore]]-RADataTable[[#This Row],[minScore]]&gt;4,"Y","")</f>
        <v/>
      </c>
      <c r="AF57" s="21">
        <v>4</v>
      </c>
      <c r="AG57" s="26">
        <v>5</v>
      </c>
      <c r="AH57">
        <v>7</v>
      </c>
      <c r="AI57" t="s">
        <v>1536</v>
      </c>
      <c r="AJ57" s="30">
        <v>43059.950694444444</v>
      </c>
      <c r="AK57" s="13">
        <v>666111</v>
      </c>
      <c r="AL57" s="13">
        <v>666111</v>
      </c>
      <c r="AM57">
        <v>0</v>
      </c>
      <c r="AN57" s="30">
        <v>43252</v>
      </c>
      <c r="AO57" s="21">
        <v>60</v>
      </c>
      <c r="AP57" s="21" t="s">
        <v>1537</v>
      </c>
      <c r="AS57" s="30"/>
      <c r="AT57" t="s">
        <v>714</v>
      </c>
      <c r="AU57" s="21" t="s">
        <v>541</v>
      </c>
      <c r="AV57" s="21">
        <v>11</v>
      </c>
      <c r="AW57" s="21" t="s">
        <v>1866</v>
      </c>
      <c r="AX57" s="30">
        <v>43060</v>
      </c>
      <c r="AY57" s="21" t="s">
        <v>1896</v>
      </c>
      <c r="AZ57" s="21" t="s">
        <v>1868</v>
      </c>
      <c r="BA57" s="21">
        <v>12</v>
      </c>
      <c r="BG57" s="30"/>
      <c r="BP57" s="30"/>
      <c r="BU57" t="s">
        <v>875</v>
      </c>
      <c r="BV57" s="21" t="s">
        <v>876</v>
      </c>
      <c r="BW57" s="21" t="s">
        <v>1534</v>
      </c>
      <c r="BX57" s="21" t="s">
        <v>1535</v>
      </c>
      <c r="BY57" s="31">
        <v>666111</v>
      </c>
      <c r="BZ57" s="31">
        <v>666111</v>
      </c>
      <c r="CA57" t="s">
        <v>1533</v>
      </c>
      <c r="CF57" s="31"/>
      <c r="CG57" s="31"/>
      <c r="CM57" s="31"/>
      <c r="CN57" s="31"/>
      <c r="CT57" s="31"/>
      <c r="CU57" s="31"/>
      <c r="CV57" s="31"/>
      <c r="DA57" s="31"/>
      <c r="DB57" s="31"/>
      <c r="DC57" s="31"/>
      <c r="DH57" s="31"/>
      <c r="DI57" s="31"/>
      <c r="DO57" s="31"/>
      <c r="DP57" s="31"/>
      <c r="DR57" t="s">
        <v>1850</v>
      </c>
      <c r="DS57" t="s">
        <v>479</v>
      </c>
      <c r="DT57" t="s">
        <v>583</v>
      </c>
      <c r="DU57" s="29" t="s">
        <v>1856</v>
      </c>
      <c r="DV57" t="s">
        <v>172</v>
      </c>
      <c r="DW57" t="s">
        <v>327</v>
      </c>
      <c r="DX57" t="s">
        <v>170</v>
      </c>
      <c r="DY57" t="s">
        <v>167</v>
      </c>
      <c r="DZ57" t="s">
        <v>168</v>
      </c>
      <c r="EA57" s="22">
        <v>43083.486793981479</v>
      </c>
      <c r="EB57" t="s">
        <v>1538</v>
      </c>
      <c r="EC57" t="s">
        <v>1897</v>
      </c>
    </row>
    <row r="58" spans="1:133" x14ac:dyDescent="0.4">
      <c r="A58" s="30"/>
      <c r="B58" s="22">
        <v>42935.603472222225</v>
      </c>
      <c r="C58" s="22" t="s">
        <v>1430</v>
      </c>
      <c r="D58" s="30" t="s">
        <v>477</v>
      </c>
      <c r="E58" s="30" t="s">
        <v>582</v>
      </c>
      <c r="F58" s="30" t="s">
        <v>169</v>
      </c>
      <c r="G58" s="30" t="s">
        <v>171</v>
      </c>
      <c r="H58" t="s">
        <v>94</v>
      </c>
      <c r="I58" t="s">
        <v>1431</v>
      </c>
      <c r="J58" t="s">
        <v>611</v>
      </c>
      <c r="K58" s="22">
        <v>43082.663194444445</v>
      </c>
      <c r="L58">
        <v>1</v>
      </c>
      <c r="M58" s="26">
        <v>3.11</v>
      </c>
      <c r="N58" t="s">
        <v>542</v>
      </c>
      <c r="Q58" s="29" t="s">
        <v>13</v>
      </c>
      <c r="R58" s="29" t="str">
        <f>IFERROR(MID(RADataTable[[#This Row],[RAtemplate]],1,LEN(RADataTable[[#This Row],[RAtemplate]])-8),"RA") &amp; " " &amp; RADataTable[[#This Row],[prop_id0]] &amp; " " &amp; RADataTable[[#This Row],[last0]]</f>
        <v>RA 1750651 Awasthi</v>
      </c>
      <c r="U58" s="21" t="str">
        <f>IF(signer1="PD",IF(ISBLANK(RADataTable[[#This Row],[sign_blck_name]]),"",RADataTable[[#This Row],[sign_blck_name]]),IF(ISBLANK(signer1),"",signer1))</f>
        <v>Tracy J. Kimbrel</v>
      </c>
      <c r="V58" s="29" t="str">
        <f>signer2</f>
        <v>Cognizant Program Director</v>
      </c>
      <c r="W58" s="15" t="str">
        <f>HYPERLINK("https://www.ejacket.nsf.gov/ej/showProposal.do?Continue=Y&amp;ID="&amp;RADataTable[[#This Row],[prop_id0]],"eJ")</f>
        <v>eJ</v>
      </c>
      <c r="X58" s="15" t="str">
        <f>HYPERLINK("mailto:"&amp;RADataTable[[#This Row],[email]]&amp;"&amp;subject=Your NSF Proposal:  "&amp;RADataTable[[#This Row],[Div]]&amp;" "&amp;RADataTable[[#This Row],[prop_id0]], RADataTable[[#This Row],[email]])</f>
        <v>pranjal.iitm@gmail.com</v>
      </c>
      <c r="Y58" s="15" t="str">
        <f>HYPERLINK("mailto:"&amp;RADataTable[[#This Row],[allPIemail]]&amp;"&amp;subject=NSF Proposal:  "&amp;RADataTable[[#This Row],[Div]]&amp;" "&amp;RADataTable[[#This Row],[prop_id0]], "PIs@")</f>
        <v>PIs@</v>
      </c>
      <c r="Z58" t="s">
        <v>478</v>
      </c>
      <c r="AA58" t="s">
        <v>952</v>
      </c>
      <c r="AB58">
        <v>4</v>
      </c>
      <c r="AC58">
        <v>4</v>
      </c>
      <c r="AD58"/>
      <c r="AE58" s="21" t="str">
        <f>IF(RADataTable[[#This Row],[maxScore]]-RADataTable[[#This Row],[minScore]]&gt;4,"Y","")</f>
        <v/>
      </c>
      <c r="AF58" s="21">
        <v>5</v>
      </c>
      <c r="AG58" s="26">
        <v>5.5</v>
      </c>
      <c r="AH58">
        <v>7</v>
      </c>
      <c r="AI58" t="s">
        <v>1563</v>
      </c>
      <c r="AJ58" s="30">
        <v>43060.010416666664</v>
      </c>
      <c r="AK58" s="13">
        <v>695874</v>
      </c>
      <c r="AL58" s="13">
        <v>695874</v>
      </c>
      <c r="AM58">
        <v>0</v>
      </c>
      <c r="AN58" s="30">
        <v>43101</v>
      </c>
      <c r="AO58" s="21">
        <v>60</v>
      </c>
      <c r="AP58" s="21" t="s">
        <v>1564</v>
      </c>
      <c r="AS58" s="30"/>
      <c r="AT58" t="s">
        <v>714</v>
      </c>
      <c r="AU58" s="21" t="s">
        <v>541</v>
      </c>
      <c r="AV58" s="21">
        <v>11</v>
      </c>
      <c r="AW58" s="21" t="s">
        <v>1866</v>
      </c>
      <c r="AX58" s="30">
        <v>43060</v>
      </c>
      <c r="AY58" s="21" t="s">
        <v>1909</v>
      </c>
      <c r="AZ58" s="21" t="s">
        <v>1868</v>
      </c>
      <c r="BA58" s="21">
        <v>12</v>
      </c>
      <c r="BB58" s="21">
        <v>1</v>
      </c>
      <c r="BG58" s="30"/>
      <c r="BP58" s="30"/>
      <c r="BU58" t="s">
        <v>952</v>
      </c>
      <c r="BV58" s="21" t="s">
        <v>953</v>
      </c>
      <c r="BW58" s="21" t="s">
        <v>1561</v>
      </c>
      <c r="BX58" s="21" t="s">
        <v>1562</v>
      </c>
      <c r="BY58" s="31">
        <v>695874</v>
      </c>
      <c r="BZ58" s="31">
        <v>695874</v>
      </c>
      <c r="CA58" t="s">
        <v>1432</v>
      </c>
      <c r="CF58" s="31"/>
      <c r="CG58" s="31"/>
      <c r="CM58" s="31"/>
      <c r="CN58" s="31"/>
      <c r="CT58" s="31"/>
      <c r="CU58" s="31"/>
      <c r="CV58" s="31"/>
      <c r="DA58" s="31"/>
      <c r="DB58" s="31"/>
      <c r="DC58" s="31"/>
      <c r="DH58" s="31"/>
      <c r="DI58" s="31"/>
      <c r="DO58" s="31"/>
      <c r="DP58" s="31"/>
      <c r="DR58" t="s">
        <v>1850</v>
      </c>
      <c r="DS58" t="s">
        <v>479</v>
      </c>
      <c r="DT58" t="s">
        <v>583</v>
      </c>
      <c r="DU58" s="29" t="s">
        <v>1869</v>
      </c>
      <c r="DV58" t="s">
        <v>172</v>
      </c>
      <c r="DW58" t="s">
        <v>327</v>
      </c>
      <c r="DX58" t="s">
        <v>170</v>
      </c>
      <c r="DY58" t="s">
        <v>167</v>
      </c>
      <c r="DZ58" t="s">
        <v>168</v>
      </c>
      <c r="EA58" s="22">
        <v>43083.486793981479</v>
      </c>
      <c r="EB58" t="s">
        <v>1565</v>
      </c>
      <c r="EC58" t="s">
        <v>1910</v>
      </c>
    </row>
    <row r="59" spans="1:133" x14ac:dyDescent="0.4">
      <c r="A59" s="30"/>
      <c r="B59" s="22">
        <v>42935.680555555555</v>
      </c>
      <c r="C59" s="22" t="s">
        <v>1430</v>
      </c>
      <c r="D59" s="30" t="s">
        <v>477</v>
      </c>
      <c r="E59" s="30" t="s">
        <v>582</v>
      </c>
      <c r="F59" s="30" t="s">
        <v>169</v>
      </c>
      <c r="G59" s="30" t="s">
        <v>171</v>
      </c>
      <c r="H59" t="s">
        <v>94</v>
      </c>
      <c r="I59" t="s">
        <v>1431</v>
      </c>
      <c r="J59" t="s">
        <v>611</v>
      </c>
      <c r="K59" s="22">
        <v>43082.663263888891</v>
      </c>
      <c r="L59">
        <v>1</v>
      </c>
      <c r="M59" s="26">
        <v>3.11</v>
      </c>
      <c r="N59" t="s">
        <v>542</v>
      </c>
      <c r="Q59" s="29" t="s">
        <v>13</v>
      </c>
      <c r="R59" s="29" t="str">
        <f>IFERROR(MID(RADataTable[[#This Row],[RAtemplate]],1,LEN(RADataTable[[#This Row],[RAtemplate]])-8),"RA") &amp; " " &amp; RADataTable[[#This Row],[prop_id0]] &amp; " " &amp; RADataTable[[#This Row],[last0]]</f>
        <v>RA 1751048 Papakonstantinou</v>
      </c>
      <c r="U59" s="21" t="str">
        <f>IF(signer1="PD",IF(ISBLANK(RADataTable[[#This Row],[sign_blck_name]]),"",RADataTable[[#This Row],[sign_blck_name]]),IF(ISBLANK(signer1),"",signer1))</f>
        <v>Tracy J. Kimbrel</v>
      </c>
      <c r="V59" s="29" t="str">
        <f>signer2</f>
        <v>Cognizant Program Director</v>
      </c>
      <c r="W59" s="15" t="str">
        <f>HYPERLINK("https://www.ejacket.nsf.gov/ej/showProposal.do?Continue=Y&amp;ID="&amp;RADataTable[[#This Row],[prop_id0]],"eJ")</f>
        <v>eJ</v>
      </c>
      <c r="X59" s="15" t="str">
        <f>HYPERLINK("mailto:"&amp;RADataTable[[#This Row],[email]]&amp;"&amp;subject=Your NSF Proposal:  "&amp;RADataTable[[#This Row],[Div]]&amp;" "&amp;RADataTable[[#This Row],[prop_id0]], RADataTable[[#This Row],[email]])</f>
        <v>periklis.research@gmail.com</v>
      </c>
      <c r="Y59" s="15" t="str">
        <f>HYPERLINK("mailto:"&amp;RADataTable[[#This Row],[allPIemail]]&amp;"&amp;subject=NSF Proposal:  "&amp;RADataTable[[#This Row],[Div]]&amp;" "&amp;RADataTable[[#This Row],[prop_id0]], "PIs@")</f>
        <v>PIs@</v>
      </c>
      <c r="Z59" t="s">
        <v>478</v>
      </c>
      <c r="AA59" t="s">
        <v>1021</v>
      </c>
      <c r="AB59">
        <v>4</v>
      </c>
      <c r="AC59">
        <v>4</v>
      </c>
      <c r="AD59"/>
      <c r="AE59" s="21" t="str">
        <f>IF(RADataTable[[#This Row],[maxScore]]-RADataTable[[#This Row],[minScore]]&gt;4,"Y","")</f>
        <v/>
      </c>
      <c r="AF59" s="21">
        <v>3</v>
      </c>
      <c r="AG59" s="26">
        <v>4.5</v>
      </c>
      <c r="AH59">
        <v>6</v>
      </c>
      <c r="AI59" t="s">
        <v>560</v>
      </c>
      <c r="AJ59" s="30">
        <v>43059.227777777778</v>
      </c>
      <c r="AK59" s="13">
        <v>667571</v>
      </c>
      <c r="AL59" s="13">
        <v>667571</v>
      </c>
      <c r="AM59">
        <v>0</v>
      </c>
      <c r="AN59" s="30">
        <v>43252</v>
      </c>
      <c r="AO59" s="21">
        <v>60</v>
      </c>
      <c r="AP59" s="21" t="s">
        <v>1592</v>
      </c>
      <c r="AS59" s="30"/>
      <c r="AT59" t="s">
        <v>714</v>
      </c>
      <c r="AU59" s="21" t="s">
        <v>541</v>
      </c>
      <c r="AV59" s="21">
        <v>11</v>
      </c>
      <c r="AW59" s="21" t="s">
        <v>1866</v>
      </c>
      <c r="AX59" s="30">
        <v>43060</v>
      </c>
      <c r="AY59" s="21" t="s">
        <v>569</v>
      </c>
      <c r="AZ59" s="21" t="s">
        <v>1868</v>
      </c>
      <c r="BA59" s="21">
        <v>12</v>
      </c>
      <c r="BG59" s="30"/>
      <c r="BP59" s="30"/>
      <c r="BU59" t="s">
        <v>1021</v>
      </c>
      <c r="BV59" s="21" t="s">
        <v>1022</v>
      </c>
      <c r="BW59" s="21" t="s">
        <v>1590</v>
      </c>
      <c r="BX59" s="21" t="s">
        <v>1591</v>
      </c>
      <c r="BY59" s="31">
        <v>667571</v>
      </c>
      <c r="BZ59" s="31">
        <v>667571</v>
      </c>
      <c r="CA59" t="s">
        <v>1432</v>
      </c>
      <c r="CF59" s="31"/>
      <c r="CG59" s="31"/>
      <c r="CM59" s="31"/>
      <c r="CN59" s="31"/>
      <c r="CT59" s="31"/>
      <c r="CU59" s="31"/>
      <c r="CV59" s="31"/>
      <c r="DA59" s="31"/>
      <c r="DB59" s="31"/>
      <c r="DC59" s="31"/>
      <c r="DH59" s="31"/>
      <c r="DI59" s="31"/>
      <c r="DO59" s="31"/>
      <c r="DP59" s="31"/>
      <c r="DR59" t="s">
        <v>1850</v>
      </c>
      <c r="DS59" t="s">
        <v>479</v>
      </c>
      <c r="DT59" t="s">
        <v>583</v>
      </c>
      <c r="DU59" s="29" t="s">
        <v>1869</v>
      </c>
      <c r="DV59" t="s">
        <v>172</v>
      </c>
      <c r="DW59" t="s">
        <v>327</v>
      </c>
      <c r="DX59" t="s">
        <v>170</v>
      </c>
      <c r="DY59" t="s">
        <v>167</v>
      </c>
      <c r="DZ59" t="s">
        <v>168</v>
      </c>
      <c r="EA59" s="22">
        <v>43083.486793981479</v>
      </c>
      <c r="EB59" t="s">
        <v>1301</v>
      </c>
      <c r="EC59" t="s">
        <v>1923</v>
      </c>
    </row>
    <row r="60" spans="1:133" x14ac:dyDescent="0.4">
      <c r="A60" s="30"/>
      <c r="B60" s="22">
        <v>42935.68472222222</v>
      </c>
      <c r="C60" s="22" t="s">
        <v>1430</v>
      </c>
      <c r="D60" s="30" t="s">
        <v>477</v>
      </c>
      <c r="E60" s="30" t="s">
        <v>582</v>
      </c>
      <c r="F60" s="30" t="s">
        <v>169</v>
      </c>
      <c r="G60" s="30" t="s">
        <v>171</v>
      </c>
      <c r="H60" t="s">
        <v>94</v>
      </c>
      <c r="I60" t="s">
        <v>1431</v>
      </c>
      <c r="J60" t="s">
        <v>611</v>
      </c>
      <c r="K60" s="22">
        <v>43082.66333333333</v>
      </c>
      <c r="L60">
        <v>1</v>
      </c>
      <c r="M60" s="26">
        <v>3.11</v>
      </c>
      <c r="N60" t="s">
        <v>542</v>
      </c>
      <c r="Q60" s="29" t="s">
        <v>13</v>
      </c>
      <c r="R60" s="29" t="str">
        <f>IFERROR(MID(RADataTable[[#This Row],[RAtemplate]],1,LEN(RADataTable[[#This Row],[RAtemplate]])-8),"RA") &amp; " " &amp; RADataTable[[#This Row],[prop_id0]] &amp; " " &amp; RADataTable[[#This Row],[last0]]</f>
        <v>RA 1751076 Gkatzelis</v>
      </c>
      <c r="U60" s="21" t="str">
        <f>IF(signer1="PD",IF(ISBLANK(RADataTable[[#This Row],[sign_blck_name]]),"",RADataTable[[#This Row],[sign_blck_name]]),IF(ISBLANK(signer1),"",signer1))</f>
        <v>Tracy J. Kimbrel</v>
      </c>
      <c r="V60" s="29" t="str">
        <f>signer2</f>
        <v>Cognizant Program Director</v>
      </c>
      <c r="W60" s="15" t="str">
        <f>HYPERLINK("https://www.ejacket.nsf.gov/ej/showProposal.do?Continue=Y&amp;ID="&amp;RADataTable[[#This Row],[prop_id0]],"eJ")</f>
        <v>eJ</v>
      </c>
      <c r="X60" s="15" t="str">
        <f>HYPERLINK("mailto:"&amp;RADataTable[[#This Row],[email]]&amp;"&amp;subject=Your NSF Proposal:  "&amp;RADataTable[[#This Row],[Div]]&amp;" "&amp;RADataTable[[#This Row],[prop_id0]], RADataTable[[#This Row],[email]])</f>
        <v>gkatz@drexel.edu</v>
      </c>
      <c r="Y60" s="15" t="str">
        <f>HYPERLINK("mailto:"&amp;RADataTable[[#This Row],[allPIemail]]&amp;"&amp;subject=NSF Proposal:  "&amp;RADataTable[[#This Row],[Div]]&amp;" "&amp;RADataTable[[#This Row],[prop_id0]], "PIs@")</f>
        <v>PIs@</v>
      </c>
      <c r="Z60" t="s">
        <v>478</v>
      </c>
      <c r="AA60" t="s">
        <v>1030</v>
      </c>
      <c r="AB60">
        <v>4</v>
      </c>
      <c r="AC60">
        <v>4</v>
      </c>
      <c r="AD60"/>
      <c r="AE60" s="21" t="str">
        <f>IF(RADataTable[[#This Row],[maxScore]]-RADataTable[[#This Row],[minScore]]&gt;4,"Y","")</f>
        <v/>
      </c>
      <c r="AF60" s="21">
        <v>5</v>
      </c>
      <c r="AG60" s="26">
        <v>6.5</v>
      </c>
      <c r="AH60">
        <v>7</v>
      </c>
      <c r="AI60" t="s">
        <v>1461</v>
      </c>
      <c r="AJ60" s="30">
        <v>43059.229166666664</v>
      </c>
      <c r="AK60" s="13">
        <v>559983</v>
      </c>
      <c r="AL60" s="13">
        <v>559983</v>
      </c>
      <c r="AM60">
        <v>0</v>
      </c>
      <c r="AN60" s="30">
        <v>43132</v>
      </c>
      <c r="AO60" s="21">
        <v>60</v>
      </c>
      <c r="AP60" s="21" t="s">
        <v>1595</v>
      </c>
      <c r="AS60" s="30"/>
      <c r="AT60" t="s">
        <v>714</v>
      </c>
      <c r="AU60" s="21" t="s">
        <v>541</v>
      </c>
      <c r="AV60" s="21">
        <v>11</v>
      </c>
      <c r="AW60" s="21" t="s">
        <v>1866</v>
      </c>
      <c r="AX60" s="30">
        <v>43060</v>
      </c>
      <c r="AY60" s="21" t="s">
        <v>1862</v>
      </c>
      <c r="AZ60" s="21" t="s">
        <v>1868</v>
      </c>
      <c r="BA60" s="21">
        <v>12</v>
      </c>
      <c r="BG60" s="30"/>
      <c r="BP60" s="30"/>
      <c r="BU60" t="s">
        <v>1030</v>
      </c>
      <c r="BV60" s="21" t="s">
        <v>1031</v>
      </c>
      <c r="BW60" s="21" t="s">
        <v>1593</v>
      </c>
      <c r="BX60" s="21" t="s">
        <v>1594</v>
      </c>
      <c r="BY60" s="31">
        <v>559983</v>
      </c>
      <c r="BZ60" s="31">
        <v>559983</v>
      </c>
      <c r="CA60" t="s">
        <v>1539</v>
      </c>
      <c r="CF60" s="31"/>
      <c r="CG60" s="31"/>
      <c r="CM60" s="31"/>
      <c r="CN60" s="31"/>
      <c r="CT60" s="31"/>
      <c r="CU60" s="31"/>
      <c r="CV60" s="31"/>
      <c r="DA60" s="31"/>
      <c r="DB60" s="31"/>
      <c r="DC60" s="31"/>
      <c r="DH60" s="31"/>
      <c r="DI60" s="31"/>
      <c r="DO60" s="31"/>
      <c r="DP60" s="31"/>
      <c r="DR60" t="s">
        <v>1850</v>
      </c>
      <c r="DS60" t="s">
        <v>479</v>
      </c>
      <c r="DT60" t="s">
        <v>583</v>
      </c>
      <c r="DU60" s="29" t="s">
        <v>1869</v>
      </c>
      <c r="DV60" t="s">
        <v>172</v>
      </c>
      <c r="DW60" t="s">
        <v>327</v>
      </c>
      <c r="DX60" t="s">
        <v>170</v>
      </c>
      <c r="DY60" t="s">
        <v>167</v>
      </c>
      <c r="DZ60" t="s">
        <v>168</v>
      </c>
      <c r="EA60" s="22">
        <v>43083.486793981479</v>
      </c>
      <c r="EB60" t="s">
        <v>1288</v>
      </c>
      <c r="EC60" t="s">
        <v>1924</v>
      </c>
    </row>
    <row r="61" spans="1:133" x14ac:dyDescent="0.4">
      <c r="A61" s="30"/>
      <c r="B61" s="22">
        <v>42935.717361111114</v>
      </c>
      <c r="C61" s="22" t="s">
        <v>1430</v>
      </c>
      <c r="D61" s="30" t="s">
        <v>477</v>
      </c>
      <c r="E61" s="30" t="s">
        <v>582</v>
      </c>
      <c r="F61" s="30" t="s">
        <v>169</v>
      </c>
      <c r="G61" s="30" t="s">
        <v>171</v>
      </c>
      <c r="H61" t="s">
        <v>94</v>
      </c>
      <c r="I61" t="s">
        <v>1431</v>
      </c>
      <c r="J61" t="s">
        <v>611</v>
      </c>
      <c r="K61" s="22">
        <v>43082.663402777776</v>
      </c>
      <c r="L61">
        <v>1</v>
      </c>
      <c r="M61" s="26">
        <v>3.11</v>
      </c>
      <c r="N61" t="s">
        <v>542</v>
      </c>
      <c r="Q61" s="29" t="s">
        <v>13</v>
      </c>
      <c r="R61" s="29" t="str">
        <f>IFERROR(MID(RADataTable[[#This Row],[RAtemplate]],1,LEN(RADataTable[[#This Row],[RAtemplate]])-8),"RA") &amp; " " &amp; RADataTable[[#This Row],[prop_id0]] &amp; " " &amp; RADataTable[[#This Row],[last0]]</f>
        <v>RA 1751234 Bhaskara</v>
      </c>
      <c r="U61" s="21" t="str">
        <f>IF(signer1="PD",IF(ISBLANK(RADataTable[[#This Row],[sign_blck_name]]),"",RADataTable[[#This Row],[sign_blck_name]]),IF(ISBLANK(signer1),"",signer1))</f>
        <v>Tracy J. Kimbrel</v>
      </c>
      <c r="V61" s="29" t="str">
        <f>signer2</f>
        <v>Cognizant Program Director</v>
      </c>
      <c r="W61" s="15" t="str">
        <f>HYPERLINK("https://www.ejacket.nsf.gov/ej/showProposal.do?Continue=Y&amp;ID="&amp;RADataTable[[#This Row],[prop_id0]],"eJ")</f>
        <v>eJ</v>
      </c>
      <c r="X61" s="15" t="str">
        <f>HYPERLINK("mailto:"&amp;RADataTable[[#This Row],[email]]&amp;"&amp;subject=Your NSF Proposal:  "&amp;RADataTable[[#This Row],[Div]]&amp;" "&amp;RADataTable[[#This Row],[prop_id0]], RADataTable[[#This Row],[email]])</f>
        <v>bhaskara@cs.utah.edu</v>
      </c>
      <c r="Y61" s="15" t="str">
        <f>HYPERLINK("mailto:"&amp;RADataTable[[#This Row],[allPIemail]]&amp;"&amp;subject=NSF Proposal:  "&amp;RADataTable[[#This Row],[Div]]&amp;" "&amp;RADataTable[[#This Row],[prop_id0]], "PIs@")</f>
        <v>PIs@</v>
      </c>
      <c r="Z61" t="s">
        <v>478</v>
      </c>
      <c r="AA61" t="s">
        <v>1064</v>
      </c>
      <c r="AB61">
        <v>4</v>
      </c>
      <c r="AC61">
        <v>4</v>
      </c>
      <c r="AD61"/>
      <c r="AE61" s="21" t="str">
        <f>IF(RADataTable[[#This Row],[maxScore]]-RADataTable[[#This Row],[minScore]]&gt;4,"Y","")</f>
        <v/>
      </c>
      <c r="AF61" s="21">
        <v>5</v>
      </c>
      <c r="AG61" s="26">
        <v>6.5</v>
      </c>
      <c r="AH61">
        <v>7</v>
      </c>
      <c r="AI61" t="s">
        <v>1461</v>
      </c>
      <c r="AJ61" s="30">
        <v>43058.995833333334</v>
      </c>
      <c r="AK61" s="13">
        <v>536841</v>
      </c>
      <c r="AL61" s="13">
        <v>536841</v>
      </c>
      <c r="AM61">
        <v>0</v>
      </c>
      <c r="AN61" s="30">
        <v>43313</v>
      </c>
      <c r="AO61" s="21">
        <v>60</v>
      </c>
      <c r="AP61" s="21" t="s">
        <v>1610</v>
      </c>
      <c r="AS61" s="30"/>
      <c r="AT61" t="s">
        <v>714</v>
      </c>
      <c r="AU61" s="21" t="s">
        <v>541</v>
      </c>
      <c r="AV61" s="21">
        <v>11</v>
      </c>
      <c r="AW61" s="21" t="s">
        <v>1866</v>
      </c>
      <c r="AX61" s="30">
        <v>43060</v>
      </c>
      <c r="AY61" s="21" t="s">
        <v>1862</v>
      </c>
      <c r="AZ61" s="21" t="s">
        <v>1868</v>
      </c>
      <c r="BA61" s="21">
        <v>12</v>
      </c>
      <c r="BG61" s="30"/>
      <c r="BP61" s="30"/>
      <c r="BU61" t="s">
        <v>1064</v>
      </c>
      <c r="BV61" s="21" t="s">
        <v>1065</v>
      </c>
      <c r="BW61" s="21" t="s">
        <v>1609</v>
      </c>
      <c r="BX61" s="21" t="s">
        <v>556</v>
      </c>
      <c r="BY61" s="31">
        <v>536841</v>
      </c>
      <c r="BZ61" s="31">
        <v>536841</v>
      </c>
      <c r="CA61" t="s">
        <v>1469</v>
      </c>
      <c r="CF61" s="31"/>
      <c r="CG61" s="31"/>
      <c r="CM61" s="31"/>
      <c r="CN61" s="31"/>
      <c r="CT61" s="31"/>
      <c r="CU61" s="31"/>
      <c r="CV61" s="31"/>
      <c r="DA61" s="31"/>
      <c r="DB61" s="31"/>
      <c r="DC61" s="31"/>
      <c r="DH61" s="31"/>
      <c r="DI61" s="31"/>
      <c r="DO61" s="31"/>
      <c r="DP61" s="31"/>
      <c r="DR61" t="s">
        <v>1850</v>
      </c>
      <c r="DS61" t="s">
        <v>479</v>
      </c>
      <c r="DT61" t="s">
        <v>583</v>
      </c>
      <c r="DU61" s="29" t="s">
        <v>1869</v>
      </c>
      <c r="DV61" t="s">
        <v>172</v>
      </c>
      <c r="DW61" t="s">
        <v>327</v>
      </c>
      <c r="DX61" t="s">
        <v>170</v>
      </c>
      <c r="DY61" t="s">
        <v>167</v>
      </c>
      <c r="DZ61" t="s">
        <v>168</v>
      </c>
      <c r="EA61" s="22">
        <v>43083.486793981479</v>
      </c>
      <c r="EB61" t="s">
        <v>1611</v>
      </c>
      <c r="EC61" t="s">
        <v>1929</v>
      </c>
    </row>
    <row r="62" spans="1:133" x14ac:dyDescent="0.4">
      <c r="A62" s="30"/>
      <c r="B62" s="22">
        <v>42933.547222222223</v>
      </c>
      <c r="C62" s="22" t="s">
        <v>1430</v>
      </c>
      <c r="D62" s="30" t="s">
        <v>477</v>
      </c>
      <c r="E62" s="30" t="s">
        <v>582</v>
      </c>
      <c r="F62" s="30" t="s">
        <v>169</v>
      </c>
      <c r="G62" s="30" t="s">
        <v>171</v>
      </c>
      <c r="H62" t="s">
        <v>94</v>
      </c>
      <c r="I62" t="s">
        <v>1431</v>
      </c>
      <c r="J62" t="s">
        <v>604</v>
      </c>
      <c r="K62" s="22">
        <v>43082.662557870368</v>
      </c>
      <c r="L62">
        <v>1</v>
      </c>
      <c r="M62" s="26">
        <v>3.13</v>
      </c>
      <c r="N62" t="s">
        <v>542</v>
      </c>
      <c r="Q62" s="29" t="s">
        <v>13</v>
      </c>
      <c r="R62" s="29" t="str">
        <f>IFERROR(MID(RADataTable[[#This Row],[RAtemplate]],1,LEN(RADataTable[[#This Row],[RAtemplate]])-8),"RA") &amp; " " &amp; RADataTable[[#This Row],[prop_id0]] &amp; " " &amp; RADataTable[[#This Row],[last0]]</f>
        <v>RA 1749385 Wang</v>
      </c>
      <c r="U62" s="21" t="str">
        <f>IF(signer1="PD",IF(ISBLANK(RADataTable[[#This Row],[sign_blck_name]]),"",RADataTable[[#This Row],[sign_blck_name]]),IF(ISBLANK(signer1),"",signer1))</f>
        <v>Jack Snoeyink</v>
      </c>
      <c r="V62" s="29" t="str">
        <f>signer2</f>
        <v>Cognizant Program Director</v>
      </c>
      <c r="W62" s="15" t="str">
        <f>HYPERLINK("https://www.ejacket.nsf.gov/ej/showProposal.do?Continue=Y&amp;ID="&amp;RADataTable[[#This Row],[prop_id0]],"eJ")</f>
        <v>eJ</v>
      </c>
      <c r="X62" s="15" t="str">
        <f>HYPERLINK("mailto:"&amp;RADataTable[[#This Row],[email]]&amp;"&amp;subject=Your NSF Proposal:  "&amp;RADataTable[[#This Row],[Div]]&amp;" "&amp;RADataTable[[#This Row],[prop_id0]], RADataTable[[#This Row],[email]])</f>
        <v>haitao.wang@usu.edu</v>
      </c>
      <c r="Y62" s="15" t="str">
        <f>HYPERLINK("mailto:"&amp;RADataTable[[#This Row],[allPIemail]]&amp;"&amp;subject=NSF Proposal:  "&amp;RADataTable[[#This Row],[Div]]&amp;" "&amp;RADataTable[[#This Row],[prop_id0]], "PIs@")</f>
        <v>PIs@</v>
      </c>
      <c r="Z62" t="s">
        <v>478</v>
      </c>
      <c r="AA62" t="s">
        <v>630</v>
      </c>
      <c r="AB62">
        <v>4</v>
      </c>
      <c r="AC62">
        <v>4</v>
      </c>
      <c r="AD62"/>
      <c r="AE62" s="21" t="str">
        <f>IF(RADataTable[[#This Row],[maxScore]]-RADataTable[[#This Row],[minScore]]&gt;4,"Y","")</f>
        <v>Y</v>
      </c>
      <c r="AF62" s="21">
        <v>4</v>
      </c>
      <c r="AG62" s="26">
        <v>6.25</v>
      </c>
      <c r="AH62">
        <v>9</v>
      </c>
      <c r="AI62" t="s">
        <v>1441</v>
      </c>
      <c r="AJ62" s="30">
        <v>43030.179166666669</v>
      </c>
      <c r="AK62" s="13">
        <v>524898</v>
      </c>
      <c r="AL62" s="13">
        <v>524898</v>
      </c>
      <c r="AM62">
        <v>0</v>
      </c>
      <c r="AN62" s="30">
        <v>43221</v>
      </c>
      <c r="AO62" s="21">
        <v>60</v>
      </c>
      <c r="AP62" s="21" t="s">
        <v>1442</v>
      </c>
      <c r="AS62" s="30"/>
      <c r="AT62" t="s">
        <v>605</v>
      </c>
      <c r="AU62" s="21" t="s">
        <v>541</v>
      </c>
      <c r="AV62" s="21">
        <v>13</v>
      </c>
      <c r="AW62" s="21" t="s">
        <v>1847</v>
      </c>
      <c r="AX62" s="30">
        <v>43032</v>
      </c>
      <c r="AY62" s="21" t="s">
        <v>1853</v>
      </c>
      <c r="AZ62" s="21" t="s">
        <v>1849</v>
      </c>
      <c r="BA62" s="21">
        <v>14</v>
      </c>
      <c r="BG62" s="30"/>
      <c r="BP62" s="30"/>
      <c r="BU62" t="s">
        <v>630</v>
      </c>
      <c r="BV62" s="21" t="s">
        <v>631</v>
      </c>
      <c r="BW62" s="21" t="s">
        <v>1440</v>
      </c>
      <c r="BX62" s="21" t="s">
        <v>559</v>
      </c>
      <c r="BY62" s="31">
        <v>524898</v>
      </c>
      <c r="BZ62" s="31">
        <v>524898</v>
      </c>
      <c r="CA62" t="s">
        <v>1439</v>
      </c>
      <c r="CF62" s="31"/>
      <c r="CG62" s="31"/>
      <c r="CM62" s="31"/>
      <c r="CN62" s="31"/>
      <c r="CT62" s="31"/>
      <c r="CU62" s="31"/>
      <c r="CV62" s="31"/>
      <c r="DA62" s="31"/>
      <c r="DB62" s="31"/>
      <c r="DC62" s="31"/>
      <c r="DH62" s="31"/>
      <c r="DI62" s="31"/>
      <c r="DO62" s="31"/>
      <c r="DP62" s="31"/>
      <c r="DR62" t="s">
        <v>1850</v>
      </c>
      <c r="DS62" t="s">
        <v>479</v>
      </c>
      <c r="DT62" t="s">
        <v>583</v>
      </c>
      <c r="DU62" s="29" t="s">
        <v>1851</v>
      </c>
      <c r="DV62" t="s">
        <v>172</v>
      </c>
      <c r="DW62" t="s">
        <v>327</v>
      </c>
      <c r="DX62" t="s">
        <v>170</v>
      </c>
      <c r="DY62" t="s">
        <v>167</v>
      </c>
      <c r="DZ62" t="s">
        <v>168</v>
      </c>
      <c r="EA62" s="22">
        <v>43083.486793981479</v>
      </c>
      <c r="EB62" t="s">
        <v>1443</v>
      </c>
      <c r="EC62" t="s">
        <v>1854</v>
      </c>
    </row>
    <row r="63" spans="1:133" x14ac:dyDescent="0.4">
      <c r="A63" s="30"/>
      <c r="B63" s="22">
        <v>42933.579861111109</v>
      </c>
      <c r="C63" s="22" t="s">
        <v>1430</v>
      </c>
      <c r="D63" s="30" t="s">
        <v>477</v>
      </c>
      <c r="E63" s="30" t="s">
        <v>582</v>
      </c>
      <c r="F63" s="30" t="s">
        <v>169</v>
      </c>
      <c r="G63" s="30" t="s">
        <v>171</v>
      </c>
      <c r="H63" t="s">
        <v>94</v>
      </c>
      <c r="I63" t="s">
        <v>1431</v>
      </c>
      <c r="J63" t="s">
        <v>654</v>
      </c>
      <c r="K63" s="22">
        <v>43082.662615740737</v>
      </c>
      <c r="L63">
        <v>1</v>
      </c>
      <c r="M63" s="26">
        <v>3.13</v>
      </c>
      <c r="N63" t="s">
        <v>542</v>
      </c>
      <c r="Q63" s="29" t="s">
        <v>13</v>
      </c>
      <c r="R63" s="29" t="str">
        <f>IFERROR(MID(RADataTable[[#This Row],[RAtemplate]],1,LEN(RADataTable[[#This Row],[RAtemplate]])-8),"RA") &amp; " " &amp; RADataTable[[#This Row],[prop_id0]] &amp; " " &amp; RADataTable[[#This Row],[last0]]</f>
        <v>RA 1749414 Moseley</v>
      </c>
      <c r="U63" s="21" t="str">
        <f>IF(signer1="PD",IF(ISBLANK(RADataTable[[#This Row],[sign_blck_name]]),"",RADataTable[[#This Row],[sign_blck_name]]),IF(ISBLANK(signer1),"",signer1))</f>
        <v>Rahul Shah</v>
      </c>
      <c r="V63" s="29" t="str">
        <f>signer2</f>
        <v>Cognizant Program Director</v>
      </c>
      <c r="W63" s="15" t="str">
        <f>HYPERLINK("https://www.ejacket.nsf.gov/ej/showProposal.do?Continue=Y&amp;ID="&amp;RADataTable[[#This Row],[prop_id0]],"eJ")</f>
        <v>eJ</v>
      </c>
      <c r="X63" s="15" t="str">
        <f>HYPERLINK("mailto:"&amp;RADataTable[[#This Row],[email]]&amp;"&amp;subject=Your NSF Proposal:  "&amp;RADataTable[[#This Row],[Div]]&amp;" "&amp;RADataTable[[#This Row],[prop_id0]], RADataTable[[#This Row],[email]])</f>
        <v>bmoseley@seas.wustl.edu</v>
      </c>
      <c r="Y63" s="15" t="str">
        <f>HYPERLINK("mailto:"&amp;RADataTable[[#This Row],[allPIemail]]&amp;"&amp;subject=NSF Proposal:  "&amp;RADataTable[[#This Row],[Div]]&amp;" "&amp;RADataTable[[#This Row],[prop_id0]], "PIs@")</f>
        <v>PIs@</v>
      </c>
      <c r="Z63" t="s">
        <v>478</v>
      </c>
      <c r="AA63" t="s">
        <v>652</v>
      </c>
      <c r="AB63">
        <v>5</v>
      </c>
      <c r="AC63">
        <v>5</v>
      </c>
      <c r="AD63"/>
      <c r="AE63" s="21" t="str">
        <f>IF(RADataTable[[#This Row],[maxScore]]-RADataTable[[#This Row],[minScore]]&gt;4,"Y","")</f>
        <v/>
      </c>
      <c r="AF63" s="21">
        <v>5</v>
      </c>
      <c r="AG63" s="26">
        <v>6.8</v>
      </c>
      <c r="AH63">
        <v>9</v>
      </c>
      <c r="AI63" t="s">
        <v>1446</v>
      </c>
      <c r="AJ63" s="30">
        <v>43032.510416666664</v>
      </c>
      <c r="AK63" s="13">
        <v>545000</v>
      </c>
      <c r="AL63" s="13">
        <v>545000</v>
      </c>
      <c r="AM63">
        <v>0</v>
      </c>
      <c r="AN63" s="30">
        <v>43282</v>
      </c>
      <c r="AO63" s="21">
        <v>60</v>
      </c>
      <c r="AP63" s="21" t="s">
        <v>1447</v>
      </c>
      <c r="AS63" s="30"/>
      <c r="AT63" t="s">
        <v>605</v>
      </c>
      <c r="AU63" s="21" t="s">
        <v>541</v>
      </c>
      <c r="AV63" s="21">
        <v>13</v>
      </c>
      <c r="AW63" s="21" t="s">
        <v>1847</v>
      </c>
      <c r="AX63" s="30">
        <v>43032</v>
      </c>
      <c r="AY63" s="21" t="s">
        <v>1855</v>
      </c>
      <c r="AZ63" s="21" t="s">
        <v>1849</v>
      </c>
      <c r="BA63" s="21">
        <v>14</v>
      </c>
      <c r="BB63" s="21">
        <v>1</v>
      </c>
      <c r="BG63" s="30"/>
      <c r="BP63" s="30"/>
      <c r="BU63" t="s">
        <v>652</v>
      </c>
      <c r="BV63" s="21" t="s">
        <v>653</v>
      </c>
      <c r="BW63" s="21" t="s">
        <v>1445</v>
      </c>
      <c r="BX63" s="21" t="s">
        <v>497</v>
      </c>
      <c r="BY63" s="31">
        <v>545000</v>
      </c>
      <c r="BZ63" s="31">
        <v>545000</v>
      </c>
      <c r="CA63" t="s">
        <v>1444</v>
      </c>
      <c r="CF63" s="31"/>
      <c r="CG63" s="31"/>
      <c r="CM63" s="31"/>
      <c r="CN63" s="31"/>
      <c r="CT63" s="31"/>
      <c r="CU63" s="31"/>
      <c r="CV63" s="31"/>
      <c r="DA63" s="31"/>
      <c r="DB63" s="31"/>
      <c r="DC63" s="31"/>
      <c r="DH63" s="31"/>
      <c r="DI63" s="31"/>
      <c r="DO63" s="31"/>
      <c r="DP63" s="31"/>
      <c r="DR63" t="s">
        <v>1850</v>
      </c>
      <c r="DS63" t="s">
        <v>479</v>
      </c>
      <c r="DT63" t="s">
        <v>583</v>
      </c>
      <c r="DU63" s="29" t="s">
        <v>1856</v>
      </c>
      <c r="DV63" t="s">
        <v>172</v>
      </c>
      <c r="DW63" t="s">
        <v>327</v>
      </c>
      <c r="DX63" t="s">
        <v>170</v>
      </c>
      <c r="DY63" t="s">
        <v>167</v>
      </c>
      <c r="DZ63" t="s">
        <v>168</v>
      </c>
      <c r="EA63" s="22">
        <v>43083.486793981479</v>
      </c>
      <c r="EB63" t="s">
        <v>1448</v>
      </c>
      <c r="EC63" t="s">
        <v>1857</v>
      </c>
    </row>
    <row r="64" spans="1:133" x14ac:dyDescent="0.4">
      <c r="A64" s="30"/>
      <c r="B64" s="22">
        <v>42934.695138888892</v>
      </c>
      <c r="C64" s="22" t="s">
        <v>1430</v>
      </c>
      <c r="D64" s="30" t="s">
        <v>477</v>
      </c>
      <c r="E64" s="30" t="s">
        <v>582</v>
      </c>
      <c r="F64" s="30" t="s">
        <v>169</v>
      </c>
      <c r="G64" s="30" t="s">
        <v>171</v>
      </c>
      <c r="H64" t="s">
        <v>94</v>
      </c>
      <c r="I64" t="s">
        <v>1431</v>
      </c>
      <c r="J64" t="s">
        <v>604</v>
      </c>
      <c r="K64" s="22">
        <v>43082.662685185183</v>
      </c>
      <c r="L64">
        <v>1</v>
      </c>
      <c r="M64" s="26">
        <v>3.13</v>
      </c>
      <c r="N64" t="s">
        <v>542</v>
      </c>
      <c r="Q64" s="29" t="s">
        <v>13</v>
      </c>
      <c r="R64" s="29" t="str">
        <f>IFERROR(MID(RADataTable[[#This Row],[RAtemplate]],1,LEN(RADataTable[[#This Row],[RAtemplate]])-8),"RA") &amp; " " &amp; RADataTable[[#This Row],[prop_id0]] &amp; " " &amp; RADataTable[[#This Row],[last0]]</f>
        <v>RA 1749977 Solomon</v>
      </c>
      <c r="U64" s="21" t="str">
        <f>IF(signer1="PD",IF(ISBLANK(RADataTable[[#This Row],[sign_blck_name]]),"",RADataTable[[#This Row],[sign_blck_name]]),IF(ISBLANK(signer1),"",signer1))</f>
        <v>Jack Snoeyink</v>
      </c>
      <c r="V64" s="29" t="str">
        <f>signer2</f>
        <v>Cognizant Program Director</v>
      </c>
      <c r="W64" s="15" t="str">
        <f>HYPERLINK("https://www.ejacket.nsf.gov/ej/showProposal.do?Continue=Y&amp;ID="&amp;RADataTable[[#This Row],[prop_id0]],"eJ")</f>
        <v>eJ</v>
      </c>
      <c r="X64" s="15" t="str">
        <f>HYPERLINK("mailto:"&amp;RADataTable[[#This Row],[email]]&amp;"&amp;subject=Your NSF Proposal:  "&amp;RADataTable[[#This Row],[Div]]&amp;" "&amp;RADataTable[[#This Row],[prop_id0]], RADataTable[[#This Row],[email]])</f>
        <v>jsolomon@mit.edu</v>
      </c>
      <c r="Y64" s="15" t="str">
        <f>HYPERLINK("mailto:"&amp;RADataTable[[#This Row],[allPIemail]]&amp;"&amp;subject=NSF Proposal:  "&amp;RADataTable[[#This Row],[Div]]&amp;" "&amp;RADataTable[[#This Row],[prop_id0]], "PIs@")</f>
        <v>PIs@</v>
      </c>
      <c r="Z64" t="s">
        <v>478</v>
      </c>
      <c r="AA64" t="s">
        <v>762</v>
      </c>
      <c r="AB64">
        <v>4</v>
      </c>
      <c r="AC64">
        <v>4</v>
      </c>
      <c r="AD64"/>
      <c r="AE64" s="21" t="str">
        <f>IF(RADataTable[[#This Row],[maxScore]]-RADataTable[[#This Row],[minScore]]&gt;4,"Y","")</f>
        <v>Y</v>
      </c>
      <c r="AF64" s="21">
        <v>3</v>
      </c>
      <c r="AG64" s="26">
        <v>6.25</v>
      </c>
      <c r="AH64">
        <v>9</v>
      </c>
      <c r="AI64" t="s">
        <v>1488</v>
      </c>
      <c r="AJ64" s="30">
        <v>43030.972222222219</v>
      </c>
      <c r="AK64" s="13">
        <v>550000</v>
      </c>
      <c r="AL64" s="13">
        <v>550000</v>
      </c>
      <c r="AM64">
        <v>0</v>
      </c>
      <c r="AN64" s="30">
        <v>43101</v>
      </c>
      <c r="AO64" s="21">
        <v>60</v>
      </c>
      <c r="AP64" s="21" t="s">
        <v>1489</v>
      </c>
      <c r="AS64" s="30"/>
      <c r="AT64" t="s">
        <v>605</v>
      </c>
      <c r="AU64" s="21" t="s">
        <v>541</v>
      </c>
      <c r="AV64" s="21">
        <v>13</v>
      </c>
      <c r="AW64" s="21" t="s">
        <v>1847</v>
      </c>
      <c r="AX64" s="30">
        <v>43032</v>
      </c>
      <c r="AY64" s="21" t="s">
        <v>1875</v>
      </c>
      <c r="AZ64" s="21" t="s">
        <v>1849</v>
      </c>
      <c r="BA64" s="21">
        <v>14</v>
      </c>
      <c r="BB64" s="21">
        <v>2</v>
      </c>
      <c r="BG64" s="30"/>
      <c r="BP64" s="30"/>
      <c r="BU64" t="s">
        <v>762</v>
      </c>
      <c r="BV64" s="21" t="s">
        <v>763</v>
      </c>
      <c r="BW64" s="21" t="s">
        <v>1486</v>
      </c>
      <c r="BX64" s="21" t="s">
        <v>1487</v>
      </c>
      <c r="BY64" s="31">
        <v>550000</v>
      </c>
      <c r="BZ64" s="31">
        <v>550000</v>
      </c>
      <c r="CA64" t="s">
        <v>1439</v>
      </c>
      <c r="CF64" s="31"/>
      <c r="CG64" s="31"/>
      <c r="CM64" s="31"/>
      <c r="CN64" s="31"/>
      <c r="CT64" s="31"/>
      <c r="CU64" s="31"/>
      <c r="CV64" s="31"/>
      <c r="DA64" s="31"/>
      <c r="DB64" s="31"/>
      <c r="DC64" s="31"/>
      <c r="DH64" s="31"/>
      <c r="DI64" s="31"/>
      <c r="DO64" s="31"/>
      <c r="DP64" s="31"/>
      <c r="DR64" t="s">
        <v>1850</v>
      </c>
      <c r="DS64" t="s">
        <v>479</v>
      </c>
      <c r="DT64" t="s">
        <v>583</v>
      </c>
      <c r="DU64" s="29" t="s">
        <v>1851</v>
      </c>
      <c r="DV64" t="s">
        <v>172</v>
      </c>
      <c r="DW64" t="s">
        <v>327</v>
      </c>
      <c r="DX64" t="s">
        <v>170</v>
      </c>
      <c r="DY64" t="s">
        <v>167</v>
      </c>
      <c r="DZ64" t="s">
        <v>168</v>
      </c>
      <c r="EA64" s="22">
        <v>43083.486793981479</v>
      </c>
      <c r="EB64" t="s">
        <v>1490</v>
      </c>
      <c r="EC64" t="s">
        <v>1876</v>
      </c>
    </row>
    <row r="65" spans="1:133" x14ac:dyDescent="0.4">
      <c r="A65" s="30"/>
      <c r="B65" s="22">
        <v>42934.737500000003</v>
      </c>
      <c r="C65" s="22" t="s">
        <v>1430</v>
      </c>
      <c r="D65" s="30" t="s">
        <v>477</v>
      </c>
      <c r="E65" s="30" t="s">
        <v>582</v>
      </c>
      <c r="F65" s="30" t="s">
        <v>169</v>
      </c>
      <c r="G65" s="30" t="s">
        <v>171</v>
      </c>
      <c r="H65" t="s">
        <v>94</v>
      </c>
      <c r="I65" t="s">
        <v>1431</v>
      </c>
      <c r="J65" t="s">
        <v>611</v>
      </c>
      <c r="K65" s="22">
        <v>43082.668715277781</v>
      </c>
      <c r="L65">
        <v>1</v>
      </c>
      <c r="M65" s="26">
        <v>3.13</v>
      </c>
      <c r="N65" t="s">
        <v>542</v>
      </c>
      <c r="Q65" s="29" t="s">
        <v>13</v>
      </c>
      <c r="R65" s="29" t="str">
        <f>IFERROR(MID(RADataTable[[#This Row],[RAtemplate]],1,LEN(RADataTable[[#This Row],[RAtemplate]])-8),"RA") &amp; " " &amp; RADataTable[[#This Row],[prop_id0]] &amp; " " &amp; RADataTable[[#This Row],[last0]]</f>
        <v>RA 1750039 Solomonik</v>
      </c>
      <c r="U65" s="21" t="str">
        <f>IF(signer1="PD",IF(ISBLANK(RADataTable[[#This Row],[sign_blck_name]]),"",RADataTable[[#This Row],[sign_blck_name]]),IF(ISBLANK(signer1),"",signer1))</f>
        <v>Tracy J. Kimbrel</v>
      </c>
      <c r="V65" s="29" t="str">
        <f>signer2</f>
        <v>Cognizant Program Director</v>
      </c>
      <c r="W65" s="15" t="str">
        <f>HYPERLINK("https://www.ejacket.nsf.gov/ej/showProposal.do?Continue=Y&amp;ID="&amp;RADataTable[[#This Row],[prop_id0]],"eJ")</f>
        <v>eJ</v>
      </c>
      <c r="X65" s="15" t="str">
        <f>HYPERLINK("mailto:"&amp;RADataTable[[#This Row],[email]]&amp;"&amp;subject=Your NSF Proposal:  "&amp;RADataTable[[#This Row],[Div]]&amp;" "&amp;RADataTable[[#This Row],[prop_id0]], RADataTable[[#This Row],[email]])</f>
        <v>solomon2@illinois.edu</v>
      </c>
      <c r="Y65" s="15" t="str">
        <f>HYPERLINK("mailto:"&amp;RADataTable[[#This Row],[allPIemail]]&amp;"&amp;subject=NSF Proposal:  "&amp;RADataTable[[#This Row],[Div]]&amp;" "&amp;RADataTable[[#This Row],[prop_id0]], "PIs@")</f>
        <v>PIs@</v>
      </c>
      <c r="Z65" t="s">
        <v>478</v>
      </c>
      <c r="AA65" t="s">
        <v>782</v>
      </c>
      <c r="AB65">
        <v>4</v>
      </c>
      <c r="AC65">
        <v>4</v>
      </c>
      <c r="AD65"/>
      <c r="AE65" s="21" t="str">
        <f>IF(RADataTable[[#This Row],[maxScore]]-RADataTable[[#This Row],[minScore]]&gt;4,"Y","")</f>
        <v/>
      </c>
      <c r="AF65" s="21">
        <v>3</v>
      </c>
      <c r="AG65" s="26">
        <v>4.5</v>
      </c>
      <c r="AH65">
        <v>5</v>
      </c>
      <c r="AI65" t="s">
        <v>1497</v>
      </c>
      <c r="AJ65" s="30">
        <v>43031.922222222223</v>
      </c>
      <c r="AK65" s="13">
        <v>524117</v>
      </c>
      <c r="AL65" s="13">
        <v>524117</v>
      </c>
      <c r="AM65">
        <v>0</v>
      </c>
      <c r="AN65" s="30">
        <v>43132</v>
      </c>
      <c r="AO65" s="21">
        <v>60</v>
      </c>
      <c r="AP65" s="21" t="s">
        <v>1498</v>
      </c>
      <c r="AS65" s="30"/>
      <c r="AT65" t="s">
        <v>605</v>
      </c>
      <c r="AU65" s="21" t="s">
        <v>541</v>
      </c>
      <c r="AV65" s="21">
        <v>13</v>
      </c>
      <c r="AW65" s="21" t="s">
        <v>1847</v>
      </c>
      <c r="AX65" s="30">
        <v>43032</v>
      </c>
      <c r="AY65" s="21" t="s">
        <v>1879</v>
      </c>
      <c r="AZ65" s="21" t="s">
        <v>1849</v>
      </c>
      <c r="BA65" s="21">
        <v>14</v>
      </c>
      <c r="BB65" s="21">
        <v>2</v>
      </c>
      <c r="BG65" s="30"/>
      <c r="BP65" s="30"/>
      <c r="BU65" t="s">
        <v>782</v>
      </c>
      <c r="BV65" s="21" t="s">
        <v>783</v>
      </c>
      <c r="BW65" s="21" t="s">
        <v>1496</v>
      </c>
      <c r="BX65" s="21" t="s">
        <v>1477</v>
      </c>
      <c r="BY65" s="31">
        <v>524117</v>
      </c>
      <c r="BZ65" s="31">
        <v>524117</v>
      </c>
      <c r="CA65" t="s">
        <v>1444</v>
      </c>
      <c r="CF65" s="31"/>
      <c r="CG65" s="31"/>
      <c r="CM65" s="31"/>
      <c r="CN65" s="31"/>
      <c r="CT65" s="31"/>
      <c r="CU65" s="31"/>
      <c r="CV65" s="31"/>
      <c r="DA65" s="31"/>
      <c r="DB65" s="31"/>
      <c r="DC65" s="31"/>
      <c r="DH65" s="31"/>
      <c r="DI65" s="31"/>
      <c r="DO65" s="31"/>
      <c r="DP65" s="31"/>
      <c r="DR65" t="s">
        <v>1850</v>
      </c>
      <c r="DS65" t="s">
        <v>479</v>
      </c>
      <c r="DT65" t="s">
        <v>583</v>
      </c>
      <c r="DU65" s="29" t="s">
        <v>1869</v>
      </c>
      <c r="DV65" t="s">
        <v>172</v>
      </c>
      <c r="DW65" t="s">
        <v>327</v>
      </c>
      <c r="DX65" t="s">
        <v>170</v>
      </c>
      <c r="DY65" t="s">
        <v>167</v>
      </c>
      <c r="DZ65" t="s">
        <v>168</v>
      </c>
      <c r="EA65" s="22">
        <v>43083.486793981479</v>
      </c>
      <c r="EB65" t="s">
        <v>1499</v>
      </c>
      <c r="EC65" t="s">
        <v>1880</v>
      </c>
    </row>
    <row r="66" spans="1:133" x14ac:dyDescent="0.4">
      <c r="A66" s="30"/>
      <c r="B66" s="22">
        <v>42935.359027777777</v>
      </c>
      <c r="C66" s="22" t="s">
        <v>1430</v>
      </c>
      <c r="D66" s="30" t="s">
        <v>477</v>
      </c>
      <c r="E66" s="30" t="s">
        <v>582</v>
      </c>
      <c r="F66" s="30" t="s">
        <v>169</v>
      </c>
      <c r="G66" s="30" t="s">
        <v>171</v>
      </c>
      <c r="H66" t="s">
        <v>94</v>
      </c>
      <c r="I66" t="s">
        <v>1431</v>
      </c>
      <c r="J66" t="s">
        <v>654</v>
      </c>
      <c r="K66" s="22">
        <v>43082.668773148151</v>
      </c>
      <c r="L66">
        <v>1</v>
      </c>
      <c r="M66" s="26">
        <v>3.13</v>
      </c>
      <c r="N66" t="s">
        <v>542</v>
      </c>
      <c r="Q66" s="29" t="s">
        <v>13</v>
      </c>
      <c r="R66" s="29" t="str">
        <f>IFERROR(MID(RADataTable[[#This Row],[RAtemplate]],1,LEN(RADataTable[[#This Row],[RAtemplate]])-8),"RA") &amp; " " &amp; RADataTable[[#This Row],[prop_id0]] &amp; " " &amp; RADataTable[[#This Row],[last0]]</f>
        <v>RA 1750118 Li</v>
      </c>
      <c r="U66" s="21" t="str">
        <f>IF(signer1="PD",IF(ISBLANK(RADataTable[[#This Row],[sign_blck_name]]),"",RADataTable[[#This Row],[sign_blck_name]]),IF(ISBLANK(signer1),"",signer1))</f>
        <v>Rahul Shah</v>
      </c>
      <c r="V66" s="29" t="str">
        <f>signer2</f>
        <v>Cognizant Program Director</v>
      </c>
      <c r="W66" s="15" t="str">
        <f>HYPERLINK("https://www.ejacket.nsf.gov/ej/showProposal.do?Continue=Y&amp;ID="&amp;RADataTable[[#This Row],[prop_id0]],"eJ")</f>
        <v>eJ</v>
      </c>
      <c r="X66" s="15" t="str">
        <f>HYPERLINK("mailto:"&amp;RADataTable[[#This Row],[email]]&amp;"&amp;subject=Your NSF Proposal:  "&amp;RADataTable[[#This Row],[Div]]&amp;" "&amp;RADataTable[[#This Row],[prop_id0]], RADataTable[[#This Row],[email]])</f>
        <v>shil@buffalo.edu</v>
      </c>
      <c r="Y66" s="15" t="str">
        <f>HYPERLINK("mailto:"&amp;RADataTable[[#This Row],[allPIemail]]&amp;"&amp;subject=NSF Proposal:  "&amp;RADataTable[[#This Row],[Div]]&amp;" "&amp;RADataTable[[#This Row],[prop_id0]], "PIs@")</f>
        <v>PIs@</v>
      </c>
      <c r="Z66" t="s">
        <v>478</v>
      </c>
      <c r="AA66" t="s">
        <v>834</v>
      </c>
      <c r="AB66">
        <v>4</v>
      </c>
      <c r="AD66"/>
      <c r="AE66" s="21" t="str">
        <f>IF(RADataTable[[#This Row],[maxScore]]-RADataTable[[#This Row],[minScore]]&gt;4,"Y","")</f>
        <v/>
      </c>
      <c r="AF66" s="21">
        <v>4</v>
      </c>
      <c r="AG66" s="26">
        <v>5.25</v>
      </c>
      <c r="AH66">
        <v>7</v>
      </c>
      <c r="AI66" t="s">
        <v>1513</v>
      </c>
      <c r="AJ66" s="30">
        <v>43031.584722222222</v>
      </c>
      <c r="AK66" s="13">
        <v>530842</v>
      </c>
      <c r="AL66" s="13">
        <v>530842</v>
      </c>
      <c r="AM66">
        <v>0</v>
      </c>
      <c r="AN66" s="30">
        <v>43344</v>
      </c>
      <c r="AO66" s="21">
        <v>60</v>
      </c>
      <c r="AP66" s="21" t="s">
        <v>1514</v>
      </c>
      <c r="AS66" s="30"/>
      <c r="AT66" t="s">
        <v>605</v>
      </c>
      <c r="AU66" s="21" t="s">
        <v>541</v>
      </c>
      <c r="AV66" s="21">
        <v>13</v>
      </c>
      <c r="AW66" s="21" t="s">
        <v>1847</v>
      </c>
      <c r="AX66" s="30">
        <v>43032</v>
      </c>
      <c r="AY66" s="21" t="s">
        <v>1888</v>
      </c>
      <c r="AZ66" s="21" t="s">
        <v>1849</v>
      </c>
      <c r="BA66" s="21">
        <v>14</v>
      </c>
      <c r="BB66" s="21">
        <v>2</v>
      </c>
      <c r="BG66" s="30"/>
      <c r="BP66" s="30"/>
      <c r="BU66" t="s">
        <v>834</v>
      </c>
      <c r="BV66" s="21" t="s">
        <v>835</v>
      </c>
      <c r="BW66" s="21" t="s">
        <v>1511</v>
      </c>
      <c r="BX66" s="21" t="s">
        <v>1512</v>
      </c>
      <c r="BY66" s="31">
        <v>530842</v>
      </c>
      <c r="BZ66" s="31">
        <v>530842</v>
      </c>
      <c r="CA66" t="s">
        <v>1432</v>
      </c>
      <c r="CF66" s="31"/>
      <c r="CG66" s="31"/>
      <c r="CM66" s="31"/>
      <c r="CN66" s="31"/>
      <c r="CT66" s="31"/>
      <c r="CU66" s="31"/>
      <c r="CV66" s="31"/>
      <c r="DA66" s="31"/>
      <c r="DB66" s="31"/>
      <c r="DC66" s="31"/>
      <c r="DH66" s="31"/>
      <c r="DI66" s="31"/>
      <c r="DO66" s="31"/>
      <c r="DP66" s="31"/>
      <c r="DR66" t="s">
        <v>1850</v>
      </c>
      <c r="DS66" t="s">
        <v>479</v>
      </c>
      <c r="DT66" t="s">
        <v>583</v>
      </c>
      <c r="DU66" s="29" t="s">
        <v>1856</v>
      </c>
      <c r="DV66" t="s">
        <v>172</v>
      </c>
      <c r="DW66" t="s">
        <v>327</v>
      </c>
      <c r="DX66" t="s">
        <v>170</v>
      </c>
      <c r="DY66" t="s">
        <v>167</v>
      </c>
      <c r="DZ66" t="s">
        <v>168</v>
      </c>
      <c r="EA66" s="22">
        <v>43083.486793981479</v>
      </c>
      <c r="EB66" t="s">
        <v>1515</v>
      </c>
      <c r="EC66" t="s">
        <v>1889</v>
      </c>
    </row>
    <row r="67" spans="1:133" x14ac:dyDescent="0.4">
      <c r="A67" s="30"/>
      <c r="B67" s="22">
        <v>42935.475694444445</v>
      </c>
      <c r="C67" s="22" t="s">
        <v>1430</v>
      </c>
      <c r="D67" s="30" t="s">
        <v>477</v>
      </c>
      <c r="E67" s="30" t="s">
        <v>582</v>
      </c>
      <c r="F67" s="30" t="s">
        <v>169</v>
      </c>
      <c r="G67" s="30" t="s">
        <v>171</v>
      </c>
      <c r="H67" t="s">
        <v>94</v>
      </c>
      <c r="I67" t="s">
        <v>1431</v>
      </c>
      <c r="J67" t="s">
        <v>654</v>
      </c>
      <c r="K67" s="22">
        <v>43082.668842592589</v>
      </c>
      <c r="L67">
        <v>1</v>
      </c>
      <c r="M67" s="26">
        <v>3.13</v>
      </c>
      <c r="N67" t="s">
        <v>542</v>
      </c>
      <c r="Q67" s="29" t="s">
        <v>13</v>
      </c>
      <c r="R67" s="29" t="str">
        <f>IFERROR(MID(RADataTable[[#This Row],[RAtemplate]],1,LEN(RADataTable[[#This Row],[RAtemplate]])-8),"RA") &amp; " " &amp; RADataTable[[#This Row],[prop_id0]] &amp; " " &amp; RADataTable[[#This Row],[last0]]</f>
        <v>RA 1750302 Dinitz</v>
      </c>
      <c r="U67" s="21" t="str">
        <f>IF(signer1="PD",IF(ISBLANK(RADataTable[[#This Row],[sign_blck_name]]),"",RADataTable[[#This Row],[sign_blck_name]]),IF(ISBLANK(signer1),"",signer1))</f>
        <v>Rahul Shah</v>
      </c>
      <c r="V67" s="29" t="str">
        <f>signer2</f>
        <v>Cognizant Program Director</v>
      </c>
      <c r="W67" s="15" t="str">
        <f>HYPERLINK("https://www.ejacket.nsf.gov/ej/showProposal.do?Continue=Y&amp;ID="&amp;RADataTable[[#This Row],[prop_id0]],"eJ")</f>
        <v>eJ</v>
      </c>
      <c r="X67" s="15" t="str">
        <f>HYPERLINK("mailto:"&amp;RADataTable[[#This Row],[email]]&amp;"&amp;subject=Your NSF Proposal:  "&amp;RADataTable[[#This Row],[Div]]&amp;" "&amp;RADataTable[[#This Row],[prop_id0]], RADataTable[[#This Row],[email]])</f>
        <v>mdinitz@cs.jhu.edu</v>
      </c>
      <c r="Y67" s="15" t="str">
        <f>HYPERLINK("mailto:"&amp;RADataTable[[#This Row],[allPIemail]]&amp;"&amp;subject=NSF Proposal:  "&amp;RADataTable[[#This Row],[Div]]&amp;" "&amp;RADataTable[[#This Row],[prop_id0]], "PIs@")</f>
        <v>PIs@</v>
      </c>
      <c r="Z67" t="s">
        <v>478</v>
      </c>
      <c r="AA67" t="s">
        <v>859</v>
      </c>
      <c r="AB67">
        <v>4</v>
      </c>
      <c r="AC67">
        <v>4</v>
      </c>
      <c r="AD67"/>
      <c r="AE67" s="21" t="str">
        <f>IF(RADataTable[[#This Row],[maxScore]]-RADataTable[[#This Row],[minScore]]&gt;4,"Y","")</f>
        <v/>
      </c>
      <c r="AF67" s="21">
        <v>6</v>
      </c>
      <c r="AG67" s="26">
        <v>6.75</v>
      </c>
      <c r="AH67">
        <v>8</v>
      </c>
      <c r="AI67" t="s">
        <v>567</v>
      </c>
      <c r="AJ67" s="30">
        <v>43030.96875</v>
      </c>
      <c r="AK67" s="13">
        <v>507459</v>
      </c>
      <c r="AL67" s="13">
        <v>507459</v>
      </c>
      <c r="AM67">
        <v>0</v>
      </c>
      <c r="AN67" s="30">
        <v>43282</v>
      </c>
      <c r="AO67" s="21">
        <v>60</v>
      </c>
      <c r="AP67" s="21" t="s">
        <v>1526</v>
      </c>
      <c r="AS67" s="30"/>
      <c r="AT67" t="s">
        <v>605</v>
      </c>
      <c r="AU67" s="21" t="s">
        <v>541</v>
      </c>
      <c r="AV67" s="21">
        <v>13</v>
      </c>
      <c r="AW67" s="21" t="s">
        <v>1847</v>
      </c>
      <c r="AX67" s="30">
        <v>43032</v>
      </c>
      <c r="AY67" s="21" t="s">
        <v>573</v>
      </c>
      <c r="AZ67" s="21" t="s">
        <v>1849</v>
      </c>
      <c r="BA67" s="21">
        <v>14</v>
      </c>
      <c r="BB67" s="21">
        <v>1</v>
      </c>
      <c r="BG67" s="30"/>
      <c r="BP67" s="30"/>
      <c r="BU67" t="s">
        <v>859</v>
      </c>
      <c r="BV67" s="21" t="s">
        <v>860</v>
      </c>
      <c r="BW67" s="21" t="s">
        <v>1524</v>
      </c>
      <c r="BX67" s="21" t="s">
        <v>1525</v>
      </c>
      <c r="BY67" s="31">
        <v>507459</v>
      </c>
      <c r="BZ67" s="31">
        <v>507459</v>
      </c>
      <c r="CA67" t="s">
        <v>1432</v>
      </c>
      <c r="CF67" s="31"/>
      <c r="CG67" s="31"/>
      <c r="CM67" s="31"/>
      <c r="CN67" s="31"/>
      <c r="CT67" s="31"/>
      <c r="CU67" s="31"/>
      <c r="CV67" s="31"/>
      <c r="DA67" s="31"/>
      <c r="DB67" s="31"/>
      <c r="DC67" s="31"/>
      <c r="DH67" s="31"/>
      <c r="DI67" s="31"/>
      <c r="DO67" s="31"/>
      <c r="DP67" s="31"/>
      <c r="DR67" t="s">
        <v>1850</v>
      </c>
      <c r="DS67" t="s">
        <v>479</v>
      </c>
      <c r="DT67" t="s">
        <v>583</v>
      </c>
      <c r="DU67" s="29" t="s">
        <v>1856</v>
      </c>
      <c r="DV67" t="s">
        <v>172</v>
      </c>
      <c r="DW67" t="s">
        <v>327</v>
      </c>
      <c r="DX67" t="s">
        <v>170</v>
      </c>
      <c r="DY67" t="s">
        <v>167</v>
      </c>
      <c r="DZ67" t="s">
        <v>168</v>
      </c>
      <c r="EA67" s="22">
        <v>43083.486793981479</v>
      </c>
      <c r="EB67" t="s">
        <v>1527</v>
      </c>
      <c r="EC67" t="s">
        <v>1893</v>
      </c>
    </row>
    <row r="68" spans="1:133" x14ac:dyDescent="0.4">
      <c r="A68" s="30"/>
      <c r="B68" s="22">
        <v>42935.54583333333</v>
      </c>
      <c r="C68" s="22" t="s">
        <v>1430</v>
      </c>
      <c r="D68" s="30" t="s">
        <v>477</v>
      </c>
      <c r="E68" s="30" t="s">
        <v>582</v>
      </c>
      <c r="F68" s="30" t="s">
        <v>169</v>
      </c>
      <c r="G68" s="30" t="s">
        <v>171</v>
      </c>
      <c r="H68" t="s">
        <v>94</v>
      </c>
      <c r="I68" t="s">
        <v>1431</v>
      </c>
      <c r="J68" t="s">
        <v>654</v>
      </c>
      <c r="K68" s="22">
        <v>43082.668912037036</v>
      </c>
      <c r="L68">
        <v>1</v>
      </c>
      <c r="M68" s="26">
        <v>3.13</v>
      </c>
      <c r="N68" t="s">
        <v>542</v>
      </c>
      <c r="Q68" s="29" t="s">
        <v>13</v>
      </c>
      <c r="R68" s="29" t="str">
        <f>IFERROR(MID(RADataTable[[#This Row],[RAtemplate]],1,LEN(RADataTable[[#This Row],[RAtemplate]])-8),"RA") &amp; " " &amp; RADataTable[[#This Row],[prop_id0]] &amp; " " &amp; RADataTable[[#This Row],[last0]]</f>
        <v>RA 1750463 Raghvendra</v>
      </c>
      <c r="U68" s="21" t="str">
        <f>IF(signer1="PD",IF(ISBLANK(RADataTable[[#This Row],[sign_blck_name]]),"",RADataTable[[#This Row],[sign_blck_name]]),IF(ISBLANK(signer1),"",signer1))</f>
        <v>Rahul Shah</v>
      </c>
      <c r="V68" s="29" t="str">
        <f>signer2</f>
        <v>Cognizant Program Director</v>
      </c>
      <c r="W68" s="15" t="str">
        <f>HYPERLINK("https://www.ejacket.nsf.gov/ej/showProposal.do?Continue=Y&amp;ID="&amp;RADataTable[[#This Row],[prop_id0]],"eJ")</f>
        <v>eJ</v>
      </c>
      <c r="X68" s="15" t="str">
        <f>HYPERLINK("mailto:"&amp;RADataTable[[#This Row],[email]]&amp;"&amp;subject=Your NSF Proposal:  "&amp;RADataTable[[#This Row],[Div]]&amp;" "&amp;RADataTable[[#This Row],[prop_id0]], RADataTable[[#This Row],[email]])</f>
        <v>sharathr@vt.edu</v>
      </c>
      <c r="Y68" s="15" t="str">
        <f>HYPERLINK("mailto:"&amp;RADataTable[[#This Row],[allPIemail]]&amp;"&amp;subject=NSF Proposal:  "&amp;RADataTable[[#This Row],[Div]]&amp;" "&amp;RADataTable[[#This Row],[prop_id0]], "PIs@")</f>
        <v>PIs@</v>
      </c>
      <c r="Z68" t="s">
        <v>478</v>
      </c>
      <c r="AA68" t="s">
        <v>927</v>
      </c>
      <c r="AB68">
        <v>4</v>
      </c>
      <c r="AD68"/>
      <c r="AE68" s="21" t="str">
        <f>IF(RADataTable[[#This Row],[maxScore]]-RADataTable[[#This Row],[minScore]]&gt;4,"Y","")</f>
        <v/>
      </c>
      <c r="AF68" s="21">
        <v>5</v>
      </c>
      <c r="AG68" s="26">
        <v>6.5</v>
      </c>
      <c r="AH68">
        <v>8</v>
      </c>
      <c r="AI68" t="s">
        <v>1551</v>
      </c>
      <c r="AJ68" s="30">
        <v>43032.486805555556</v>
      </c>
      <c r="AK68" s="13">
        <v>533991</v>
      </c>
      <c r="AL68" s="13">
        <v>533991</v>
      </c>
      <c r="AM68">
        <v>0</v>
      </c>
      <c r="AN68" s="30">
        <v>43110</v>
      </c>
      <c r="AO68" s="21">
        <v>60</v>
      </c>
      <c r="AP68" s="21" t="s">
        <v>1552</v>
      </c>
      <c r="AS68" s="30"/>
      <c r="AT68" t="s">
        <v>605</v>
      </c>
      <c r="AU68" s="21" t="s">
        <v>541</v>
      </c>
      <c r="AV68" s="21">
        <v>13</v>
      </c>
      <c r="AW68" s="21" t="s">
        <v>1847</v>
      </c>
      <c r="AX68" s="30">
        <v>43032</v>
      </c>
      <c r="AY68" s="21" t="s">
        <v>1904</v>
      </c>
      <c r="AZ68" s="21" t="s">
        <v>1849</v>
      </c>
      <c r="BA68" s="21">
        <v>14</v>
      </c>
      <c r="BB68" s="21">
        <v>2</v>
      </c>
      <c r="BG68" s="30"/>
      <c r="BP68" s="30"/>
      <c r="BU68" t="s">
        <v>927</v>
      </c>
      <c r="BV68" s="21" t="s">
        <v>928</v>
      </c>
      <c r="BW68" s="21" t="s">
        <v>1549</v>
      </c>
      <c r="BX68" s="21" t="s">
        <v>1550</v>
      </c>
      <c r="BY68" s="31">
        <v>533991</v>
      </c>
      <c r="BZ68" s="31">
        <v>533991</v>
      </c>
      <c r="CA68" t="s">
        <v>1432</v>
      </c>
      <c r="CF68" s="31"/>
      <c r="CG68" s="31"/>
      <c r="CM68" s="31"/>
      <c r="CN68" s="31"/>
      <c r="CT68" s="31"/>
      <c r="CU68" s="31"/>
      <c r="CV68" s="31"/>
      <c r="DA68" s="31"/>
      <c r="DB68" s="31"/>
      <c r="DC68" s="31"/>
      <c r="DH68" s="31"/>
      <c r="DI68" s="31"/>
      <c r="DO68" s="31"/>
      <c r="DP68" s="31"/>
      <c r="DR68" t="s">
        <v>1850</v>
      </c>
      <c r="DS68" t="s">
        <v>479</v>
      </c>
      <c r="DT68" t="s">
        <v>583</v>
      </c>
      <c r="DU68" s="29" t="s">
        <v>1856</v>
      </c>
      <c r="DV68" t="s">
        <v>172</v>
      </c>
      <c r="DW68" t="s">
        <v>327</v>
      </c>
      <c r="DX68" t="s">
        <v>170</v>
      </c>
      <c r="DY68" t="s">
        <v>167</v>
      </c>
      <c r="DZ68" t="s">
        <v>168</v>
      </c>
      <c r="EA68" s="22">
        <v>43083.486793981479</v>
      </c>
      <c r="EB68" t="s">
        <v>1553</v>
      </c>
      <c r="EC68" t="s">
        <v>1905</v>
      </c>
    </row>
    <row r="69" spans="1:133" x14ac:dyDescent="0.4">
      <c r="A69" s="30"/>
      <c r="B69" s="22">
        <v>42935.680555555555</v>
      </c>
      <c r="C69" s="22" t="s">
        <v>1430</v>
      </c>
      <c r="D69" s="30" t="s">
        <v>477</v>
      </c>
      <c r="E69" s="30" t="s">
        <v>582</v>
      </c>
      <c r="F69" s="30" t="s">
        <v>169</v>
      </c>
      <c r="G69" s="30" t="s">
        <v>171</v>
      </c>
      <c r="H69" t="s">
        <v>94</v>
      </c>
      <c r="I69" t="s">
        <v>1431</v>
      </c>
      <c r="J69" t="s">
        <v>604</v>
      </c>
      <c r="K69" s="22">
        <v>43082.668969907405</v>
      </c>
      <c r="L69">
        <v>1</v>
      </c>
      <c r="M69" s="26">
        <v>3.13</v>
      </c>
      <c r="N69" t="s">
        <v>542</v>
      </c>
      <c r="Q69" s="29" t="s">
        <v>13</v>
      </c>
      <c r="R69" s="29" t="str">
        <f>IFERROR(MID(RADataTable[[#This Row],[RAtemplate]],1,LEN(RADataTable[[#This Row],[RAtemplate]])-8),"RA") &amp; " " &amp; RADataTable[[#This Row],[prop_id0]] &amp; " " &amp; RADataTable[[#This Row],[last0]]</f>
        <v>RA 1751047 Gibson</v>
      </c>
      <c r="U69" s="21" t="str">
        <f>IF(signer1="PD",IF(ISBLANK(RADataTable[[#This Row],[sign_blck_name]]),"",RADataTable[[#This Row],[sign_blck_name]]),IF(ISBLANK(signer1),"",signer1))</f>
        <v>Jack Snoeyink</v>
      </c>
      <c r="V69" s="29" t="str">
        <f>signer2</f>
        <v>Cognizant Program Director</v>
      </c>
      <c r="W69" s="15" t="str">
        <f>HYPERLINK("https://www.ejacket.nsf.gov/ej/showProposal.do?Continue=Y&amp;ID="&amp;RADataTable[[#This Row],[prop_id0]],"eJ")</f>
        <v>eJ</v>
      </c>
      <c r="X69" s="15" t="str">
        <f>HYPERLINK("mailto:"&amp;RADataTable[[#This Row],[email]]&amp;"&amp;subject=Your NSF Proposal:  "&amp;RADataTable[[#This Row],[Div]]&amp;" "&amp;RADataTable[[#This Row],[prop_id0]], RADataTable[[#This Row],[email]])</f>
        <v>MATTHEW.GIBSON@UTSA.EDU</v>
      </c>
      <c r="Y69" s="15" t="str">
        <f>HYPERLINK("mailto:"&amp;RADataTable[[#This Row],[allPIemail]]&amp;"&amp;subject=NSF Proposal:  "&amp;RADataTable[[#This Row],[Div]]&amp;" "&amp;RADataTable[[#This Row],[prop_id0]], "PIs@")</f>
        <v>PIs@</v>
      </c>
      <c r="Z69" t="s">
        <v>478</v>
      </c>
      <c r="AA69" t="s">
        <v>1012</v>
      </c>
      <c r="AB69">
        <v>4</v>
      </c>
      <c r="AC69">
        <v>4</v>
      </c>
      <c r="AD69"/>
      <c r="AE69" s="21" t="str">
        <f>IF(RADataTable[[#This Row],[maxScore]]-RADataTable[[#This Row],[minScore]]&gt;4,"Y","")</f>
        <v/>
      </c>
      <c r="AF69" s="21">
        <v>3</v>
      </c>
      <c r="AG69" s="26">
        <v>4.75</v>
      </c>
      <c r="AH69">
        <v>7</v>
      </c>
      <c r="AI69" t="s">
        <v>1587</v>
      </c>
      <c r="AJ69" s="30">
        <v>43030.177777777775</v>
      </c>
      <c r="AK69" s="13">
        <v>415497</v>
      </c>
      <c r="AL69" s="13">
        <v>415497</v>
      </c>
      <c r="AM69">
        <v>0</v>
      </c>
      <c r="AN69" s="30">
        <v>43132</v>
      </c>
      <c r="AO69" s="21">
        <v>60</v>
      </c>
      <c r="AP69" s="21" t="s">
        <v>1588</v>
      </c>
      <c r="AS69" s="30"/>
      <c r="AT69" t="s">
        <v>605</v>
      </c>
      <c r="AU69" s="21" t="s">
        <v>541</v>
      </c>
      <c r="AV69" s="21">
        <v>13</v>
      </c>
      <c r="AW69" s="21" t="s">
        <v>1847</v>
      </c>
      <c r="AX69" s="30">
        <v>43032</v>
      </c>
      <c r="AY69" s="21" t="s">
        <v>1921</v>
      </c>
      <c r="AZ69" s="21" t="s">
        <v>1849</v>
      </c>
      <c r="BA69" s="21">
        <v>14</v>
      </c>
      <c r="BG69" s="30"/>
      <c r="BP69" s="30"/>
      <c r="BU69" t="s">
        <v>1012</v>
      </c>
      <c r="BV69" s="21" t="s">
        <v>1013</v>
      </c>
      <c r="BW69" s="21" t="s">
        <v>1585</v>
      </c>
      <c r="BX69" s="21" t="s">
        <v>1586</v>
      </c>
      <c r="BY69" s="31">
        <v>415497</v>
      </c>
      <c r="BZ69" s="31">
        <v>415497</v>
      </c>
      <c r="CA69" t="s">
        <v>1439</v>
      </c>
      <c r="CF69" s="31"/>
      <c r="CG69" s="31"/>
      <c r="CM69" s="31"/>
      <c r="CN69" s="31"/>
      <c r="CT69" s="31"/>
      <c r="CU69" s="31"/>
      <c r="CV69" s="31"/>
      <c r="DA69" s="31"/>
      <c r="DB69" s="31"/>
      <c r="DC69" s="31"/>
      <c r="DH69" s="31"/>
      <c r="DI69" s="31"/>
      <c r="DO69" s="31"/>
      <c r="DP69" s="31"/>
      <c r="DR69" t="s">
        <v>1850</v>
      </c>
      <c r="DS69" t="s">
        <v>479</v>
      </c>
      <c r="DT69" t="s">
        <v>583</v>
      </c>
      <c r="DU69" s="29" t="s">
        <v>1851</v>
      </c>
      <c r="DV69" t="s">
        <v>172</v>
      </c>
      <c r="DW69" t="s">
        <v>327</v>
      </c>
      <c r="DX69" t="s">
        <v>170</v>
      </c>
      <c r="DY69" t="s">
        <v>167</v>
      </c>
      <c r="DZ69" t="s">
        <v>168</v>
      </c>
      <c r="EA69" s="22">
        <v>43083.486793981479</v>
      </c>
      <c r="EB69" t="s">
        <v>1589</v>
      </c>
      <c r="EC69" t="s">
        <v>1922</v>
      </c>
    </row>
    <row r="70" spans="1:133" x14ac:dyDescent="0.4">
      <c r="A70" s="30"/>
      <c r="B70" s="22">
        <v>42935.851388888892</v>
      </c>
      <c r="C70" s="22" t="s">
        <v>1430</v>
      </c>
      <c r="D70" s="30" t="s">
        <v>477</v>
      </c>
      <c r="E70" s="30" t="s">
        <v>582</v>
      </c>
      <c r="F70" s="30" t="s">
        <v>169</v>
      </c>
      <c r="G70" s="30" t="s">
        <v>171</v>
      </c>
      <c r="H70" t="s">
        <v>94</v>
      </c>
      <c r="I70" t="s">
        <v>1431</v>
      </c>
      <c r="J70" t="s">
        <v>654</v>
      </c>
      <c r="K70" s="22">
        <v>43082.669027777774</v>
      </c>
      <c r="L70">
        <v>1</v>
      </c>
      <c r="M70" s="26">
        <v>3.13</v>
      </c>
      <c r="N70" t="s">
        <v>542</v>
      </c>
      <c r="Q70" s="29" t="s">
        <v>13</v>
      </c>
      <c r="R70" s="29" t="str">
        <f>IFERROR(MID(RADataTable[[#This Row],[RAtemplate]],1,LEN(RADataTable[[#This Row],[RAtemplate]])-8),"RA") &amp; " " &amp; RADataTable[[#This Row],[prop_id0]] &amp; " " &amp; RADataTable[[#This Row],[last0]]</f>
        <v>RA 1751416 Sitchinava</v>
      </c>
      <c r="U70" s="21" t="str">
        <f>IF(signer1="PD",IF(ISBLANK(RADataTable[[#This Row],[sign_blck_name]]),"",RADataTable[[#This Row],[sign_blck_name]]),IF(ISBLANK(signer1),"",signer1))</f>
        <v>Rahul Shah</v>
      </c>
      <c r="V70" s="29" t="str">
        <f>signer2</f>
        <v>Cognizant Program Director</v>
      </c>
      <c r="W70" s="15" t="str">
        <f>HYPERLINK("https://www.ejacket.nsf.gov/ej/showProposal.do?Continue=Y&amp;ID="&amp;RADataTable[[#This Row],[prop_id0]],"eJ")</f>
        <v>eJ</v>
      </c>
      <c r="X70" s="15" t="str">
        <f>HYPERLINK("mailto:"&amp;RADataTable[[#This Row],[email]]&amp;"&amp;subject=Your NSF Proposal:  "&amp;RADataTable[[#This Row],[Div]]&amp;" "&amp;RADataTable[[#This Row],[prop_id0]], RADataTable[[#This Row],[email]])</f>
        <v>nodari@hawaii.edu</v>
      </c>
      <c r="Y70" s="15" t="str">
        <f>HYPERLINK("mailto:"&amp;RADataTable[[#This Row],[allPIemail]]&amp;"&amp;subject=NSF Proposal:  "&amp;RADataTable[[#This Row],[Div]]&amp;" "&amp;RADataTable[[#This Row],[prop_id0]], "PIs@")</f>
        <v>PIs@</v>
      </c>
      <c r="Z70" t="s">
        <v>478</v>
      </c>
      <c r="AA70" t="s">
        <v>1082</v>
      </c>
      <c r="AB70">
        <v>4</v>
      </c>
      <c r="AD70"/>
      <c r="AE70" s="21" t="str">
        <f>IF(RADataTable[[#This Row],[maxScore]]-RADataTable[[#This Row],[minScore]]&gt;4,"Y","")</f>
        <v/>
      </c>
      <c r="AF70" s="21">
        <v>4</v>
      </c>
      <c r="AG70" s="26">
        <v>5.5</v>
      </c>
      <c r="AH70">
        <v>7</v>
      </c>
      <c r="AI70" t="s">
        <v>503</v>
      </c>
      <c r="AJ70" s="30">
        <v>43031.703472222223</v>
      </c>
      <c r="AK70" s="13">
        <v>549999</v>
      </c>
      <c r="AL70" s="13">
        <v>549999</v>
      </c>
      <c r="AM70">
        <v>0</v>
      </c>
      <c r="AN70" s="30">
        <v>43160</v>
      </c>
      <c r="AO70" s="21">
        <v>60</v>
      </c>
      <c r="AP70" s="21" t="s">
        <v>1619</v>
      </c>
      <c r="AS70" s="30"/>
      <c r="AT70" t="s">
        <v>605</v>
      </c>
      <c r="AU70" s="21" t="s">
        <v>541</v>
      </c>
      <c r="AV70" s="21">
        <v>13</v>
      </c>
      <c r="AW70" s="21" t="s">
        <v>1847</v>
      </c>
      <c r="AX70" s="30">
        <v>43032</v>
      </c>
      <c r="AY70" s="21" t="s">
        <v>1931</v>
      </c>
      <c r="AZ70" s="21" t="s">
        <v>1849</v>
      </c>
      <c r="BA70" s="21">
        <v>14</v>
      </c>
      <c r="BB70" s="21">
        <v>1</v>
      </c>
      <c r="BG70" s="30"/>
      <c r="BP70" s="30"/>
      <c r="BU70" t="s">
        <v>1082</v>
      </c>
      <c r="BV70" s="21" t="s">
        <v>1083</v>
      </c>
      <c r="BW70" s="21" t="s">
        <v>1617</v>
      </c>
      <c r="BX70" s="21" t="s">
        <v>1618</v>
      </c>
      <c r="BY70" s="31">
        <v>549999</v>
      </c>
      <c r="BZ70" s="31">
        <v>549999</v>
      </c>
      <c r="CA70" t="s">
        <v>1603</v>
      </c>
      <c r="CF70" s="31"/>
      <c r="CG70" s="31"/>
      <c r="CM70" s="31"/>
      <c r="CN70" s="31"/>
      <c r="CT70" s="31"/>
      <c r="CU70" s="31"/>
      <c r="CV70" s="31"/>
      <c r="DA70" s="31"/>
      <c r="DB70" s="31"/>
      <c r="DC70" s="31"/>
      <c r="DH70" s="31"/>
      <c r="DI70" s="31"/>
      <c r="DO70" s="31"/>
      <c r="DP70" s="31"/>
      <c r="DR70" t="s">
        <v>1850</v>
      </c>
      <c r="DS70" t="s">
        <v>479</v>
      </c>
      <c r="DT70" t="s">
        <v>583</v>
      </c>
      <c r="DU70" s="29" t="s">
        <v>1856</v>
      </c>
      <c r="DV70" t="s">
        <v>172</v>
      </c>
      <c r="DW70" t="s">
        <v>327</v>
      </c>
      <c r="DX70" t="s">
        <v>170</v>
      </c>
      <c r="DY70" t="s">
        <v>167</v>
      </c>
      <c r="DZ70" t="s">
        <v>168</v>
      </c>
      <c r="EA70" s="22">
        <v>43083.486793981479</v>
      </c>
      <c r="EB70" t="s">
        <v>1620</v>
      </c>
      <c r="EC70" t="s">
        <v>1932</v>
      </c>
    </row>
    <row r="71" spans="1:133" x14ac:dyDescent="0.4">
      <c r="A71" s="30"/>
      <c r="B71" s="22">
        <v>42934.806944444441</v>
      </c>
      <c r="C71" s="22" t="s">
        <v>1430</v>
      </c>
      <c r="D71" s="30" t="s">
        <v>477</v>
      </c>
      <c r="E71" s="30" t="s">
        <v>582</v>
      </c>
      <c r="F71" s="30" t="s">
        <v>169</v>
      </c>
      <c r="G71" s="30" t="s">
        <v>171</v>
      </c>
      <c r="H71" t="s">
        <v>94</v>
      </c>
      <c r="I71" t="s">
        <v>1431</v>
      </c>
      <c r="J71" t="s">
        <v>654</v>
      </c>
      <c r="K71" s="22">
        <v>43082.669074074074</v>
      </c>
      <c r="L71">
        <v>2</v>
      </c>
      <c r="M71" s="26">
        <v>3.18</v>
      </c>
      <c r="N71" t="s">
        <v>309</v>
      </c>
      <c r="O71" t="s">
        <v>542</v>
      </c>
      <c r="Q71" s="29" t="s">
        <v>13</v>
      </c>
      <c r="R71" s="29" t="str">
        <f>IFERROR(MID(RADataTable[[#This Row],[RAtemplate]],1,LEN(RADataTable[[#This Row],[RAtemplate]])-8),"RA") &amp; " " &amp; RADataTable[[#This Row],[prop_id0]] &amp; " " &amp; RADataTable[[#This Row],[last0]]</f>
        <v>RA 1750075 Razaviyayn</v>
      </c>
      <c r="U71" s="21" t="str">
        <f>IF(signer1="PD",IF(ISBLANK(RADataTable[[#This Row],[sign_blck_name]]),"",RADataTable[[#This Row],[sign_blck_name]]),IF(ISBLANK(signer1),"",signer1))</f>
        <v>Rahul Shah</v>
      </c>
      <c r="V71" s="29" t="str">
        <f>signer2</f>
        <v>Cognizant Program Director</v>
      </c>
      <c r="W71" s="15" t="str">
        <f>HYPERLINK("https://www.ejacket.nsf.gov/ej/showProposal.do?Continue=Y&amp;ID="&amp;RADataTable[[#This Row],[prop_id0]],"eJ")</f>
        <v>eJ</v>
      </c>
      <c r="X71" s="15" t="str">
        <f>HYPERLINK("mailto:"&amp;RADataTable[[#This Row],[email]]&amp;"&amp;subject=Your NSF Proposal:  "&amp;RADataTable[[#This Row],[Div]]&amp;" "&amp;RADataTable[[#This Row],[prop_id0]], RADataTable[[#This Row],[email]])</f>
        <v>razaviya@usc.edu</v>
      </c>
      <c r="Y71" s="15" t="str">
        <f>HYPERLINK("mailto:"&amp;RADataTable[[#This Row],[allPIemail]]&amp;"&amp;subject=NSF Proposal:  "&amp;RADataTable[[#This Row],[Div]]&amp;" "&amp;RADataTable[[#This Row],[prop_id0]], "PIs@")</f>
        <v>PIs@</v>
      </c>
      <c r="Z71" t="s">
        <v>478</v>
      </c>
      <c r="AA71" t="s">
        <v>791</v>
      </c>
      <c r="AB71">
        <v>9</v>
      </c>
      <c r="AC71">
        <v>5</v>
      </c>
      <c r="AD71"/>
      <c r="AE71" s="21" t="str">
        <f>IF(RADataTable[[#This Row],[maxScore]]-RADataTable[[#This Row],[minScore]]&gt;4,"Y","")</f>
        <v/>
      </c>
      <c r="AF71" s="21">
        <v>3</v>
      </c>
      <c r="AG71" s="26">
        <v>4.666666666666667</v>
      </c>
      <c r="AH71">
        <v>7</v>
      </c>
      <c r="AI71" t="s">
        <v>1502</v>
      </c>
      <c r="AJ71" s="30">
        <v>43059.886111111111</v>
      </c>
      <c r="AK71" s="13">
        <v>539673</v>
      </c>
      <c r="AL71" s="13">
        <v>539673</v>
      </c>
      <c r="AM71">
        <v>0</v>
      </c>
      <c r="AN71" s="30">
        <v>43236</v>
      </c>
      <c r="AO71" s="21">
        <v>60</v>
      </c>
      <c r="AP71" s="21" t="s">
        <v>1503</v>
      </c>
      <c r="AQ71">
        <v>1</v>
      </c>
      <c r="AR71" t="s">
        <v>504</v>
      </c>
      <c r="AS71" s="30">
        <v>43037.776388888888</v>
      </c>
      <c r="AT71" t="s">
        <v>714</v>
      </c>
      <c r="AU71" s="21" t="s">
        <v>546</v>
      </c>
      <c r="AV71" s="21">
        <v>18</v>
      </c>
      <c r="AW71" s="21" t="s">
        <v>1866</v>
      </c>
      <c r="AX71" s="30">
        <v>43060</v>
      </c>
      <c r="AY71" s="21" t="s">
        <v>1881</v>
      </c>
      <c r="AZ71" s="21" t="s">
        <v>1868</v>
      </c>
      <c r="BA71" s="21">
        <v>12</v>
      </c>
      <c r="BC71" s="21" t="s">
        <v>795</v>
      </c>
      <c r="BD71" s="21" t="s">
        <v>541</v>
      </c>
      <c r="BF71" s="21" t="s">
        <v>1882</v>
      </c>
      <c r="BG71" s="30">
        <v>43060</v>
      </c>
      <c r="BH71" s="21" t="s">
        <v>1883</v>
      </c>
      <c r="BI71" s="21" t="s">
        <v>1884</v>
      </c>
      <c r="BJ71" s="21">
        <v>6</v>
      </c>
      <c r="BP71" s="30"/>
      <c r="BU71" t="s">
        <v>791</v>
      </c>
      <c r="BV71" s="21" t="s">
        <v>792</v>
      </c>
      <c r="BW71" s="21" t="s">
        <v>1500</v>
      </c>
      <c r="BX71" s="21" t="s">
        <v>1501</v>
      </c>
      <c r="BY71" s="31">
        <v>539673</v>
      </c>
      <c r="BZ71" s="31">
        <v>539673</v>
      </c>
      <c r="CA71" t="s">
        <v>1432</v>
      </c>
      <c r="CF71" s="31"/>
      <c r="CG71" s="31"/>
      <c r="CM71" s="31"/>
      <c r="CN71" s="31"/>
      <c r="CT71" s="31"/>
      <c r="CU71" s="31"/>
      <c r="CV71" s="31"/>
      <c r="DA71" s="31"/>
      <c r="DB71" s="31"/>
      <c r="DC71" s="31"/>
      <c r="DH71" s="31"/>
      <c r="DI71" s="31"/>
      <c r="DO71" s="31"/>
      <c r="DP71" s="31"/>
      <c r="DR71" t="s">
        <v>1850</v>
      </c>
      <c r="DS71" t="s">
        <v>479</v>
      </c>
      <c r="DT71" t="s">
        <v>583</v>
      </c>
      <c r="DU71" s="29" t="s">
        <v>1856</v>
      </c>
      <c r="DV71" t="s">
        <v>172</v>
      </c>
      <c r="DW71" t="s">
        <v>327</v>
      </c>
      <c r="DX71" t="s">
        <v>170</v>
      </c>
      <c r="DY71" t="s">
        <v>167</v>
      </c>
      <c r="DZ71" t="s">
        <v>168</v>
      </c>
      <c r="EA71" s="22">
        <v>43083.486793981479</v>
      </c>
      <c r="EB71" t="s">
        <v>1504</v>
      </c>
      <c r="EC71" t="s">
        <v>1885</v>
      </c>
    </row>
    <row r="72" spans="1:133" x14ac:dyDescent="0.4">
      <c r="A72" s="30"/>
      <c r="B72" s="22">
        <v>42954.500694444447</v>
      </c>
      <c r="C72" s="22" t="s">
        <v>1621</v>
      </c>
      <c r="D72" s="30" t="s">
        <v>477</v>
      </c>
      <c r="E72" s="30" t="s">
        <v>578</v>
      </c>
      <c r="F72" s="30" t="s">
        <v>169</v>
      </c>
      <c r="G72" s="30" t="s">
        <v>171</v>
      </c>
      <c r="H72" t="s">
        <v>94</v>
      </c>
      <c r="I72" t="s">
        <v>1630</v>
      </c>
      <c r="J72" t="s">
        <v>654</v>
      </c>
      <c r="K72" s="22">
        <v>43082.669131944444</v>
      </c>
      <c r="L72">
        <v>1</v>
      </c>
      <c r="M72" s="26">
        <v>4.05</v>
      </c>
      <c r="N72" t="s">
        <v>309</v>
      </c>
      <c r="Q72" s="29" t="s">
        <v>13</v>
      </c>
      <c r="R72" s="29" t="str">
        <f>IFERROR(MID(RADataTable[[#This Row],[RAtemplate]],1,LEN(RADataTable[[#This Row],[RAtemplate]])-8),"RA") &amp; " " &amp; RADataTable[[#This Row],[prop_id0]] &amp; " " &amp; RADataTable[[#This Row],[last0]]</f>
        <v>RA 1755481 Wang</v>
      </c>
      <c r="U72" s="21" t="str">
        <f>IF(signer1="PD",IF(ISBLANK(RADataTable[[#This Row],[sign_blck_name]]),"",RADataTable[[#This Row],[sign_blck_name]]),IF(ISBLANK(signer1),"",signer1))</f>
        <v>Rahul Shah</v>
      </c>
      <c r="V72" s="29" t="str">
        <f>signer2</f>
        <v>Cognizant Program Director</v>
      </c>
      <c r="W72" s="15" t="str">
        <f>HYPERLINK("https://www.ejacket.nsf.gov/ej/showProposal.do?Continue=Y&amp;ID="&amp;RADataTable[[#This Row],[prop_id0]],"eJ")</f>
        <v>eJ</v>
      </c>
      <c r="X72" s="15" t="str">
        <f>HYPERLINK("mailto:"&amp;RADataTable[[#This Row],[email]]&amp;"&amp;subject=Your NSF Proposal:  "&amp;RADataTable[[#This Row],[Div]]&amp;" "&amp;RADataTable[[#This Row],[prop_id0]], RADataTable[[#This Row],[email]])</f>
        <v>kwang@georgiasouthern.edu</v>
      </c>
      <c r="Y72" s="15" t="str">
        <f>HYPERLINK("mailto:"&amp;RADataTable[[#This Row],[allPIemail]]&amp;"&amp;subject=NSF Proposal:  "&amp;RADataTable[[#This Row],[Div]]&amp;" "&amp;RADataTable[[#This Row],[prop_id0]], "PIs@")</f>
        <v>PIs@</v>
      </c>
      <c r="Z72" t="s">
        <v>478</v>
      </c>
      <c r="AA72" t="s">
        <v>1126</v>
      </c>
      <c r="AB72">
        <v>4</v>
      </c>
      <c r="AD72"/>
      <c r="AE72" s="21" t="str">
        <f>IF(RADataTable[[#This Row],[maxScore]]-RADataTable[[#This Row],[minScore]]&gt;4,"Y","")</f>
        <v/>
      </c>
      <c r="AF72" s="21">
        <v>3</v>
      </c>
      <c r="AG72" s="26">
        <v>3.25</v>
      </c>
      <c r="AH72">
        <v>4</v>
      </c>
      <c r="AI72" t="s">
        <v>1639</v>
      </c>
      <c r="AJ72" s="30">
        <v>43031.775694444441</v>
      </c>
      <c r="AK72" s="13">
        <v>168126</v>
      </c>
      <c r="AL72" s="13">
        <v>168126</v>
      </c>
      <c r="AM72">
        <v>0</v>
      </c>
      <c r="AN72" s="30">
        <v>43101</v>
      </c>
      <c r="AO72" s="21">
        <v>24</v>
      </c>
      <c r="AP72" s="21" t="s">
        <v>1640</v>
      </c>
      <c r="AS72" s="30"/>
      <c r="AT72" t="s">
        <v>605</v>
      </c>
      <c r="AU72" s="21" t="s">
        <v>546</v>
      </c>
      <c r="AV72" s="21">
        <v>5</v>
      </c>
      <c r="AW72" s="21" t="s">
        <v>1847</v>
      </c>
      <c r="AX72" s="30">
        <v>43032</v>
      </c>
      <c r="AY72" s="21" t="s">
        <v>1941</v>
      </c>
      <c r="AZ72" s="21" t="s">
        <v>1849</v>
      </c>
      <c r="BA72" s="21">
        <v>14</v>
      </c>
      <c r="BG72" s="30"/>
      <c r="BP72" s="30"/>
      <c r="BU72" t="s">
        <v>1126</v>
      </c>
      <c r="BV72" s="21" t="s">
        <v>631</v>
      </c>
      <c r="BW72" s="21" t="s">
        <v>1638</v>
      </c>
      <c r="BX72" s="21" t="s">
        <v>1634</v>
      </c>
      <c r="BY72" s="31">
        <v>168126</v>
      </c>
      <c r="BZ72" s="31">
        <v>168126</v>
      </c>
      <c r="CA72" t="s">
        <v>1631</v>
      </c>
      <c r="CF72" s="31"/>
      <c r="CG72" s="31"/>
      <c r="CM72" s="31"/>
      <c r="CN72" s="31"/>
      <c r="CT72" s="31"/>
      <c r="CU72" s="31"/>
      <c r="CV72" s="31"/>
      <c r="DA72" s="31"/>
      <c r="DB72" s="31"/>
      <c r="DC72" s="31"/>
      <c r="DH72" s="31"/>
      <c r="DI72" s="31"/>
      <c r="DO72" s="31"/>
      <c r="DP72" s="31"/>
      <c r="DR72" t="s">
        <v>1936</v>
      </c>
      <c r="DS72" t="s">
        <v>479</v>
      </c>
      <c r="DT72" t="s">
        <v>579</v>
      </c>
      <c r="DU72" s="29" t="s">
        <v>1856</v>
      </c>
      <c r="DV72" t="s">
        <v>172</v>
      </c>
      <c r="DW72" t="s">
        <v>327</v>
      </c>
      <c r="DX72" t="s">
        <v>170</v>
      </c>
      <c r="DY72" t="s">
        <v>167</v>
      </c>
      <c r="DZ72" t="s">
        <v>168</v>
      </c>
      <c r="EA72" s="22">
        <v>43083.486793981479</v>
      </c>
      <c r="EB72" t="s">
        <v>1641</v>
      </c>
      <c r="EC72" t="s">
        <v>1942</v>
      </c>
    </row>
    <row r="73" spans="1:133" x14ac:dyDescent="0.4">
      <c r="A73" s="30"/>
      <c r="B73" s="22">
        <v>42956.647916666669</v>
      </c>
      <c r="C73" s="22" t="s">
        <v>1621</v>
      </c>
      <c r="D73" s="30" t="s">
        <v>477</v>
      </c>
      <c r="E73" s="30" t="s">
        <v>578</v>
      </c>
      <c r="F73" s="30" t="s">
        <v>169</v>
      </c>
      <c r="G73" s="30" t="s">
        <v>171</v>
      </c>
      <c r="H73" t="s">
        <v>94</v>
      </c>
      <c r="I73" t="s">
        <v>1630</v>
      </c>
      <c r="J73" t="s">
        <v>604</v>
      </c>
      <c r="K73" s="22">
        <v>43082.669189814813</v>
      </c>
      <c r="L73">
        <v>1</v>
      </c>
      <c r="M73" s="26">
        <v>4.05</v>
      </c>
      <c r="N73" t="s">
        <v>309</v>
      </c>
      <c r="Q73" s="29" t="s">
        <v>13</v>
      </c>
      <c r="R73" s="29" t="str">
        <f>IFERROR(MID(RADataTable[[#This Row],[RAtemplate]],1,LEN(RADataTable[[#This Row],[RAtemplate]])-8),"RA") &amp; " " &amp; RADataTable[[#This Row],[prop_id0]] &amp; " " &amp; RADataTable[[#This Row],[last0]]</f>
        <v>RA 1755881 San</v>
      </c>
      <c r="U73" s="21" t="str">
        <f>IF(signer1="PD",IF(ISBLANK(RADataTable[[#This Row],[sign_blck_name]]),"",RADataTable[[#This Row],[sign_blck_name]]),IF(ISBLANK(signer1),"",signer1))</f>
        <v>Jack Snoeyink</v>
      </c>
      <c r="V73" s="29" t="str">
        <f>signer2</f>
        <v>Cognizant Program Director</v>
      </c>
      <c r="W73" s="15" t="str">
        <f>HYPERLINK("https://www.ejacket.nsf.gov/ej/showProposal.do?Continue=Y&amp;ID="&amp;RADataTable[[#This Row],[prop_id0]],"eJ")</f>
        <v>eJ</v>
      </c>
      <c r="X73" s="15" t="str">
        <f>HYPERLINK("mailto:"&amp;RADataTable[[#This Row],[email]]&amp;"&amp;subject=Your NSF Proposal:  "&amp;RADataTable[[#This Row],[Div]]&amp;" "&amp;RADataTable[[#This Row],[prop_id0]], RADataTable[[#This Row],[email]])</f>
        <v>osan@okstate.edu</v>
      </c>
      <c r="Y73" s="15" t="str">
        <f>HYPERLINK("mailto:"&amp;RADataTable[[#This Row],[allPIemail]]&amp;"&amp;subject=NSF Proposal:  "&amp;RADataTable[[#This Row],[Div]]&amp;" "&amp;RADataTable[[#This Row],[prop_id0]], "PIs@")</f>
        <v>PIs@</v>
      </c>
      <c r="Z73" t="s">
        <v>478</v>
      </c>
      <c r="AA73" t="s">
        <v>1201</v>
      </c>
      <c r="AB73">
        <v>3</v>
      </c>
      <c r="AC73">
        <v>3</v>
      </c>
      <c r="AD73"/>
      <c r="AE73" s="21" t="str">
        <f>IF(RADataTable[[#This Row],[maxScore]]-RADataTable[[#This Row],[minScore]]&gt;4,"Y","")</f>
        <v>Y</v>
      </c>
      <c r="AF73" s="21">
        <v>3</v>
      </c>
      <c r="AG73" s="26">
        <v>5.333333333333333</v>
      </c>
      <c r="AH73">
        <v>8</v>
      </c>
      <c r="AI73" t="s">
        <v>1673</v>
      </c>
      <c r="AJ73" s="30">
        <v>43031.741666666669</v>
      </c>
      <c r="AK73" s="13">
        <v>170144</v>
      </c>
      <c r="AL73" s="13">
        <v>170144</v>
      </c>
      <c r="AM73">
        <v>0</v>
      </c>
      <c r="AN73" s="30">
        <v>43252</v>
      </c>
      <c r="AO73" s="21">
        <v>24</v>
      </c>
      <c r="AP73" s="21" t="s">
        <v>1674</v>
      </c>
      <c r="AS73" s="30"/>
      <c r="AT73" t="s">
        <v>605</v>
      </c>
      <c r="AU73" s="21" t="s">
        <v>546</v>
      </c>
      <c r="AV73" s="21">
        <v>5</v>
      </c>
      <c r="AW73" s="21" t="s">
        <v>1847</v>
      </c>
      <c r="AX73" s="30">
        <v>43032</v>
      </c>
      <c r="AY73" s="21" t="s">
        <v>1959</v>
      </c>
      <c r="AZ73" s="21" t="s">
        <v>1849</v>
      </c>
      <c r="BA73" s="21">
        <v>14</v>
      </c>
      <c r="BG73" s="30"/>
      <c r="BP73" s="30"/>
      <c r="BU73" t="s">
        <v>1201</v>
      </c>
      <c r="BV73" s="21" t="s">
        <v>1202</v>
      </c>
      <c r="BW73" s="21" t="s">
        <v>1671</v>
      </c>
      <c r="BX73" s="21" t="s">
        <v>1672</v>
      </c>
      <c r="BY73" s="31">
        <v>170144</v>
      </c>
      <c r="BZ73" s="31">
        <v>170144</v>
      </c>
      <c r="CA73" t="s">
        <v>1670</v>
      </c>
      <c r="CF73" s="31"/>
      <c r="CG73" s="31"/>
      <c r="CM73" s="31"/>
      <c r="CN73" s="31"/>
      <c r="CT73" s="31"/>
      <c r="CU73" s="31"/>
      <c r="CV73" s="31"/>
      <c r="DA73" s="31"/>
      <c r="DB73" s="31"/>
      <c r="DC73" s="31"/>
      <c r="DH73" s="31"/>
      <c r="DI73" s="31"/>
      <c r="DO73" s="31"/>
      <c r="DP73" s="31"/>
      <c r="DR73" t="s">
        <v>1936</v>
      </c>
      <c r="DS73" t="s">
        <v>479</v>
      </c>
      <c r="DT73" t="s">
        <v>579</v>
      </c>
      <c r="DU73" s="29" t="s">
        <v>1851</v>
      </c>
      <c r="DV73" t="s">
        <v>172</v>
      </c>
      <c r="DW73" t="s">
        <v>327</v>
      </c>
      <c r="DX73" t="s">
        <v>170</v>
      </c>
      <c r="DY73" t="s">
        <v>167</v>
      </c>
      <c r="DZ73" t="s">
        <v>168</v>
      </c>
      <c r="EA73" s="22">
        <v>43083.486793981479</v>
      </c>
      <c r="EB73" t="s">
        <v>1675</v>
      </c>
      <c r="EC73" t="s">
        <v>1960</v>
      </c>
    </row>
    <row r="74" spans="1:133" x14ac:dyDescent="0.4">
      <c r="A74" s="30"/>
      <c r="B74" s="22">
        <v>42956.697222222225</v>
      </c>
      <c r="C74" s="22" t="s">
        <v>1621</v>
      </c>
      <c r="D74" s="30" t="s">
        <v>477</v>
      </c>
      <c r="E74" s="30" t="s">
        <v>578</v>
      </c>
      <c r="F74" s="30" t="s">
        <v>169</v>
      </c>
      <c r="G74" s="30" t="s">
        <v>171</v>
      </c>
      <c r="H74" t="s">
        <v>94</v>
      </c>
      <c r="I74" t="s">
        <v>1630</v>
      </c>
      <c r="J74" t="s">
        <v>604</v>
      </c>
      <c r="K74" s="22">
        <v>43076.608877314815</v>
      </c>
      <c r="L74">
        <v>1</v>
      </c>
      <c r="M74" s="26">
        <v>4.05</v>
      </c>
      <c r="N74" t="s">
        <v>309</v>
      </c>
      <c r="Q74" s="29" t="s">
        <v>13</v>
      </c>
      <c r="R74" s="29" t="str">
        <f>IFERROR(MID(RADataTable[[#This Row],[RAtemplate]],1,LEN(RADataTable[[#This Row],[RAtemplate]])-8),"RA") &amp; " " &amp; RADataTable[[#This Row],[prop_id0]] &amp; " " &amp; RADataTable[[#This Row],[last0]]</f>
        <v>RA 1755954 Hajimirza</v>
      </c>
      <c r="U74" s="21" t="str">
        <f>IF(signer1="PD",IF(ISBLANK(RADataTable[[#This Row],[sign_blck_name]]),"",RADataTable[[#This Row],[sign_blck_name]]),IF(ISBLANK(signer1),"",signer1))</f>
        <v>Jack Snoeyink</v>
      </c>
      <c r="V74" s="29" t="str">
        <f>signer2</f>
        <v>Cognizant Program Director</v>
      </c>
      <c r="W74" s="15" t="str">
        <f>HYPERLINK("https://www.ejacket.nsf.gov/ej/showProposal.do?Continue=Y&amp;ID="&amp;RADataTable[[#This Row],[prop_id0]],"eJ")</f>
        <v>eJ</v>
      </c>
      <c r="X74" s="15" t="str">
        <f>HYPERLINK("mailto:"&amp;RADataTable[[#This Row],[email]]&amp;"&amp;subject=Your NSF Proposal:  "&amp;RADataTable[[#This Row],[Div]]&amp;" "&amp;RADataTable[[#This Row],[prop_id0]], RADataTable[[#This Row],[email]])</f>
        <v>shima.hm@tamu.edu</v>
      </c>
      <c r="Y74" s="15" t="str">
        <f>HYPERLINK("mailto:"&amp;RADataTable[[#This Row],[allPIemail]]&amp;"&amp;subject=NSF Proposal:  "&amp;RADataTable[[#This Row],[Div]]&amp;" "&amp;RADataTable[[#This Row],[prop_id0]], "PIs@")</f>
        <v>PIs@</v>
      </c>
      <c r="Z74" t="s">
        <v>478</v>
      </c>
      <c r="AA74" t="s">
        <v>1232</v>
      </c>
      <c r="AB74">
        <v>3</v>
      </c>
      <c r="AC74">
        <v>3</v>
      </c>
      <c r="AD74"/>
      <c r="AE74" s="21" t="str">
        <f>IF(RADataTable[[#This Row],[maxScore]]-RADataTable[[#This Row],[minScore]]&gt;4,"Y","")</f>
        <v/>
      </c>
      <c r="AF74" s="21">
        <v>4</v>
      </c>
      <c r="AG74" s="26">
        <v>5.333333333333333</v>
      </c>
      <c r="AH74">
        <v>7</v>
      </c>
      <c r="AI74" t="s">
        <v>1691</v>
      </c>
      <c r="AJ74" s="30">
        <v>43032.675694444442</v>
      </c>
      <c r="AK74" s="13">
        <v>175000</v>
      </c>
      <c r="AL74" s="13">
        <v>175000</v>
      </c>
      <c r="AM74">
        <v>0</v>
      </c>
      <c r="AN74" s="30">
        <v>43252</v>
      </c>
      <c r="AO74" s="21">
        <v>24</v>
      </c>
      <c r="AP74" s="21" t="s">
        <v>1692</v>
      </c>
      <c r="AS74" s="30"/>
      <c r="AT74" t="s">
        <v>605</v>
      </c>
      <c r="AU74" s="21" t="s">
        <v>546</v>
      </c>
      <c r="AV74" s="21">
        <v>5</v>
      </c>
      <c r="AW74" s="21" t="s">
        <v>1847</v>
      </c>
      <c r="AX74" s="30">
        <v>43032</v>
      </c>
      <c r="AY74" s="21" t="s">
        <v>1966</v>
      </c>
      <c r="AZ74" s="21" t="s">
        <v>1849</v>
      </c>
      <c r="BA74" s="21">
        <v>14</v>
      </c>
      <c r="BG74" s="30"/>
      <c r="BP74" s="30"/>
      <c r="BU74" t="s">
        <v>1232</v>
      </c>
      <c r="BV74" s="21" t="s">
        <v>1233</v>
      </c>
      <c r="BW74" s="21" t="s">
        <v>1689</v>
      </c>
      <c r="BX74" s="21" t="s">
        <v>1690</v>
      </c>
      <c r="BY74" s="31">
        <v>175000</v>
      </c>
      <c r="BZ74" s="31">
        <v>175000</v>
      </c>
      <c r="CA74" t="s">
        <v>1665</v>
      </c>
      <c r="CF74" s="31"/>
      <c r="CG74" s="31"/>
      <c r="CM74" s="31"/>
      <c r="CN74" s="31"/>
      <c r="CT74" s="31"/>
      <c r="CU74" s="31"/>
      <c r="CV74" s="31"/>
      <c r="DA74" s="31"/>
      <c r="DB74" s="31"/>
      <c r="DC74" s="31"/>
      <c r="DH74" s="31"/>
      <c r="DI74" s="31"/>
      <c r="DO74" s="31"/>
      <c r="DP74" s="31"/>
      <c r="DR74" t="s">
        <v>1936</v>
      </c>
      <c r="DS74" t="s">
        <v>479</v>
      </c>
      <c r="DT74" t="s">
        <v>579</v>
      </c>
      <c r="DU74" s="29" t="s">
        <v>1851</v>
      </c>
      <c r="DV74" t="s">
        <v>172</v>
      </c>
      <c r="DW74" t="s">
        <v>327</v>
      </c>
      <c r="DX74" t="s">
        <v>170</v>
      </c>
      <c r="DY74" t="s">
        <v>167</v>
      </c>
      <c r="DZ74" t="s">
        <v>168</v>
      </c>
      <c r="EA74" s="22">
        <v>43083.486793981479</v>
      </c>
      <c r="EB74" t="s">
        <v>1693</v>
      </c>
      <c r="EC74" t="s">
        <v>1967</v>
      </c>
    </row>
    <row r="75" spans="1:133" x14ac:dyDescent="0.4">
      <c r="A75" s="30"/>
      <c r="B75" s="22">
        <v>42956.717361111114</v>
      </c>
      <c r="C75" s="22" t="s">
        <v>1621</v>
      </c>
      <c r="D75" s="30" t="s">
        <v>477</v>
      </c>
      <c r="E75" s="30" t="s">
        <v>578</v>
      </c>
      <c r="F75" s="30" t="s">
        <v>169</v>
      </c>
      <c r="G75" s="30" t="s">
        <v>171</v>
      </c>
      <c r="H75" t="s">
        <v>94</v>
      </c>
      <c r="I75" t="s">
        <v>1630</v>
      </c>
      <c r="J75" t="s">
        <v>604</v>
      </c>
      <c r="K75" s="22">
        <v>43076.608923611115</v>
      </c>
      <c r="L75">
        <v>1</v>
      </c>
      <c r="M75" s="26">
        <v>4.05</v>
      </c>
      <c r="N75" t="s">
        <v>309</v>
      </c>
      <c r="Q75" s="29" t="s">
        <v>13</v>
      </c>
      <c r="R75" s="29" t="str">
        <f>IFERROR(MID(RADataTable[[#This Row],[RAtemplate]],1,LEN(RADataTable[[#This Row],[RAtemplate]])-8),"RA") &amp; " " &amp; RADataTable[[#This Row],[prop_id0]] &amp; " " &amp; RADataTable[[#This Row],[last0]]</f>
        <v>RA 1755978 Gangammanavar</v>
      </c>
      <c r="U75" s="21" t="str">
        <f>IF(signer1="PD",IF(ISBLANK(RADataTable[[#This Row],[sign_blck_name]]),"",RADataTable[[#This Row],[sign_blck_name]]),IF(ISBLANK(signer1),"",signer1))</f>
        <v>Jack Snoeyink</v>
      </c>
      <c r="V75" s="29" t="str">
        <f>signer2</f>
        <v>Cognizant Program Director</v>
      </c>
      <c r="W75" s="15" t="str">
        <f>HYPERLINK("https://www.ejacket.nsf.gov/ej/showProposal.do?Continue=Y&amp;ID="&amp;RADataTable[[#This Row],[prop_id0]],"eJ")</f>
        <v>eJ</v>
      </c>
      <c r="X75" s="15" t="str">
        <f>HYPERLINK("mailto:"&amp;RADataTable[[#This Row],[email]]&amp;"&amp;subject=Your NSF Proposal:  "&amp;RADataTable[[#This Row],[Div]]&amp;" "&amp;RADataTable[[#This Row],[prop_id0]], RADataTable[[#This Row],[email]])</f>
        <v>harsha@smu.edu</v>
      </c>
      <c r="Y75" s="15" t="str">
        <f>HYPERLINK("mailto:"&amp;RADataTable[[#This Row],[allPIemail]]&amp;"&amp;subject=NSF Proposal:  "&amp;RADataTable[[#This Row],[Div]]&amp;" "&amp;RADataTable[[#This Row],[prop_id0]], "PIs@")</f>
        <v>PIs@</v>
      </c>
      <c r="Z75" t="s">
        <v>478</v>
      </c>
      <c r="AA75" t="s">
        <v>1247</v>
      </c>
      <c r="AB75">
        <v>3</v>
      </c>
      <c r="AC75">
        <v>3</v>
      </c>
      <c r="AD75"/>
      <c r="AE75" s="21" t="str">
        <f>IF(RADataTable[[#This Row],[maxScore]]-RADataTable[[#This Row],[minScore]]&gt;4,"Y","")</f>
        <v/>
      </c>
      <c r="AF75" s="21">
        <v>3</v>
      </c>
      <c r="AG75" s="26">
        <v>4.666666666666667</v>
      </c>
      <c r="AH75">
        <v>6</v>
      </c>
      <c r="AI75" t="s">
        <v>1697</v>
      </c>
      <c r="AJ75" s="30">
        <v>43031.75</v>
      </c>
      <c r="AK75" s="13">
        <v>175000</v>
      </c>
      <c r="AL75" s="13">
        <v>175000</v>
      </c>
      <c r="AM75">
        <v>0</v>
      </c>
      <c r="AN75" s="30">
        <v>43101</v>
      </c>
      <c r="AO75" s="21">
        <v>24</v>
      </c>
      <c r="AP75" s="21" t="s">
        <v>1698</v>
      </c>
      <c r="AS75" s="30"/>
      <c r="AT75" t="s">
        <v>605</v>
      </c>
      <c r="AU75" s="21" t="s">
        <v>546</v>
      </c>
      <c r="AV75" s="21">
        <v>5</v>
      </c>
      <c r="AW75" s="21" t="s">
        <v>1847</v>
      </c>
      <c r="AX75" s="30">
        <v>43032</v>
      </c>
      <c r="AY75" s="21" t="s">
        <v>1968</v>
      </c>
      <c r="AZ75" s="21" t="s">
        <v>1849</v>
      </c>
      <c r="BA75" s="21">
        <v>14</v>
      </c>
      <c r="BG75" s="30"/>
      <c r="BP75" s="30"/>
      <c r="BU75" t="s">
        <v>1247</v>
      </c>
      <c r="BV75" s="21" t="s">
        <v>1248</v>
      </c>
      <c r="BW75" s="21" t="s">
        <v>1695</v>
      </c>
      <c r="BX75" s="21" t="s">
        <v>1696</v>
      </c>
      <c r="BY75" s="31">
        <v>175000</v>
      </c>
      <c r="BZ75" s="31">
        <v>175000</v>
      </c>
      <c r="CA75" t="s">
        <v>598</v>
      </c>
      <c r="CF75" s="31"/>
      <c r="CG75" s="31"/>
      <c r="CM75" s="31"/>
      <c r="CN75" s="31"/>
      <c r="CT75" s="31"/>
      <c r="CU75" s="31"/>
      <c r="CV75" s="31"/>
      <c r="DA75" s="31"/>
      <c r="DB75" s="31"/>
      <c r="DC75" s="31"/>
      <c r="DH75" s="31"/>
      <c r="DI75" s="31"/>
      <c r="DO75" s="31"/>
      <c r="DP75" s="31"/>
      <c r="DR75" t="s">
        <v>1936</v>
      </c>
      <c r="DS75" t="s">
        <v>479</v>
      </c>
      <c r="DT75" t="s">
        <v>579</v>
      </c>
      <c r="DU75" s="29" t="s">
        <v>1851</v>
      </c>
      <c r="DV75" t="s">
        <v>172</v>
      </c>
      <c r="DW75" t="s">
        <v>327</v>
      </c>
      <c r="DX75" t="s">
        <v>170</v>
      </c>
      <c r="DY75" t="s">
        <v>167</v>
      </c>
      <c r="DZ75" t="s">
        <v>168</v>
      </c>
      <c r="EA75" s="22">
        <v>43083.486793981479</v>
      </c>
      <c r="EB75" t="s">
        <v>1699</v>
      </c>
      <c r="EC75" t="s">
        <v>1969</v>
      </c>
    </row>
    <row r="76" spans="1:133" x14ac:dyDescent="0.4">
      <c r="A76" s="30"/>
      <c r="B76" s="22">
        <v>43005.743750000001</v>
      </c>
      <c r="C76" s="22" t="s">
        <v>524</v>
      </c>
      <c r="D76" s="30" t="s">
        <v>477</v>
      </c>
      <c r="E76" s="30" t="s">
        <v>582</v>
      </c>
      <c r="F76" s="30" t="s">
        <v>169</v>
      </c>
      <c r="G76" s="30" t="s">
        <v>171</v>
      </c>
      <c r="H76" t="s">
        <v>94</v>
      </c>
      <c r="I76" t="s">
        <v>525</v>
      </c>
      <c r="J76" t="s">
        <v>611</v>
      </c>
      <c r="K76" s="22">
        <v>43082.530312499999</v>
      </c>
      <c r="L76">
        <v>1</v>
      </c>
      <c r="M76" s="26">
        <v>4.17</v>
      </c>
      <c r="N76" t="s">
        <v>309</v>
      </c>
      <c r="Q76" s="29" t="s">
        <v>13</v>
      </c>
      <c r="R76" s="29" t="str">
        <f>IFERROR(MID(RADataTable[[#This Row],[RAtemplate]],1,LEN(RADataTable[[#This Row],[RAtemplate]])-8),"RA") &amp; " " &amp; RADataTable[[#This Row],[prop_id0]] &amp; " " &amp; RADataTable[[#This Row],[last0]]</f>
        <v>RA 1764063 Wu</v>
      </c>
      <c r="U76" s="21" t="str">
        <f>IF(signer1="PD",IF(ISBLANK(RADataTable[[#This Row],[sign_blck_name]]),"",RADataTable[[#This Row],[sign_blck_name]]),IF(ISBLANK(signer1),"",signer1))</f>
        <v>Tracy J. Kimbrel</v>
      </c>
      <c r="V76" s="29" t="str">
        <f>signer2</f>
        <v>Cognizant Program Director</v>
      </c>
      <c r="W76" s="15" t="str">
        <f>HYPERLINK("https://www.ejacket.nsf.gov/ej/showProposal.do?Continue=Y&amp;ID="&amp;RADataTable[[#This Row],[prop_id0]],"eJ")</f>
        <v>eJ</v>
      </c>
      <c r="X76" s="15" t="str">
        <f>HYPERLINK("mailto:"&amp;RADataTable[[#This Row],[email]]&amp;"&amp;subject=Your NSF Proposal:  "&amp;RADataTable[[#This Row],[Div]]&amp;" "&amp;RADataTable[[#This Row],[prop_id0]], RADataTable[[#This Row],[email]])</f>
        <v>wbwu@galton.uchicago.edu</v>
      </c>
      <c r="Y76" s="15" t="str">
        <f>HYPERLINK("mailto:"&amp;RADataTable[[#This Row],[allPIemail]]&amp;"&amp;subject=NSF Proposal:  "&amp;RADataTable[[#This Row],[Div]]&amp;" "&amp;RADataTable[[#This Row],[prop_id0]], "PIs@")</f>
        <v>PIs@</v>
      </c>
      <c r="Z76" t="s">
        <v>478</v>
      </c>
      <c r="AA76" t="s">
        <v>1420</v>
      </c>
      <c r="AB76">
        <v>4</v>
      </c>
      <c r="AC76">
        <v>4</v>
      </c>
      <c r="AD76"/>
      <c r="AE76" s="21" t="str">
        <f>IF(RADataTable[[#This Row],[maxScore]]-RADataTable[[#This Row],[minScore]]&gt;4,"Y","")</f>
        <v/>
      </c>
      <c r="AF76" s="21">
        <v>3</v>
      </c>
      <c r="AG76" s="26">
        <v>4</v>
      </c>
      <c r="AH76">
        <v>5</v>
      </c>
      <c r="AI76" t="s">
        <v>1840</v>
      </c>
      <c r="AJ76" s="30">
        <v>43081.243055555555</v>
      </c>
      <c r="AK76" s="13">
        <v>798099</v>
      </c>
      <c r="AL76" s="13">
        <v>798099</v>
      </c>
      <c r="AM76">
        <v>0</v>
      </c>
      <c r="AN76" s="30">
        <v>43282</v>
      </c>
      <c r="AO76" s="21">
        <v>48</v>
      </c>
      <c r="AP76" s="21" t="s">
        <v>1841</v>
      </c>
      <c r="AS76" s="30"/>
      <c r="AT76" t="s">
        <v>1262</v>
      </c>
      <c r="AU76" s="21" t="s">
        <v>546</v>
      </c>
      <c r="AV76" s="21">
        <v>17</v>
      </c>
      <c r="AW76" s="21" t="s">
        <v>1971</v>
      </c>
      <c r="AX76" s="30">
        <v>43081</v>
      </c>
      <c r="AY76" s="21" t="s">
        <v>2002</v>
      </c>
      <c r="AZ76" s="21" t="s">
        <v>1973</v>
      </c>
      <c r="BA76" s="21">
        <v>9</v>
      </c>
      <c r="BG76" s="30"/>
      <c r="BP76" s="30"/>
      <c r="BU76" t="s">
        <v>1420</v>
      </c>
      <c r="BV76" s="21" t="s">
        <v>1421</v>
      </c>
      <c r="BW76" s="21" t="s">
        <v>1838</v>
      </c>
      <c r="BX76" s="21" t="s">
        <v>1839</v>
      </c>
      <c r="BY76" s="31">
        <v>399414</v>
      </c>
      <c r="BZ76" s="31">
        <v>399414</v>
      </c>
      <c r="CA76" t="s">
        <v>1704</v>
      </c>
      <c r="CB76" s="21" t="s">
        <v>1843</v>
      </c>
      <c r="CC76" s="21" t="s">
        <v>1352</v>
      </c>
      <c r="CD76" s="21" t="s">
        <v>1844</v>
      </c>
      <c r="CE76" s="21" t="s">
        <v>1845</v>
      </c>
      <c r="CF76" s="31">
        <v>398685</v>
      </c>
      <c r="CG76" s="31">
        <v>398685</v>
      </c>
      <c r="CH76" t="s">
        <v>1704</v>
      </c>
      <c r="CM76" s="31"/>
      <c r="CN76" s="31"/>
      <c r="CT76" s="31"/>
      <c r="CU76" s="31"/>
      <c r="CV76" s="31"/>
      <c r="DA76" s="31"/>
      <c r="DB76" s="31"/>
      <c r="DC76" s="31"/>
      <c r="DH76" s="31"/>
      <c r="DI76" s="31"/>
      <c r="DO76" s="31"/>
      <c r="DP76" s="31"/>
      <c r="DR76" t="s">
        <v>529</v>
      </c>
      <c r="DS76" t="s">
        <v>479</v>
      </c>
      <c r="DT76" t="s">
        <v>583</v>
      </c>
      <c r="DU76" s="29" t="s">
        <v>1869</v>
      </c>
      <c r="DV76" t="s">
        <v>172</v>
      </c>
      <c r="DW76" t="s">
        <v>327</v>
      </c>
      <c r="DX76" t="s">
        <v>170</v>
      </c>
      <c r="DY76" t="s">
        <v>167</v>
      </c>
      <c r="DZ76" t="s">
        <v>168</v>
      </c>
      <c r="EA76" s="22">
        <v>43083.486793981479</v>
      </c>
      <c r="EB76" t="s">
        <v>1842</v>
      </c>
      <c r="EC76" t="s">
        <v>2003</v>
      </c>
    </row>
    <row r="77" spans="1:133" x14ac:dyDescent="0.4">
      <c r="A77" s="30"/>
      <c r="B77" s="22">
        <v>42935.654166666667</v>
      </c>
      <c r="C77" s="22" t="s">
        <v>1430</v>
      </c>
      <c r="D77" s="30" t="s">
        <v>477</v>
      </c>
      <c r="E77" s="30" t="s">
        <v>582</v>
      </c>
      <c r="F77" s="30" t="s">
        <v>169</v>
      </c>
      <c r="G77" s="30" t="s">
        <v>171</v>
      </c>
      <c r="H77" t="s">
        <v>94</v>
      </c>
      <c r="I77" t="s">
        <v>1431</v>
      </c>
      <c r="J77" t="s">
        <v>611</v>
      </c>
      <c r="K77" s="22">
        <v>43082.669247685182</v>
      </c>
      <c r="L77">
        <v>1</v>
      </c>
      <c r="M77" s="26">
        <v>4.18</v>
      </c>
      <c r="N77" t="s">
        <v>309</v>
      </c>
      <c r="Q77" s="29" t="s">
        <v>13</v>
      </c>
      <c r="R77" s="29" t="str">
        <f>IFERROR(MID(RADataTable[[#This Row],[RAtemplate]],1,LEN(RADataTable[[#This Row],[RAtemplate]])-8),"RA") &amp; " " &amp; RADataTable[[#This Row],[prop_id0]] &amp; " " &amp; RADataTable[[#This Row],[last0]]</f>
        <v>RA 1750893 Xie</v>
      </c>
      <c r="U77" s="21" t="str">
        <f>IF(signer1="PD",IF(ISBLANK(RADataTable[[#This Row],[sign_blck_name]]),"",RADataTable[[#This Row],[sign_blck_name]]),IF(ISBLANK(signer1),"",signer1))</f>
        <v>Tracy J. Kimbrel</v>
      </c>
      <c r="V77" s="29" t="str">
        <f>signer2</f>
        <v>Cognizant Program Director</v>
      </c>
      <c r="W77" s="15" t="str">
        <f>HYPERLINK("https://www.ejacket.nsf.gov/ej/showProposal.do?Continue=Y&amp;ID="&amp;RADataTable[[#This Row],[prop_id0]],"eJ")</f>
        <v>eJ</v>
      </c>
      <c r="X77" s="15" t="str">
        <f>HYPERLINK("mailto:"&amp;RADataTable[[#This Row],[email]]&amp;"&amp;subject=Your NSF Proposal:  "&amp;RADataTable[[#This Row],[Div]]&amp;" "&amp;RADataTable[[#This Row],[prop_id0]], RADataTable[[#This Row],[email]])</f>
        <v>nxie@cs.fiu.edu</v>
      </c>
      <c r="Y77" s="15" t="str">
        <f>HYPERLINK("mailto:"&amp;RADataTable[[#This Row],[allPIemail]]&amp;"&amp;subject=NSF Proposal:  "&amp;RADataTable[[#This Row],[Div]]&amp;" "&amp;RADataTable[[#This Row],[prop_id0]], "PIs@")</f>
        <v>PIs@</v>
      </c>
      <c r="Z77" t="s">
        <v>478</v>
      </c>
      <c r="AA77" t="s">
        <v>992</v>
      </c>
      <c r="AB77">
        <v>4</v>
      </c>
      <c r="AC77">
        <v>4</v>
      </c>
      <c r="AD77"/>
      <c r="AE77" s="21" t="str">
        <f>IF(RADataTable[[#This Row],[maxScore]]-RADataTable[[#This Row],[minScore]]&gt;4,"Y","")</f>
        <v/>
      </c>
      <c r="AF77" s="21">
        <v>3</v>
      </c>
      <c r="AG77" s="26">
        <v>3.5</v>
      </c>
      <c r="AH77">
        <v>5</v>
      </c>
      <c r="AI77" t="s">
        <v>1579</v>
      </c>
      <c r="AJ77" s="30">
        <v>43059.477083333331</v>
      </c>
      <c r="AK77" s="13">
        <v>520820</v>
      </c>
      <c r="AL77" s="13">
        <v>520820</v>
      </c>
      <c r="AM77">
        <v>0</v>
      </c>
      <c r="AN77" s="30">
        <v>43221</v>
      </c>
      <c r="AO77" s="21">
        <v>60</v>
      </c>
      <c r="AP77" s="21" t="s">
        <v>1580</v>
      </c>
      <c r="AQ77">
        <v>1</v>
      </c>
      <c r="AR77" t="s">
        <v>1917</v>
      </c>
      <c r="AS77" s="30">
        <v>43054.683333333334</v>
      </c>
      <c r="AT77" t="s">
        <v>714</v>
      </c>
      <c r="AU77" s="21" t="s">
        <v>546</v>
      </c>
      <c r="AV77" s="21">
        <v>18</v>
      </c>
      <c r="AW77" s="21" t="s">
        <v>1866</v>
      </c>
      <c r="AX77" s="30">
        <v>43060</v>
      </c>
      <c r="AY77" s="21" t="s">
        <v>1918</v>
      </c>
      <c r="AZ77" s="21" t="s">
        <v>1868</v>
      </c>
      <c r="BA77" s="21">
        <v>12</v>
      </c>
      <c r="BB77" s="21">
        <v>1</v>
      </c>
      <c r="BG77" s="30"/>
      <c r="BP77" s="30"/>
      <c r="BU77" t="s">
        <v>992</v>
      </c>
      <c r="BV77" s="21" t="s">
        <v>993</v>
      </c>
      <c r="BW77" s="21" t="s">
        <v>1577</v>
      </c>
      <c r="BX77" s="21" t="s">
        <v>1578</v>
      </c>
      <c r="BY77" s="31">
        <v>520820</v>
      </c>
      <c r="BZ77" s="31">
        <v>520820</v>
      </c>
      <c r="CA77" t="s">
        <v>1469</v>
      </c>
      <c r="CF77" s="31"/>
      <c r="CG77" s="31"/>
      <c r="CM77" s="31"/>
      <c r="CN77" s="31"/>
      <c r="CT77" s="31"/>
      <c r="CU77" s="31"/>
      <c r="CV77" s="31"/>
      <c r="DA77" s="31"/>
      <c r="DB77" s="31"/>
      <c r="DC77" s="31"/>
      <c r="DH77" s="31"/>
      <c r="DI77" s="31"/>
      <c r="DO77" s="31"/>
      <c r="DP77" s="31"/>
      <c r="DR77" t="s">
        <v>1850</v>
      </c>
      <c r="DS77" t="s">
        <v>479</v>
      </c>
      <c r="DT77" t="s">
        <v>583</v>
      </c>
      <c r="DU77" s="29" t="s">
        <v>1869</v>
      </c>
      <c r="DV77" t="s">
        <v>172</v>
      </c>
      <c r="DW77" t="s">
        <v>327</v>
      </c>
      <c r="DX77" t="s">
        <v>170</v>
      </c>
      <c r="DY77" t="s">
        <v>167</v>
      </c>
      <c r="DZ77" t="s">
        <v>168</v>
      </c>
      <c r="EA77" s="22">
        <v>43083.486793981479</v>
      </c>
      <c r="EB77" t="s">
        <v>1581</v>
      </c>
      <c r="EC77" t="s">
        <v>1919</v>
      </c>
    </row>
    <row r="78" spans="1:133" x14ac:dyDescent="0.4">
      <c r="A78" s="30"/>
      <c r="B78" s="22">
        <v>42930.554166666669</v>
      </c>
      <c r="C78" s="22" t="s">
        <v>1430</v>
      </c>
      <c r="D78" s="30" t="s">
        <v>477</v>
      </c>
      <c r="E78" s="30" t="s">
        <v>582</v>
      </c>
      <c r="F78" s="30" t="s">
        <v>169</v>
      </c>
      <c r="G78" s="30" t="s">
        <v>171</v>
      </c>
      <c r="H78" t="s">
        <v>94</v>
      </c>
      <c r="I78" t="s">
        <v>1431</v>
      </c>
      <c r="J78" t="s">
        <v>604</v>
      </c>
      <c r="K78" s="22">
        <v>43076.608981481484</v>
      </c>
      <c r="L78">
        <v>1</v>
      </c>
      <c r="M78" s="26">
        <v>4.22</v>
      </c>
      <c r="N78" t="s">
        <v>309</v>
      </c>
      <c r="Q78" s="29" t="s">
        <v>13</v>
      </c>
      <c r="R78" s="29" t="str">
        <f>IFERROR(MID(RADataTable[[#This Row],[RAtemplate]],1,LEN(RADataTable[[#This Row],[RAtemplate]])-8),"RA") &amp; " " &amp; RADataTable[[#This Row],[prop_id0]] &amp; " " &amp; RADataTable[[#This Row],[last0]]</f>
        <v>RA 1749173 Borgwardt</v>
      </c>
      <c r="U78" s="21" t="str">
        <f>IF(signer1="PD",IF(ISBLANK(RADataTable[[#This Row],[sign_blck_name]]),"",RADataTable[[#This Row],[sign_blck_name]]),IF(ISBLANK(signer1),"",signer1))</f>
        <v>Jack Snoeyink</v>
      </c>
      <c r="V78" s="29" t="str">
        <f>signer2</f>
        <v>Cognizant Program Director</v>
      </c>
      <c r="W78" s="15" t="str">
        <f>HYPERLINK("https://www.ejacket.nsf.gov/ej/showProposal.do?Continue=Y&amp;ID="&amp;RADataTable[[#This Row],[prop_id0]],"eJ")</f>
        <v>eJ</v>
      </c>
      <c r="X78" s="15" t="str">
        <f>HYPERLINK("mailto:"&amp;RADataTable[[#This Row],[email]]&amp;"&amp;subject=Your NSF Proposal:  "&amp;RADataTable[[#This Row],[Div]]&amp;" "&amp;RADataTable[[#This Row],[prop_id0]], RADataTable[[#This Row],[email]])</f>
        <v>steffen.borgwardt@ucdenver.edu</v>
      </c>
      <c r="Y78" s="15" t="str">
        <f>HYPERLINK("mailto:"&amp;RADataTable[[#This Row],[allPIemail]]&amp;"&amp;subject=NSF Proposal:  "&amp;RADataTable[[#This Row],[Div]]&amp;" "&amp;RADataTable[[#This Row],[prop_id0]], "PIs@")</f>
        <v>PIs@</v>
      </c>
      <c r="Z78" t="s">
        <v>478</v>
      </c>
      <c r="AA78" t="s">
        <v>602</v>
      </c>
      <c r="AB78">
        <v>4</v>
      </c>
      <c r="AC78">
        <v>4</v>
      </c>
      <c r="AD78"/>
      <c r="AE78" s="21" t="str">
        <f>IF(RADataTable[[#This Row],[maxScore]]-RADataTable[[#This Row],[minScore]]&gt;4,"Y","")</f>
        <v>Y</v>
      </c>
      <c r="AF78" s="21">
        <v>2</v>
      </c>
      <c r="AG78" s="26">
        <v>3.75</v>
      </c>
      <c r="AH78">
        <v>7</v>
      </c>
      <c r="AI78" t="s">
        <v>1436</v>
      </c>
      <c r="AJ78" s="30">
        <v>43031.583333333336</v>
      </c>
      <c r="AK78" s="13">
        <v>470400</v>
      </c>
      <c r="AL78" s="13">
        <v>470400</v>
      </c>
      <c r="AM78">
        <v>0</v>
      </c>
      <c r="AN78" s="30">
        <v>43101</v>
      </c>
      <c r="AO78" s="21">
        <v>60</v>
      </c>
      <c r="AP78" s="21" t="s">
        <v>1437</v>
      </c>
      <c r="AS78" s="30"/>
      <c r="AT78" t="s">
        <v>605</v>
      </c>
      <c r="AU78" s="21" t="s">
        <v>546</v>
      </c>
      <c r="AV78" s="21">
        <v>22</v>
      </c>
      <c r="AW78" s="21" t="s">
        <v>1847</v>
      </c>
      <c r="AX78" s="30">
        <v>43032</v>
      </c>
      <c r="AY78" s="21" t="s">
        <v>1848</v>
      </c>
      <c r="AZ78" s="21" t="s">
        <v>1849</v>
      </c>
      <c r="BA78" s="21">
        <v>14</v>
      </c>
      <c r="BG78" s="30"/>
      <c r="BP78" s="30"/>
      <c r="BU78" t="s">
        <v>602</v>
      </c>
      <c r="BV78" s="21" t="s">
        <v>603</v>
      </c>
      <c r="BW78" s="21" t="s">
        <v>1434</v>
      </c>
      <c r="BX78" s="21" t="s">
        <v>1435</v>
      </c>
      <c r="BY78" s="31">
        <v>470400</v>
      </c>
      <c r="BZ78" s="31">
        <v>470400</v>
      </c>
      <c r="CA78" t="s">
        <v>1432</v>
      </c>
      <c r="CF78" s="31"/>
      <c r="CG78" s="31"/>
      <c r="CM78" s="31"/>
      <c r="CN78" s="31"/>
      <c r="CT78" s="31"/>
      <c r="CU78" s="31"/>
      <c r="CV78" s="31"/>
      <c r="DA78" s="31"/>
      <c r="DB78" s="31"/>
      <c r="DC78" s="31"/>
      <c r="DH78" s="31"/>
      <c r="DI78" s="31"/>
      <c r="DO78" s="31"/>
      <c r="DP78" s="31"/>
      <c r="DR78" t="s">
        <v>1850</v>
      </c>
      <c r="DS78" t="s">
        <v>479</v>
      </c>
      <c r="DT78" t="s">
        <v>583</v>
      </c>
      <c r="DU78" s="29" t="s">
        <v>1851</v>
      </c>
      <c r="DV78" t="s">
        <v>172</v>
      </c>
      <c r="DW78" t="s">
        <v>327</v>
      </c>
      <c r="DX78" t="s">
        <v>170</v>
      </c>
      <c r="DY78" t="s">
        <v>167</v>
      </c>
      <c r="DZ78" t="s">
        <v>168</v>
      </c>
      <c r="EA78" s="22">
        <v>43083.486793981479</v>
      </c>
      <c r="EB78" t="s">
        <v>1438</v>
      </c>
      <c r="EC78" t="s">
        <v>1852</v>
      </c>
    </row>
    <row r="79" spans="1:133" x14ac:dyDescent="0.4">
      <c r="A79" s="30"/>
      <c r="B79" s="22">
        <v>42934.808333333334</v>
      </c>
      <c r="C79" s="22" t="s">
        <v>1430</v>
      </c>
      <c r="D79" s="30" t="s">
        <v>477</v>
      </c>
      <c r="E79" s="30" t="s">
        <v>582</v>
      </c>
      <c r="F79" s="30" t="s">
        <v>169</v>
      </c>
      <c r="G79" s="30" t="s">
        <v>171</v>
      </c>
      <c r="H79" t="s">
        <v>94</v>
      </c>
      <c r="I79" t="s">
        <v>1431</v>
      </c>
      <c r="J79" t="s">
        <v>604</v>
      </c>
      <c r="K79" s="22">
        <v>43076.609027777777</v>
      </c>
      <c r="L79">
        <v>1</v>
      </c>
      <c r="M79" s="26">
        <v>4.22</v>
      </c>
      <c r="N79" t="s">
        <v>309</v>
      </c>
      <c r="Q79" s="29" t="s">
        <v>13</v>
      </c>
      <c r="R79" s="29" t="str">
        <f>IFERROR(MID(RADataTable[[#This Row],[RAtemplate]],1,LEN(RADataTable[[#This Row],[RAtemplate]])-8),"RA") &amp; " " &amp; RADataTable[[#This Row],[prop_id0]] &amp; " " &amp; RADataTable[[#This Row],[last0]]</f>
        <v>RA 1750076 Schroeder</v>
      </c>
      <c r="U79" s="21" t="str">
        <f>IF(signer1="PD",IF(ISBLANK(RADataTable[[#This Row],[sign_blck_name]]),"",RADataTable[[#This Row],[sign_blck_name]]),IF(ISBLANK(signer1),"",signer1))</f>
        <v>Jack Snoeyink</v>
      </c>
      <c r="V79" s="29" t="str">
        <f>signer2</f>
        <v>Cognizant Program Director</v>
      </c>
      <c r="W79" s="15" t="str">
        <f>HYPERLINK("https://www.ejacket.nsf.gov/ej/showProposal.do?Continue=Y&amp;ID="&amp;RADataTable[[#This Row],[prop_id0]],"eJ")</f>
        <v>eJ</v>
      </c>
      <c r="X79" s="15" t="str">
        <f>HYPERLINK("mailto:"&amp;RADataTable[[#This Row],[email]]&amp;"&amp;subject=Your NSF Proposal:  "&amp;RADataTable[[#This Row],[Div]]&amp;" "&amp;RADataTable[[#This Row],[prop_id0]], RADataTable[[#This Row],[email]])</f>
        <v>craig@ucr.edu</v>
      </c>
      <c r="Y79" s="15" t="str">
        <f>HYPERLINK("mailto:"&amp;RADataTable[[#This Row],[allPIemail]]&amp;"&amp;subject=NSF Proposal:  "&amp;RADataTable[[#This Row],[Div]]&amp;" "&amp;RADataTable[[#This Row],[prop_id0]], "PIs@")</f>
        <v>PIs@</v>
      </c>
      <c r="Z79" t="s">
        <v>478</v>
      </c>
      <c r="AA79" t="s">
        <v>825</v>
      </c>
      <c r="AB79">
        <v>4</v>
      </c>
      <c r="AC79">
        <v>4</v>
      </c>
      <c r="AD79"/>
      <c r="AE79" s="21" t="str">
        <f>IF(RADataTable[[#This Row],[maxScore]]-RADataTable[[#This Row],[minScore]]&gt;4,"Y","")</f>
        <v/>
      </c>
      <c r="AF79" s="21">
        <v>3</v>
      </c>
      <c r="AG79" s="26">
        <v>4</v>
      </c>
      <c r="AH79">
        <v>7</v>
      </c>
      <c r="AI79" t="s">
        <v>1508</v>
      </c>
      <c r="AJ79" s="30">
        <v>43031.584027777775</v>
      </c>
      <c r="AK79" s="13">
        <v>440331</v>
      </c>
      <c r="AL79" s="13">
        <v>440331</v>
      </c>
      <c r="AM79">
        <v>0</v>
      </c>
      <c r="AN79" s="30">
        <v>43101</v>
      </c>
      <c r="AO79" s="21">
        <v>60</v>
      </c>
      <c r="AP79" s="21" t="s">
        <v>1509</v>
      </c>
      <c r="AS79" s="30"/>
      <c r="AT79" t="s">
        <v>605</v>
      </c>
      <c r="AU79" s="21" t="s">
        <v>546</v>
      </c>
      <c r="AV79" s="21">
        <v>22</v>
      </c>
      <c r="AW79" s="21" t="s">
        <v>1847</v>
      </c>
      <c r="AX79" s="30">
        <v>43032</v>
      </c>
      <c r="AY79" s="21" t="s">
        <v>1886</v>
      </c>
      <c r="AZ79" s="21" t="s">
        <v>1849</v>
      </c>
      <c r="BA79" s="21">
        <v>14</v>
      </c>
      <c r="BG79" s="30"/>
      <c r="BP79" s="30"/>
      <c r="BU79" t="s">
        <v>825</v>
      </c>
      <c r="BV79" s="21" t="s">
        <v>826</v>
      </c>
      <c r="BW79" s="21" t="s">
        <v>1506</v>
      </c>
      <c r="BX79" s="21" t="s">
        <v>1507</v>
      </c>
      <c r="BY79" s="31">
        <v>440331</v>
      </c>
      <c r="BZ79" s="31">
        <v>440331</v>
      </c>
      <c r="CA79" t="s">
        <v>1505</v>
      </c>
      <c r="CF79" s="31"/>
      <c r="CG79" s="31"/>
      <c r="CM79" s="31"/>
      <c r="CN79" s="31"/>
      <c r="CT79" s="31"/>
      <c r="CU79" s="31"/>
      <c r="CV79" s="31"/>
      <c r="DA79" s="31"/>
      <c r="DB79" s="31"/>
      <c r="DC79" s="31"/>
      <c r="DH79" s="31"/>
      <c r="DI79" s="31"/>
      <c r="DO79" s="31"/>
      <c r="DP79" s="31"/>
      <c r="DR79" t="s">
        <v>1850</v>
      </c>
      <c r="DS79" t="s">
        <v>479</v>
      </c>
      <c r="DT79" t="s">
        <v>583</v>
      </c>
      <c r="DU79" s="29" t="s">
        <v>1851</v>
      </c>
      <c r="DV79" t="s">
        <v>172</v>
      </c>
      <c r="DW79" t="s">
        <v>327</v>
      </c>
      <c r="DX79" t="s">
        <v>170</v>
      </c>
      <c r="DY79" t="s">
        <v>167</v>
      </c>
      <c r="DZ79" t="s">
        <v>168</v>
      </c>
      <c r="EA79" s="22">
        <v>43083.486793981479</v>
      </c>
      <c r="EB79" t="s">
        <v>1510</v>
      </c>
      <c r="EC79" t="s">
        <v>1887</v>
      </c>
    </row>
  </sheetData>
  <conditionalFormatting sqref="Q2:Q79">
    <cfRule type="expression" dxfId="11" priority="1">
      <formula>LEFT($AI2,1)="E"</formula>
    </cfRule>
  </conditionalFormatting>
  <dataValidations count="1">
    <dataValidation type="list" allowBlank="1" showInputMessage="1" showErrorMessage="1" sqref="O2:O79 Q2:Q79">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AG2:AG79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tabSelected="1" workbookViewId="0">
      <selection activeCell="E14" sqref="E14"/>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259</v>
      </c>
      <c r="I1" s="3" t="s">
        <v>226</v>
      </c>
      <c r="N1" s="20" t="s">
        <v>102</v>
      </c>
    </row>
    <row r="2" spans="1:14" ht="16" customHeight="1" x14ac:dyDescent="0.4">
      <c r="B2" s="9" t="s">
        <v>485</v>
      </c>
      <c r="I2" s="3" t="s">
        <v>139</v>
      </c>
      <c r="K2" s="29"/>
      <c r="N2" s="19" t="s">
        <v>103</v>
      </c>
    </row>
    <row r="3" spans="1:14" ht="16" customHeight="1" x14ac:dyDescent="0.4">
      <c r="B3" s="9" t="s">
        <v>484</v>
      </c>
      <c r="I3" s="3" t="s">
        <v>140</v>
      </c>
      <c r="K3" s="29"/>
      <c r="N3" s="19" t="s">
        <v>98</v>
      </c>
    </row>
    <row r="4" spans="1:14" ht="16" customHeight="1" x14ac:dyDescent="0.4">
      <c r="B4" s="9" t="s">
        <v>482</v>
      </c>
      <c r="D4" s="16"/>
      <c r="F4" s="4"/>
      <c r="G4" s="29"/>
      <c r="I4" s="3" t="s">
        <v>225</v>
      </c>
      <c r="K4" s="29"/>
      <c r="N4" s="19" t="s">
        <v>104</v>
      </c>
    </row>
    <row r="5" spans="1:14" ht="16" customHeight="1" x14ac:dyDescent="0.4">
      <c r="B5" s="9" t="s">
        <v>483</v>
      </c>
      <c r="C5" s="4"/>
      <c r="F5" s="4"/>
      <c r="G5" s="29"/>
      <c r="I5" s="120" t="s">
        <v>517</v>
      </c>
      <c r="J5" s="121"/>
      <c r="K5" s="29"/>
      <c r="N5" s="19" t="s">
        <v>99</v>
      </c>
    </row>
    <row r="6" spans="1:14" ht="16" customHeight="1" x14ac:dyDescent="0.4">
      <c r="B6" s="9" t="s">
        <v>486</v>
      </c>
      <c r="F6" s="4"/>
      <c r="G6" s="29"/>
      <c r="J6" s="7" t="s">
        <v>2090</v>
      </c>
      <c r="K6" s="30"/>
      <c r="N6" s="19" t="s">
        <v>105</v>
      </c>
    </row>
    <row r="7" spans="1:14" ht="16" customHeight="1" x14ac:dyDescent="0.4">
      <c r="B7" s="9" t="s">
        <v>507</v>
      </c>
      <c r="F7" s="4"/>
      <c r="G7" s="29"/>
      <c r="I7" s="25" t="s">
        <v>518</v>
      </c>
      <c r="J7" s="24"/>
      <c r="K7" s="24"/>
      <c r="N7" s="19" t="s">
        <v>106</v>
      </c>
    </row>
    <row r="8" spans="1:14" ht="16" customHeight="1" x14ac:dyDescent="0.4">
      <c r="B8" s="9" t="s">
        <v>508</v>
      </c>
      <c r="F8" s="4"/>
      <c r="G8" s="43"/>
      <c r="J8" s="7" t="s">
        <v>530</v>
      </c>
      <c r="K8" s="24"/>
      <c r="N8" s="19" t="s">
        <v>100</v>
      </c>
    </row>
    <row r="9" spans="1:14" ht="16" customHeight="1" x14ac:dyDescent="0.4">
      <c r="B9" s="9"/>
      <c r="F9" s="4"/>
      <c r="G9" s="30"/>
      <c r="N9" s="19" t="s">
        <v>107</v>
      </c>
    </row>
    <row r="10" spans="1:14" ht="18.45" x14ac:dyDescent="0.4">
      <c r="B10" s="47"/>
      <c r="C10" s="127" t="s">
        <v>258</v>
      </c>
      <c r="D10" s="127"/>
      <c r="E10" s="127"/>
      <c r="F10" s="48"/>
      <c r="J10" s="25" t="s">
        <v>138</v>
      </c>
      <c r="L10" s="6"/>
      <c r="N10" s="19" t="s">
        <v>108</v>
      </c>
    </row>
    <row r="11" spans="1:14" ht="15.9" x14ac:dyDescent="0.4">
      <c r="B11" s="49"/>
      <c r="C11" s="50" t="s">
        <v>232</v>
      </c>
      <c r="D11" s="50"/>
      <c r="E11" s="50" t="s">
        <v>233</v>
      </c>
      <c r="F11" s="50"/>
      <c r="J11" s="25"/>
      <c r="L11" s="6"/>
      <c r="N11" s="19" t="s">
        <v>96</v>
      </c>
    </row>
    <row r="12" spans="1:14" ht="20.149999999999999" customHeight="1" x14ac:dyDescent="0.4">
      <c r="C12" s="51" t="s">
        <v>234</v>
      </c>
      <c r="D12" s="51"/>
      <c r="E12" s="59" t="s">
        <v>250</v>
      </c>
      <c r="F12" s="52" t="s">
        <v>251</v>
      </c>
      <c r="L12" s="6"/>
      <c r="N12" s="19" t="s">
        <v>109</v>
      </c>
    </row>
    <row r="13" spans="1:14" ht="20.149999999999999" customHeight="1" x14ac:dyDescent="0.4">
      <c r="C13" s="51" t="s">
        <v>245</v>
      </c>
      <c r="D13" s="51"/>
      <c r="E13" s="53" t="s">
        <v>577</v>
      </c>
      <c r="F13" s="54"/>
      <c r="L13" s="6"/>
      <c r="N13" s="19" t="s">
        <v>110</v>
      </c>
    </row>
    <row r="14" spans="1:14" ht="20.149999999999999" customHeight="1" x14ac:dyDescent="0.4">
      <c r="C14" s="51" t="s">
        <v>239</v>
      </c>
      <c r="D14" s="51"/>
      <c r="E14" s="53"/>
      <c r="F14" s="54"/>
      <c r="L14" s="6"/>
      <c r="N14" s="19" t="s">
        <v>111</v>
      </c>
    </row>
    <row r="15" spans="1:14" ht="20.149999999999999" customHeight="1" x14ac:dyDescent="0.4">
      <c r="C15" s="51" t="s">
        <v>235</v>
      </c>
      <c r="D15" s="51"/>
      <c r="E15" s="53" t="s">
        <v>254</v>
      </c>
      <c r="F15" s="54"/>
      <c r="H15" s="21"/>
      <c r="L15" s="6"/>
      <c r="N15" s="19" t="s">
        <v>492</v>
      </c>
    </row>
    <row r="16" spans="1:14" ht="20.149999999999999" customHeight="1" x14ac:dyDescent="0.4">
      <c r="C16" s="51" t="s">
        <v>236</v>
      </c>
      <c r="D16" s="51"/>
      <c r="E16" s="55" t="s">
        <v>253</v>
      </c>
      <c r="F16" s="56"/>
      <c r="H16" s="21"/>
      <c r="L16" s="6"/>
      <c r="N16" s="19" t="s">
        <v>112</v>
      </c>
    </row>
    <row r="17" spans="3:14" ht="20.149999999999999" customHeight="1" x14ac:dyDescent="0.4">
      <c r="C17" s="51" t="s">
        <v>237</v>
      </c>
      <c r="D17" s="51"/>
      <c r="E17" s="53" t="s">
        <v>252</v>
      </c>
      <c r="F17" s="54"/>
      <c r="H17" s="21"/>
      <c r="L17" s="6"/>
      <c r="N17" s="19" t="s">
        <v>113</v>
      </c>
    </row>
    <row r="18" spans="3:14" ht="20.149999999999999" customHeight="1" x14ac:dyDescent="0.4">
      <c r="C18" s="51" t="s">
        <v>238</v>
      </c>
      <c r="D18" s="51"/>
      <c r="E18" s="53" t="s">
        <v>256</v>
      </c>
      <c r="F18" s="54"/>
      <c r="L18" s="6"/>
      <c r="N18" s="19" t="s">
        <v>114</v>
      </c>
    </row>
    <row r="19" spans="3:14" ht="20.149999999999999" customHeight="1" x14ac:dyDescent="0.4">
      <c r="C19" s="51" t="s">
        <v>242</v>
      </c>
      <c r="D19" s="51"/>
      <c r="E19" s="53" t="s">
        <v>257</v>
      </c>
      <c r="F19" s="54"/>
      <c r="L19" s="6"/>
      <c r="N19" s="19" t="s">
        <v>115</v>
      </c>
    </row>
    <row r="20" spans="3:14" ht="20.149999999999999" customHeight="1" x14ac:dyDescent="0.4">
      <c r="C20" s="51" t="s">
        <v>243</v>
      </c>
      <c r="D20" s="51"/>
      <c r="E20" s="53" t="s">
        <v>244</v>
      </c>
      <c r="F20" s="54"/>
      <c r="L20" s="6"/>
      <c r="N20" s="19" t="s">
        <v>116</v>
      </c>
    </row>
    <row r="21" spans="3:14" ht="20.149999999999999" customHeight="1" x14ac:dyDescent="0.4">
      <c r="C21" s="51" t="s">
        <v>246</v>
      </c>
      <c r="D21" s="51"/>
      <c r="E21" s="53" t="s">
        <v>247</v>
      </c>
      <c r="F21" s="54"/>
      <c r="J21" s="23"/>
      <c r="L21" s="6"/>
      <c r="N21" s="19" t="s">
        <v>117</v>
      </c>
    </row>
    <row r="22" spans="3:14" ht="20.149999999999999" customHeight="1" x14ac:dyDescent="0.4">
      <c r="C22" s="51" t="s">
        <v>248</v>
      </c>
      <c r="D22" s="51"/>
      <c r="E22" s="53" t="s">
        <v>249</v>
      </c>
      <c r="F22" s="54"/>
      <c r="J22" s="23"/>
      <c r="L22" s="6"/>
      <c r="N22" s="19" t="s">
        <v>118</v>
      </c>
    </row>
    <row r="23" spans="3:14" ht="20.149999999999999" customHeight="1" x14ac:dyDescent="0.4">
      <c r="C23" s="51" t="s">
        <v>241</v>
      </c>
      <c r="D23" s="57"/>
      <c r="E23" s="117" t="str">
        <f>INDEX(codes_prop_stts,select_prop_stts)</f>
        <v>0[01289]</v>
      </c>
      <c r="F23" s="58"/>
      <c r="J23" s="23"/>
      <c r="N23" s="19" t="s">
        <v>97</v>
      </c>
    </row>
    <row r="24" spans="3:14" ht="20.149999999999999" customHeight="1" x14ac:dyDescent="0.4">
      <c r="C24" s="3"/>
      <c r="D24" s="3"/>
      <c r="E24" s="3"/>
      <c r="F24" s="3"/>
      <c r="J24" s="23"/>
      <c r="N24" s="19" t="s">
        <v>119</v>
      </c>
    </row>
    <row r="25" spans="3:14" ht="20.149999999999999" customHeight="1" x14ac:dyDescent="0.4">
      <c r="D25"/>
      <c r="E25"/>
      <c r="N25" s="19" t="s">
        <v>120</v>
      </c>
    </row>
    <row r="26" spans="3:14" ht="19.75" customHeight="1" x14ac:dyDescent="0.4">
      <c r="D26"/>
      <c r="E26"/>
      <c r="N26" s="19" t="s">
        <v>121</v>
      </c>
    </row>
    <row r="27" spans="3:14" x14ac:dyDescent="0.4">
      <c r="C27" s="25"/>
      <c r="D27"/>
      <c r="E27" s="25"/>
      <c r="F27" s="25"/>
      <c r="I27" s="5"/>
      <c r="N27" s="19" t="s">
        <v>122</v>
      </c>
    </row>
    <row r="28" spans="3:14" x14ac:dyDescent="0.4">
      <c r="C28" s="25"/>
      <c r="D28"/>
      <c r="E28" s="25"/>
      <c r="F28" s="25"/>
      <c r="I28" s="5"/>
      <c r="N28" s="19" t="s">
        <v>123</v>
      </c>
    </row>
    <row r="29" spans="3:14" x14ac:dyDescent="0.4">
      <c r="C29" s="25"/>
      <c r="D29"/>
      <c r="E29" s="25"/>
      <c r="H29" s="12"/>
      <c r="I29" s="5"/>
      <c r="N29" s="19" t="s">
        <v>124</v>
      </c>
    </row>
    <row r="30" spans="3:14" x14ac:dyDescent="0.4">
      <c r="N30" s="123">
        <f>SUBTOTAL(103,EpscorTable[Epscor])</f>
        <v>27</v>
      </c>
    </row>
  </sheetData>
  <mergeCells count="1">
    <mergeCell ref="C10:E10"/>
  </mergeCells>
  <conditionalFormatting sqref="E12:F22">
    <cfRule type="expression" dxfId="10"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288471</xdr:colOff>
                    <xdr:row>5</xdr:row>
                    <xdr:rowOff>59871</xdr:rowOff>
                  </from>
                  <to>
                    <xdr:col>8</xdr:col>
                    <xdr:colOff>152400</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266700</xdr:colOff>
                    <xdr:row>7</xdr:row>
                    <xdr:rowOff>38100</xdr:rowOff>
                  </from>
                  <to>
                    <xdr:col>8</xdr:col>
                    <xdr:colOff>163286</xdr:colOff>
                    <xdr:row>7</xdr:row>
                    <xdr:rowOff>201386</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2" customWidth="1"/>
    <col min="39" max="39" width="15.15234375" style="82" customWidth="1"/>
    <col min="40" max="40" width="10.6914062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400</v>
      </c>
      <c r="F1" t="s">
        <v>401</v>
      </c>
      <c r="G1" t="s">
        <v>367</v>
      </c>
      <c r="H1" t="s">
        <v>368</v>
      </c>
      <c r="I1" t="s">
        <v>369</v>
      </c>
      <c r="J1" t="s">
        <v>370</v>
      </c>
      <c r="K1" t="s">
        <v>371</v>
      </c>
      <c r="L1" t="s">
        <v>372</v>
      </c>
      <c r="M1" t="s">
        <v>165</v>
      </c>
      <c r="N1" t="s">
        <v>163</v>
      </c>
      <c r="O1" t="s">
        <v>373</v>
      </c>
      <c r="P1" s="21" t="s">
        <v>375</v>
      </c>
      <c r="Q1" t="s">
        <v>376</v>
      </c>
      <c r="R1" s="32" t="s">
        <v>377</v>
      </c>
      <c r="S1" s="21" t="s">
        <v>101</v>
      </c>
      <c r="T1" t="s">
        <v>88</v>
      </c>
      <c r="U1" t="s">
        <v>9</v>
      </c>
      <c r="V1" t="s">
        <v>1</v>
      </c>
      <c r="W1" t="s">
        <v>143</v>
      </c>
      <c r="X1" t="s">
        <v>0</v>
      </c>
      <c r="Y1" t="s">
        <v>10</v>
      </c>
      <c r="Z1" t="s">
        <v>18</v>
      </c>
      <c r="AA1" t="s">
        <v>287</v>
      </c>
      <c r="AB1" s="14" t="s">
        <v>403</v>
      </c>
      <c r="AC1" t="s">
        <v>145</v>
      </c>
      <c r="AD1" t="s">
        <v>288</v>
      </c>
      <c r="AE1" t="s">
        <v>378</v>
      </c>
      <c r="AF1" t="s">
        <v>374</v>
      </c>
      <c r="AG1" t="s">
        <v>166</v>
      </c>
      <c r="AH1" t="s">
        <v>36</v>
      </c>
      <c r="AK1" s="88" t="s">
        <v>406</v>
      </c>
      <c r="AL1"/>
      <c r="AM1" s="88" t="s">
        <v>404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407</v>
      </c>
      <c r="AL2" s="88" t="s">
        <v>10</v>
      </c>
      <c r="AM2" t="s">
        <v>481</v>
      </c>
      <c r="AN2" t="s">
        <v>405</v>
      </c>
      <c r="AO2"/>
      <c r="AP2"/>
      <c r="AQ2"/>
      <c r="AR2"/>
      <c r="AS2"/>
      <c r="AT2"/>
      <c r="AU2"/>
      <c r="AZ2"/>
      <c r="BB2"/>
      <c r="BC2"/>
      <c r="BO2"/>
      <c r="BS2"/>
    </row>
    <row r="3" spans="1:71" x14ac:dyDescent="0.4">
      <c r="AK3" s="25" t="s">
        <v>481</v>
      </c>
      <c r="AL3" s="25" t="s">
        <v>481</v>
      </c>
      <c r="AM3" s="31"/>
      <c r="AN3" s="31"/>
      <c r="AO3"/>
      <c r="AP3"/>
      <c r="AQ3"/>
      <c r="AR3"/>
      <c r="AS3"/>
      <c r="AT3"/>
      <c r="AU3"/>
      <c r="AZ3"/>
      <c r="BB3"/>
      <c r="BC3"/>
      <c r="BO3"/>
      <c r="BS3"/>
    </row>
    <row r="4" spans="1:71" x14ac:dyDescent="0.4">
      <c r="AK4"/>
      <c r="AL4" s="89" t="s">
        <v>481</v>
      </c>
      <c r="AM4" s="31"/>
      <c r="AN4" s="31"/>
      <c r="AO4"/>
      <c r="AP4"/>
      <c r="AQ4"/>
      <c r="AR4"/>
      <c r="AS4"/>
      <c r="AT4"/>
      <c r="AU4"/>
      <c r="AZ4"/>
      <c r="BB4"/>
      <c r="BC4"/>
      <c r="BO4"/>
      <c r="BS4"/>
    </row>
    <row r="5" spans="1:71" x14ac:dyDescent="0.4">
      <c r="AK5" s="25" t="s">
        <v>405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9" priority="2">
      <formula>$U1&lt;&gt;$U2</formula>
    </cfRule>
    <cfRule type="expression" dxfId="8" priority="3">
      <formula>MOD($S2,2)</formula>
    </cfRule>
  </conditionalFormatting>
  <conditionalFormatting sqref="F2 H2 J2 L2 AE2">
    <cfRule type="expression" dxfId="7"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515"/>
  <sheetViews>
    <sheetView workbookViewId="0">
      <selection activeCell="G2" sqref="G2"/>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179</v>
      </c>
      <c r="E1" t="s">
        <v>180</v>
      </c>
      <c r="F1" t="s">
        <v>181</v>
      </c>
      <c r="G1" t="s">
        <v>182</v>
      </c>
      <c r="H1" t="s">
        <v>183</v>
      </c>
      <c r="I1" t="s">
        <v>184</v>
      </c>
      <c r="J1" t="s">
        <v>185</v>
      </c>
      <c r="K1" s="28" t="s">
        <v>186</v>
      </c>
      <c r="L1" t="s">
        <v>187</v>
      </c>
      <c r="M1" s="21" t="s">
        <v>188</v>
      </c>
      <c r="N1" s="21" t="s">
        <v>189</v>
      </c>
      <c r="O1" t="s">
        <v>190</v>
      </c>
      <c r="P1" t="s">
        <v>191</v>
      </c>
    </row>
    <row r="2" spans="1:16" x14ac:dyDescent="0.4">
      <c r="A2">
        <f t="shared" ref="A2:A65" si="0">A1+(B2&lt;&gt;B1)</f>
        <v>1</v>
      </c>
      <c r="B2" t="s">
        <v>602</v>
      </c>
      <c r="C2" t="s">
        <v>603</v>
      </c>
      <c r="D2" t="s">
        <v>533</v>
      </c>
      <c r="E2" t="s">
        <v>604</v>
      </c>
      <c r="F2" t="s">
        <v>605</v>
      </c>
      <c r="G2" t="s">
        <v>606</v>
      </c>
      <c r="H2" t="s">
        <v>546</v>
      </c>
      <c r="I2" t="s">
        <v>538</v>
      </c>
      <c r="J2" t="s">
        <v>607</v>
      </c>
      <c r="K2" s="30">
        <v>43031</v>
      </c>
      <c r="L2" s="8">
        <v>43032.595011574071</v>
      </c>
      <c r="M2" s="21">
        <f>LEN(ProjTextTable[[#This Row],[text]])</f>
        <v>3392</v>
      </c>
      <c r="N2" s="21">
        <f>LEN(TRIM(CLEAN(SUBSTITUTE(ProjTextTable[[#This Row],[text]],CHAR(10)," "))))+1 - LEN(SUBSTITUTE(CLEAN(SUBSTITUTE(ProjTextTable[[#This Row],[text]],CHAR(10)," "))," ",""))</f>
        <v>513</v>
      </c>
      <c r="O2" t="s">
        <v>309</v>
      </c>
      <c r="P2" t="s">
        <v>608</v>
      </c>
    </row>
    <row r="3" spans="1:16" x14ac:dyDescent="0.4">
      <c r="A3">
        <f t="shared" si="0"/>
        <v>1</v>
      </c>
      <c r="B3" t="s">
        <v>602</v>
      </c>
      <c r="C3" t="s">
        <v>603</v>
      </c>
      <c r="D3" t="s">
        <v>2</v>
      </c>
      <c r="E3" t="s">
        <v>604</v>
      </c>
      <c r="F3" t="s">
        <v>13</v>
      </c>
      <c r="G3" t="s">
        <v>609</v>
      </c>
      <c r="H3" t="s">
        <v>13</v>
      </c>
      <c r="I3" t="s">
        <v>13</v>
      </c>
      <c r="K3" s="30"/>
      <c r="L3" s="8">
        <v>43076.608981481484</v>
      </c>
      <c r="M3" s="21">
        <f>LEN(ProjTextTable[[#This Row],[text]])</f>
        <v>1932</v>
      </c>
      <c r="N3" s="21">
        <f>LEN(TRIM(CLEAN(SUBSTITUTE(ProjTextTable[[#This Row],[text]],CHAR(10)," "))))+1 - LEN(SUBSTITUTE(CLEAN(SUBSTITUTE(ProjTextTable[[#This Row],[text]],CHAR(10)," "))," ",""))</f>
        <v>283</v>
      </c>
      <c r="O3" t="s">
        <v>13</v>
      </c>
      <c r="P3" t="s">
        <v>610</v>
      </c>
    </row>
    <row r="4" spans="1:16" x14ac:dyDescent="0.4">
      <c r="A4">
        <f t="shared" si="0"/>
        <v>1</v>
      </c>
      <c r="B4" t="s">
        <v>602</v>
      </c>
      <c r="C4" t="s">
        <v>603</v>
      </c>
      <c r="D4" t="s">
        <v>192</v>
      </c>
      <c r="E4" t="s">
        <v>611</v>
      </c>
      <c r="F4" t="s">
        <v>612</v>
      </c>
      <c r="G4" t="s">
        <v>613</v>
      </c>
      <c r="H4" t="s">
        <v>614</v>
      </c>
      <c r="I4" t="s">
        <v>201</v>
      </c>
      <c r="J4" t="s">
        <v>175</v>
      </c>
      <c r="K4" s="30">
        <v>43032</v>
      </c>
      <c r="L4" s="8">
        <v>43031.583935185183</v>
      </c>
      <c r="M4" s="21">
        <f>LEN(ProjTextTable[[#This Row],[text]])</f>
        <v>3353</v>
      </c>
      <c r="N4" s="21">
        <f>LEN(TRIM(CLEAN(SUBSTITUTE(ProjTextTable[[#This Row],[text]],CHAR(10)," "))))+1 - LEN(SUBSTITUTE(CLEAN(SUBSTITUTE(ProjTextTable[[#This Row],[text]],CHAR(10)," "))," ",""))</f>
        <v>545</v>
      </c>
      <c r="O4" t="s">
        <v>615</v>
      </c>
      <c r="P4" t="s">
        <v>616</v>
      </c>
    </row>
    <row r="5" spans="1:16" x14ac:dyDescent="0.4">
      <c r="A5">
        <f t="shared" si="0"/>
        <v>1</v>
      </c>
      <c r="B5" t="s">
        <v>602</v>
      </c>
      <c r="C5" t="s">
        <v>603</v>
      </c>
      <c r="D5" t="s">
        <v>192</v>
      </c>
      <c r="E5" t="s">
        <v>611</v>
      </c>
      <c r="F5" t="s">
        <v>617</v>
      </c>
      <c r="G5" t="s">
        <v>618</v>
      </c>
      <c r="H5" t="s">
        <v>619</v>
      </c>
      <c r="I5" t="s">
        <v>201</v>
      </c>
      <c r="J5" t="s">
        <v>175</v>
      </c>
      <c r="K5" s="30">
        <v>43032</v>
      </c>
      <c r="L5" s="8">
        <v>43031.52008101852</v>
      </c>
      <c r="M5" s="21">
        <f>LEN(ProjTextTable[[#This Row],[text]])</f>
        <v>1749</v>
      </c>
      <c r="N5" s="21">
        <f>LEN(TRIM(CLEAN(SUBSTITUTE(ProjTextTable[[#This Row],[text]],CHAR(10)," "))))+1 - LEN(SUBSTITUTE(CLEAN(SUBSTITUTE(ProjTextTable[[#This Row],[text]],CHAR(10)," "))," ",""))</f>
        <v>271</v>
      </c>
      <c r="O5" t="s">
        <v>197</v>
      </c>
      <c r="P5" t="s">
        <v>620</v>
      </c>
    </row>
    <row r="6" spans="1:16" x14ac:dyDescent="0.4">
      <c r="A6">
        <f t="shared" si="0"/>
        <v>1</v>
      </c>
      <c r="B6" t="s">
        <v>602</v>
      </c>
      <c r="C6" t="s">
        <v>603</v>
      </c>
      <c r="D6" t="s">
        <v>192</v>
      </c>
      <c r="E6" t="s">
        <v>611</v>
      </c>
      <c r="F6" t="s">
        <v>621</v>
      </c>
      <c r="G6" t="s">
        <v>622</v>
      </c>
      <c r="H6" t="s">
        <v>623</v>
      </c>
      <c r="I6" t="s">
        <v>201</v>
      </c>
      <c r="J6" t="s">
        <v>175</v>
      </c>
      <c r="K6" s="30">
        <v>43032</v>
      </c>
      <c r="L6" s="8">
        <v>43026.508344907408</v>
      </c>
      <c r="M6" s="21">
        <f>LEN(ProjTextTable[[#This Row],[text]])</f>
        <v>3446</v>
      </c>
      <c r="N6" s="21">
        <f>LEN(TRIM(CLEAN(SUBSTITUTE(ProjTextTable[[#This Row],[text]],CHAR(10)," "))))+1 - LEN(SUBSTITUTE(CLEAN(SUBSTITUTE(ProjTextTable[[#This Row],[text]],CHAR(10)," "))," ",""))</f>
        <v>531</v>
      </c>
      <c r="O6" t="s">
        <v>196</v>
      </c>
      <c r="P6" t="s">
        <v>624</v>
      </c>
    </row>
    <row r="7" spans="1:16" x14ac:dyDescent="0.4">
      <c r="A7">
        <f t="shared" si="0"/>
        <v>1</v>
      </c>
      <c r="B7" t="s">
        <v>602</v>
      </c>
      <c r="C7" t="s">
        <v>603</v>
      </c>
      <c r="D7" t="s">
        <v>192</v>
      </c>
      <c r="E7" t="s">
        <v>604</v>
      </c>
      <c r="F7" t="s">
        <v>625</v>
      </c>
      <c r="G7" t="s">
        <v>626</v>
      </c>
      <c r="H7" t="s">
        <v>627</v>
      </c>
      <c r="I7" t="s">
        <v>201</v>
      </c>
      <c r="J7" t="s">
        <v>175</v>
      </c>
      <c r="K7" s="30">
        <v>43032</v>
      </c>
      <c r="L7" s="8">
        <v>43018.840243055558</v>
      </c>
      <c r="M7" s="21">
        <f>LEN(ProjTextTable[[#This Row],[text]])</f>
        <v>2975</v>
      </c>
      <c r="N7" s="21">
        <f>LEN(TRIM(CLEAN(SUBSTITUTE(ProjTextTable[[#This Row],[text]],CHAR(10)," "))))+1 - LEN(SUBSTITUTE(CLEAN(SUBSTITUTE(ProjTextTable[[#This Row],[text]],CHAR(10)," "))," ",""))</f>
        <v>476</v>
      </c>
      <c r="O7" t="s">
        <v>197</v>
      </c>
      <c r="P7" t="s">
        <v>628</v>
      </c>
    </row>
    <row r="8" spans="1:16" x14ac:dyDescent="0.4">
      <c r="A8">
        <f t="shared" si="0"/>
        <v>1</v>
      </c>
      <c r="B8" t="s">
        <v>602</v>
      </c>
      <c r="C8" t="s">
        <v>603</v>
      </c>
      <c r="D8" t="s">
        <v>194</v>
      </c>
      <c r="E8" t="s">
        <v>604</v>
      </c>
      <c r="F8" t="s">
        <v>13</v>
      </c>
      <c r="G8" t="s">
        <v>13</v>
      </c>
      <c r="H8" t="s">
        <v>13</v>
      </c>
      <c r="K8" s="30"/>
      <c r="L8" s="8">
        <v>42931.442777777775</v>
      </c>
      <c r="M8" s="21">
        <f>LEN(ProjTextTable[[#This Row],[text]])</f>
        <v>3950</v>
      </c>
      <c r="N8" s="21">
        <f>LEN(TRIM(CLEAN(SUBSTITUTE(ProjTextTable[[#This Row],[text]],CHAR(10)," "))))+1 - LEN(SUBSTITUTE(CLEAN(SUBSTITUTE(ProjTextTable[[#This Row],[text]],CHAR(10)," "))," ",""))</f>
        <v>602</v>
      </c>
      <c r="O8" t="s">
        <v>13</v>
      </c>
      <c r="P8" t="s">
        <v>629</v>
      </c>
    </row>
    <row r="9" spans="1:16" x14ac:dyDescent="0.4">
      <c r="A9">
        <f t="shared" si="0"/>
        <v>2</v>
      </c>
      <c r="B9" t="s">
        <v>2015</v>
      </c>
      <c r="C9" t="s">
        <v>2016</v>
      </c>
      <c r="D9" t="s">
        <v>533</v>
      </c>
      <c r="E9" t="s">
        <v>1166</v>
      </c>
      <c r="F9" t="s">
        <v>714</v>
      </c>
      <c r="G9" t="s">
        <v>715</v>
      </c>
      <c r="H9" t="s">
        <v>541</v>
      </c>
      <c r="I9" t="s">
        <v>536</v>
      </c>
      <c r="J9" t="s">
        <v>877</v>
      </c>
      <c r="K9" s="30">
        <v>43059</v>
      </c>
      <c r="L9" s="8">
        <v>43060.618368055555</v>
      </c>
      <c r="M9" s="21">
        <f>LEN(ProjTextTable[[#This Row],[text]])</f>
        <v>1704</v>
      </c>
      <c r="N9" s="21">
        <f>LEN(TRIM(CLEAN(SUBSTITUTE(ProjTextTable[[#This Row],[text]],CHAR(10)," "))))+1 - LEN(SUBSTITUTE(CLEAN(SUBSTITUTE(ProjTextTable[[#This Row],[text]],CHAR(10)," "))," ",""))</f>
        <v>241</v>
      </c>
      <c r="O9" t="s">
        <v>542</v>
      </c>
      <c r="P9" t="s">
        <v>2017</v>
      </c>
    </row>
    <row r="10" spans="1:16" x14ac:dyDescent="0.4">
      <c r="A10">
        <f t="shared" si="0"/>
        <v>2</v>
      </c>
      <c r="B10" t="s">
        <v>2015</v>
      </c>
      <c r="C10" t="s">
        <v>2016</v>
      </c>
      <c r="D10" t="s">
        <v>533</v>
      </c>
      <c r="E10" t="s">
        <v>1166</v>
      </c>
      <c r="F10" t="s">
        <v>2018</v>
      </c>
      <c r="G10" t="s">
        <v>2019</v>
      </c>
      <c r="H10" t="s">
        <v>541</v>
      </c>
      <c r="I10" t="s">
        <v>536</v>
      </c>
      <c r="K10" s="30">
        <v>43034</v>
      </c>
      <c r="L10" s="8">
        <v>43035.475856481484</v>
      </c>
      <c r="M10" s="21">
        <f>LEN(ProjTextTable[[#This Row],[text]])</f>
        <v>2465</v>
      </c>
      <c r="N10" s="21">
        <f>LEN(TRIM(CLEAN(SUBSTITUTE(ProjTextTable[[#This Row],[text]],CHAR(10)," "))))+1 - LEN(SUBSTITUTE(CLEAN(SUBSTITUTE(ProjTextTable[[#This Row],[text]],CHAR(10)," "))," ",""))</f>
        <v>346</v>
      </c>
      <c r="O10" t="s">
        <v>542</v>
      </c>
      <c r="P10" t="s">
        <v>2020</v>
      </c>
    </row>
    <row r="11" spans="1:16" x14ac:dyDescent="0.4">
      <c r="A11">
        <f t="shared" si="0"/>
        <v>2</v>
      </c>
      <c r="B11" t="s">
        <v>2015</v>
      </c>
      <c r="C11" t="s">
        <v>2016</v>
      </c>
      <c r="D11" t="s">
        <v>2</v>
      </c>
      <c r="E11" t="s">
        <v>1166</v>
      </c>
      <c r="F11" t="s">
        <v>13</v>
      </c>
      <c r="G11" t="s">
        <v>609</v>
      </c>
      <c r="H11" t="s">
        <v>13</v>
      </c>
      <c r="I11" t="s">
        <v>13</v>
      </c>
      <c r="K11" s="30"/>
      <c r="L11" s="8">
        <v>43068.644884259258</v>
      </c>
      <c r="M11" s="21">
        <f>LEN(ProjTextTable[[#This Row],[text]])</f>
        <v>4027</v>
      </c>
      <c r="N11" s="21">
        <f>LEN(TRIM(CLEAN(SUBSTITUTE(ProjTextTable[[#This Row],[text]],CHAR(10)," "))))+1 - LEN(SUBSTITUTE(CLEAN(SUBSTITUTE(ProjTextTable[[#This Row],[text]],CHAR(10)," "))," ",""))</f>
        <v>623</v>
      </c>
      <c r="O11" t="s">
        <v>13</v>
      </c>
      <c r="P11" t="s">
        <v>2021</v>
      </c>
    </row>
    <row r="12" spans="1:16" x14ac:dyDescent="0.4">
      <c r="A12">
        <f t="shared" si="0"/>
        <v>2</v>
      </c>
      <c r="B12" t="s">
        <v>2015</v>
      </c>
      <c r="C12" t="s">
        <v>2016</v>
      </c>
      <c r="D12" t="s">
        <v>192</v>
      </c>
      <c r="E12" t="s">
        <v>1166</v>
      </c>
      <c r="F12" t="s">
        <v>2022</v>
      </c>
      <c r="G12" t="s">
        <v>2023</v>
      </c>
      <c r="H12" t="s">
        <v>2024</v>
      </c>
      <c r="I12" t="s">
        <v>175</v>
      </c>
      <c r="J12" t="s">
        <v>175</v>
      </c>
      <c r="K12" s="30">
        <v>43032</v>
      </c>
      <c r="L12" s="8">
        <v>43032.891342592593</v>
      </c>
      <c r="M12" s="21">
        <f>LEN(ProjTextTable[[#This Row],[text]])</f>
        <v>3596</v>
      </c>
      <c r="N12" s="21">
        <f>LEN(TRIM(CLEAN(SUBSTITUTE(ProjTextTable[[#This Row],[text]],CHAR(10)," "))))+1 - LEN(SUBSTITUTE(CLEAN(SUBSTITUTE(ProjTextTable[[#This Row],[text]],CHAR(10)," "))," ",""))</f>
        <v>563</v>
      </c>
      <c r="O12" t="s">
        <v>196</v>
      </c>
      <c r="P12" t="s">
        <v>2025</v>
      </c>
    </row>
    <row r="13" spans="1:16" x14ac:dyDescent="0.4">
      <c r="A13">
        <f t="shared" si="0"/>
        <v>2</v>
      </c>
      <c r="B13" t="s">
        <v>2015</v>
      </c>
      <c r="C13" t="s">
        <v>2016</v>
      </c>
      <c r="D13" t="s">
        <v>192</v>
      </c>
      <c r="E13" t="s">
        <v>1166</v>
      </c>
      <c r="F13" t="s">
        <v>745</v>
      </c>
      <c r="G13" t="s">
        <v>746</v>
      </c>
      <c r="H13" t="s">
        <v>747</v>
      </c>
      <c r="I13" t="s">
        <v>201</v>
      </c>
      <c r="J13" t="s">
        <v>175</v>
      </c>
      <c r="K13" s="30">
        <v>43060</v>
      </c>
      <c r="L13" s="8">
        <v>43060.395636574074</v>
      </c>
      <c r="M13" s="21">
        <f>LEN(ProjTextTable[[#This Row],[text]])</f>
        <v>2035</v>
      </c>
      <c r="N13" s="21">
        <f>LEN(TRIM(CLEAN(SUBSTITUTE(ProjTextTable[[#This Row],[text]],CHAR(10)," "))))+1 - LEN(SUBSTITUTE(CLEAN(SUBSTITUTE(ProjTextTable[[#This Row],[text]],CHAR(10)," "))," ",""))</f>
        <v>286</v>
      </c>
      <c r="O13" t="s">
        <v>193</v>
      </c>
      <c r="P13" t="s">
        <v>2026</v>
      </c>
    </row>
    <row r="14" spans="1:16" x14ac:dyDescent="0.4">
      <c r="A14">
        <f t="shared" si="0"/>
        <v>2</v>
      </c>
      <c r="B14" t="s">
        <v>2015</v>
      </c>
      <c r="C14" t="s">
        <v>2016</v>
      </c>
      <c r="D14" t="s">
        <v>192</v>
      </c>
      <c r="E14" t="s">
        <v>1166</v>
      </c>
      <c r="F14" t="s">
        <v>2027</v>
      </c>
      <c r="G14" t="s">
        <v>1752</v>
      </c>
      <c r="H14" t="s">
        <v>2028</v>
      </c>
      <c r="I14" t="s">
        <v>201</v>
      </c>
      <c r="J14" t="s">
        <v>175</v>
      </c>
      <c r="K14" s="30">
        <v>43035</v>
      </c>
      <c r="L14" s="8">
        <v>43033.33861111111</v>
      </c>
      <c r="M14" s="21">
        <f>LEN(ProjTextTable[[#This Row],[text]])</f>
        <v>2406</v>
      </c>
      <c r="N14" s="21">
        <f>LEN(TRIM(CLEAN(SUBSTITUTE(ProjTextTable[[#This Row],[text]],CHAR(10)," "))))+1 - LEN(SUBSTITUTE(CLEAN(SUBSTITUTE(ProjTextTable[[#This Row],[text]],CHAR(10)," "))," ",""))</f>
        <v>370</v>
      </c>
      <c r="O14" t="s">
        <v>195</v>
      </c>
      <c r="P14" t="s">
        <v>2029</v>
      </c>
    </row>
    <row r="15" spans="1:16" x14ac:dyDescent="0.4">
      <c r="A15">
        <f t="shared" si="0"/>
        <v>2</v>
      </c>
      <c r="B15" t="s">
        <v>2015</v>
      </c>
      <c r="C15" t="s">
        <v>2016</v>
      </c>
      <c r="D15" t="s">
        <v>192</v>
      </c>
      <c r="E15" t="s">
        <v>1166</v>
      </c>
      <c r="F15" t="s">
        <v>753</v>
      </c>
      <c r="G15" t="s">
        <v>754</v>
      </c>
      <c r="H15" t="s">
        <v>755</v>
      </c>
      <c r="I15" t="s">
        <v>201</v>
      </c>
      <c r="J15" t="s">
        <v>175</v>
      </c>
      <c r="K15" s="30">
        <v>43060</v>
      </c>
      <c r="L15" s="8">
        <v>43054.481851851851</v>
      </c>
      <c r="M15" s="21">
        <f>LEN(ProjTextTable[[#This Row],[text]])</f>
        <v>2921</v>
      </c>
      <c r="N15" s="21">
        <f>LEN(TRIM(CLEAN(SUBSTITUTE(ProjTextTable[[#This Row],[text]],CHAR(10)," "))))+1 - LEN(SUBSTITUTE(CLEAN(SUBSTITUTE(ProjTextTable[[#This Row],[text]],CHAR(10)," "))," ",""))</f>
        <v>437</v>
      </c>
      <c r="O15" t="s">
        <v>193</v>
      </c>
      <c r="P15" t="s">
        <v>2030</v>
      </c>
    </row>
    <row r="16" spans="1:16" x14ac:dyDescent="0.4">
      <c r="A16">
        <f t="shared" si="0"/>
        <v>2</v>
      </c>
      <c r="B16" t="s">
        <v>2015</v>
      </c>
      <c r="C16" t="s">
        <v>2016</v>
      </c>
      <c r="D16" t="s">
        <v>192</v>
      </c>
      <c r="E16" t="s">
        <v>1166</v>
      </c>
      <c r="F16" t="s">
        <v>2031</v>
      </c>
      <c r="G16" t="s">
        <v>2032</v>
      </c>
      <c r="H16" t="s">
        <v>2033</v>
      </c>
      <c r="I16" t="s">
        <v>201</v>
      </c>
      <c r="J16" t="s">
        <v>175</v>
      </c>
      <c r="K16" s="30">
        <v>43035</v>
      </c>
      <c r="L16" s="8">
        <v>43034.79310185185</v>
      </c>
      <c r="M16" s="21">
        <f>LEN(ProjTextTable[[#This Row],[text]])</f>
        <v>1855</v>
      </c>
      <c r="N16" s="21">
        <f>LEN(TRIM(CLEAN(SUBSTITUTE(ProjTextTable[[#This Row],[text]],CHAR(10)," "))))+1 - LEN(SUBSTITUTE(CLEAN(SUBSTITUTE(ProjTextTable[[#This Row],[text]],CHAR(10)," "))," ",""))</f>
        <v>275</v>
      </c>
      <c r="O16" t="s">
        <v>199</v>
      </c>
      <c r="P16" t="s">
        <v>2034</v>
      </c>
    </row>
    <row r="17" spans="1:16" x14ac:dyDescent="0.4">
      <c r="A17">
        <f t="shared" si="0"/>
        <v>2</v>
      </c>
      <c r="B17" t="s">
        <v>2015</v>
      </c>
      <c r="C17" t="s">
        <v>2016</v>
      </c>
      <c r="D17" t="s">
        <v>192</v>
      </c>
      <c r="E17" t="s">
        <v>1166</v>
      </c>
      <c r="F17" t="s">
        <v>717</v>
      </c>
      <c r="G17" t="s">
        <v>718</v>
      </c>
      <c r="H17" t="s">
        <v>719</v>
      </c>
      <c r="I17" t="s">
        <v>201</v>
      </c>
      <c r="J17" t="s">
        <v>175</v>
      </c>
      <c r="K17" s="30">
        <v>43011</v>
      </c>
      <c r="L17" s="8">
        <v>43059.329062500001</v>
      </c>
      <c r="M17" s="21">
        <f>LEN(ProjTextTable[[#This Row],[text]])</f>
        <v>2481</v>
      </c>
      <c r="N17" s="21">
        <f>LEN(TRIM(CLEAN(SUBSTITUTE(ProjTextTable[[#This Row],[text]],CHAR(10)," "))))+1 - LEN(SUBSTITUTE(CLEAN(SUBSTITUTE(ProjTextTable[[#This Row],[text]],CHAR(10)," "))," ",""))</f>
        <v>347</v>
      </c>
      <c r="O17" t="s">
        <v>198</v>
      </c>
      <c r="P17" t="s">
        <v>2035</v>
      </c>
    </row>
    <row r="18" spans="1:16" x14ac:dyDescent="0.4">
      <c r="A18">
        <f t="shared" si="0"/>
        <v>2</v>
      </c>
      <c r="B18" t="s">
        <v>2015</v>
      </c>
      <c r="C18" t="s">
        <v>2016</v>
      </c>
      <c r="D18" t="s">
        <v>192</v>
      </c>
      <c r="E18" t="s">
        <v>1166</v>
      </c>
      <c r="F18" t="s">
        <v>2036</v>
      </c>
      <c r="G18" t="s">
        <v>2037</v>
      </c>
      <c r="H18" t="s">
        <v>2038</v>
      </c>
      <c r="I18" t="s">
        <v>201</v>
      </c>
      <c r="J18" t="s">
        <v>175</v>
      </c>
      <c r="K18" s="30">
        <v>43035</v>
      </c>
      <c r="L18" s="8">
        <v>43032.405798611115</v>
      </c>
      <c r="M18" s="21">
        <f>LEN(ProjTextTable[[#This Row],[text]])</f>
        <v>3911</v>
      </c>
      <c r="N18" s="21">
        <f>LEN(TRIM(CLEAN(SUBSTITUTE(ProjTextTable[[#This Row],[text]],CHAR(10)," "))))+1 - LEN(SUBSTITUTE(CLEAN(SUBSTITUTE(ProjTextTable[[#This Row],[text]],CHAR(10)," "))," ",""))</f>
        <v>621</v>
      </c>
      <c r="O18" t="s">
        <v>196</v>
      </c>
      <c r="P18" t="s">
        <v>2039</v>
      </c>
    </row>
    <row r="19" spans="1:16" x14ac:dyDescent="0.4">
      <c r="A19">
        <f t="shared" si="0"/>
        <v>2</v>
      </c>
      <c r="B19" t="s">
        <v>2015</v>
      </c>
      <c r="C19" t="s">
        <v>2016</v>
      </c>
      <c r="D19" t="s">
        <v>192</v>
      </c>
      <c r="E19" t="s">
        <v>1166</v>
      </c>
      <c r="F19" t="s">
        <v>721</v>
      </c>
      <c r="G19" t="s">
        <v>722</v>
      </c>
      <c r="H19" t="s">
        <v>723</v>
      </c>
      <c r="I19" t="s">
        <v>201</v>
      </c>
      <c r="J19" t="s">
        <v>175</v>
      </c>
      <c r="K19" s="30">
        <v>43011</v>
      </c>
      <c r="L19" s="8">
        <v>43058.874664351853</v>
      </c>
      <c r="M19" s="21">
        <f>LEN(ProjTextTable[[#This Row],[text]])</f>
        <v>1169</v>
      </c>
      <c r="N19" s="21">
        <f>LEN(TRIM(CLEAN(SUBSTITUTE(ProjTextTable[[#This Row],[text]],CHAR(10)," "))))+1 - LEN(SUBSTITUTE(CLEAN(SUBSTITUTE(ProjTextTable[[#This Row],[text]],CHAR(10)," "))," ",""))</f>
        <v>190</v>
      </c>
      <c r="O19" t="s">
        <v>175</v>
      </c>
      <c r="P19" t="s">
        <v>2040</v>
      </c>
    </row>
    <row r="20" spans="1:16" x14ac:dyDescent="0.4">
      <c r="A20">
        <f t="shared" si="0"/>
        <v>2</v>
      </c>
      <c r="B20" t="s">
        <v>2015</v>
      </c>
      <c r="C20" t="s">
        <v>2016</v>
      </c>
      <c r="D20" t="s">
        <v>576</v>
      </c>
      <c r="E20" t="s">
        <v>1166</v>
      </c>
      <c r="F20" t="s">
        <v>2015</v>
      </c>
      <c r="G20" t="s">
        <v>2041</v>
      </c>
      <c r="H20" t="s">
        <v>2042</v>
      </c>
      <c r="K20" s="30"/>
      <c r="L20" s="8">
        <v>43069.468333333331</v>
      </c>
      <c r="M20" s="21">
        <f>LEN(ProjTextTable[[#This Row],[text]])</f>
        <v>146</v>
      </c>
      <c r="N20" s="21">
        <f>LEN(TRIM(CLEAN(SUBSTITUTE(ProjTextTable[[#This Row],[text]],CHAR(10)," "))))+1 - LEN(SUBSTITUTE(CLEAN(SUBSTITUTE(ProjTextTable[[#This Row],[text]],CHAR(10)," "))," ",""))</f>
        <v>28</v>
      </c>
      <c r="O20" t="s">
        <v>13</v>
      </c>
      <c r="P20" t="s">
        <v>2043</v>
      </c>
    </row>
    <row r="21" spans="1:16" x14ac:dyDescent="0.4">
      <c r="A21">
        <f t="shared" si="0"/>
        <v>3</v>
      </c>
      <c r="B21" t="s">
        <v>630</v>
      </c>
      <c r="C21" t="s">
        <v>631</v>
      </c>
      <c r="D21" t="s">
        <v>533</v>
      </c>
      <c r="E21" t="s">
        <v>604</v>
      </c>
      <c r="F21" t="s">
        <v>605</v>
      </c>
      <c r="G21" t="s">
        <v>606</v>
      </c>
      <c r="H21" t="s">
        <v>541</v>
      </c>
      <c r="I21" t="s">
        <v>536</v>
      </c>
      <c r="J21" t="s">
        <v>632</v>
      </c>
      <c r="K21" s="30">
        <v>43031</v>
      </c>
      <c r="L21" s="8">
        <v>43032.567291666666</v>
      </c>
      <c r="M21" s="21">
        <f>LEN(ProjTextTable[[#This Row],[text]])</f>
        <v>4739</v>
      </c>
      <c r="N21" s="21">
        <f>LEN(TRIM(CLEAN(SUBSTITUTE(ProjTextTable[[#This Row],[text]],CHAR(10)," "))))+1 - LEN(SUBSTITUTE(CLEAN(SUBSTITUTE(ProjTextTable[[#This Row],[text]],CHAR(10)," "))," ",""))</f>
        <v>677</v>
      </c>
      <c r="O21" t="s">
        <v>542</v>
      </c>
      <c r="P21" t="s">
        <v>633</v>
      </c>
    </row>
    <row r="22" spans="1:16" x14ac:dyDescent="0.4">
      <c r="A22">
        <f t="shared" si="0"/>
        <v>3</v>
      </c>
      <c r="B22" t="s">
        <v>630</v>
      </c>
      <c r="C22" t="s">
        <v>631</v>
      </c>
      <c r="D22" t="s">
        <v>2</v>
      </c>
      <c r="E22" t="s">
        <v>604</v>
      </c>
      <c r="F22" t="s">
        <v>13</v>
      </c>
      <c r="G22" t="s">
        <v>609</v>
      </c>
      <c r="H22" t="s">
        <v>13</v>
      </c>
      <c r="I22" t="s">
        <v>13</v>
      </c>
      <c r="K22" s="30"/>
      <c r="L22" s="8">
        <v>43082.662557870368</v>
      </c>
      <c r="M22" s="21">
        <f>LEN(ProjTextTable[[#This Row],[text]])</f>
        <v>1938</v>
      </c>
      <c r="N22" s="21">
        <f>LEN(TRIM(CLEAN(SUBSTITUTE(ProjTextTable[[#This Row],[text]],CHAR(10)," "))))+1 - LEN(SUBSTITUTE(CLEAN(SUBSTITUTE(ProjTextTable[[#This Row],[text]],CHAR(10)," "))," ",""))</f>
        <v>285</v>
      </c>
      <c r="O22" t="s">
        <v>13</v>
      </c>
      <c r="P22" t="s">
        <v>634</v>
      </c>
    </row>
    <row r="23" spans="1:16" x14ac:dyDescent="0.4">
      <c r="A23">
        <f t="shared" si="0"/>
        <v>3</v>
      </c>
      <c r="B23" t="s">
        <v>630</v>
      </c>
      <c r="C23" t="s">
        <v>631</v>
      </c>
      <c r="D23" t="s">
        <v>192</v>
      </c>
      <c r="E23" t="s">
        <v>611</v>
      </c>
      <c r="F23" t="s">
        <v>635</v>
      </c>
      <c r="G23" t="s">
        <v>636</v>
      </c>
      <c r="H23" t="s">
        <v>637</v>
      </c>
      <c r="I23" t="s">
        <v>201</v>
      </c>
      <c r="J23" t="s">
        <v>175</v>
      </c>
      <c r="K23" s="30">
        <v>43032</v>
      </c>
      <c r="L23" s="8">
        <v>43029.002870370372</v>
      </c>
      <c r="M23" s="21">
        <f>LEN(ProjTextTable[[#This Row],[text]])</f>
        <v>3294</v>
      </c>
      <c r="N23" s="21">
        <f>LEN(TRIM(CLEAN(SUBSTITUTE(ProjTextTable[[#This Row],[text]],CHAR(10)," "))))+1 - LEN(SUBSTITUTE(CLEAN(SUBSTITUTE(ProjTextTable[[#This Row],[text]],CHAR(10)," "))," ",""))</f>
        <v>495</v>
      </c>
      <c r="O23" t="s">
        <v>193</v>
      </c>
      <c r="P23" t="s">
        <v>638</v>
      </c>
    </row>
    <row r="24" spans="1:16" x14ac:dyDescent="0.4">
      <c r="A24">
        <f t="shared" si="0"/>
        <v>3</v>
      </c>
      <c r="B24" t="s">
        <v>630</v>
      </c>
      <c r="C24" t="s">
        <v>631</v>
      </c>
      <c r="D24" t="s">
        <v>192</v>
      </c>
      <c r="E24" t="s">
        <v>604</v>
      </c>
      <c r="F24" t="s">
        <v>639</v>
      </c>
      <c r="G24" t="s">
        <v>640</v>
      </c>
      <c r="H24" t="s">
        <v>641</v>
      </c>
      <c r="I24" t="s">
        <v>201</v>
      </c>
      <c r="J24" t="s">
        <v>175</v>
      </c>
      <c r="K24" s="30">
        <v>43032</v>
      </c>
      <c r="L24" s="8">
        <v>43030.179826388892</v>
      </c>
      <c r="M24" s="21">
        <f>LEN(ProjTextTable[[#This Row],[text]])</f>
        <v>2298</v>
      </c>
      <c r="N24" s="21">
        <f>LEN(TRIM(CLEAN(SUBSTITUTE(ProjTextTable[[#This Row],[text]],CHAR(10)," "))))+1 - LEN(SUBSTITUTE(CLEAN(SUBSTITUTE(ProjTextTable[[#This Row],[text]],CHAR(10)," "))," ",""))</f>
        <v>339</v>
      </c>
      <c r="O24" t="s">
        <v>196</v>
      </c>
      <c r="P24" t="s">
        <v>642</v>
      </c>
    </row>
    <row r="25" spans="1:16" x14ac:dyDescent="0.4">
      <c r="A25">
        <f t="shared" si="0"/>
        <v>3</v>
      </c>
      <c r="B25" t="s">
        <v>630</v>
      </c>
      <c r="C25" t="s">
        <v>631</v>
      </c>
      <c r="D25" t="s">
        <v>192</v>
      </c>
      <c r="E25" t="s">
        <v>611</v>
      </c>
      <c r="F25" t="s">
        <v>643</v>
      </c>
      <c r="G25" t="s">
        <v>644</v>
      </c>
      <c r="H25" t="s">
        <v>645</v>
      </c>
      <c r="I25" t="s">
        <v>201</v>
      </c>
      <c r="J25" t="s">
        <v>175</v>
      </c>
      <c r="K25" s="30">
        <v>43032</v>
      </c>
      <c r="L25" s="8">
        <v>43028.861863425926</v>
      </c>
      <c r="M25" s="21">
        <f>LEN(ProjTextTable[[#This Row],[text]])</f>
        <v>2774</v>
      </c>
      <c r="N25" s="21">
        <f>LEN(TRIM(CLEAN(SUBSTITUTE(ProjTextTable[[#This Row],[text]],CHAR(10)," "))))+1 - LEN(SUBSTITUTE(CLEAN(SUBSTITUTE(ProjTextTable[[#This Row],[text]],CHAR(10)," "))," ",""))</f>
        <v>392</v>
      </c>
      <c r="O25" t="s">
        <v>229</v>
      </c>
      <c r="P25" t="s">
        <v>646</v>
      </c>
    </row>
    <row r="26" spans="1:16" x14ac:dyDescent="0.4">
      <c r="A26">
        <f t="shared" si="0"/>
        <v>3</v>
      </c>
      <c r="B26" t="s">
        <v>630</v>
      </c>
      <c r="C26" t="s">
        <v>631</v>
      </c>
      <c r="D26" t="s">
        <v>192</v>
      </c>
      <c r="E26" t="s">
        <v>611</v>
      </c>
      <c r="F26" t="s">
        <v>647</v>
      </c>
      <c r="G26" t="s">
        <v>648</v>
      </c>
      <c r="H26" t="s">
        <v>649</v>
      </c>
      <c r="I26" t="s">
        <v>201</v>
      </c>
      <c r="J26" t="s">
        <v>175</v>
      </c>
      <c r="K26" s="30">
        <v>43032</v>
      </c>
      <c r="L26" s="8">
        <v>43029.985185185185</v>
      </c>
      <c r="M26" s="21">
        <f>LEN(ProjTextTable[[#This Row],[text]])</f>
        <v>3648</v>
      </c>
      <c r="N26" s="21">
        <f>LEN(TRIM(CLEAN(SUBSTITUTE(ProjTextTable[[#This Row],[text]],CHAR(10)," "))))+1 - LEN(SUBSTITUTE(CLEAN(SUBSTITUTE(ProjTextTable[[#This Row],[text]],CHAR(10)," "))," ",""))</f>
        <v>547</v>
      </c>
      <c r="O26" t="s">
        <v>199</v>
      </c>
      <c r="P26" t="s">
        <v>650</v>
      </c>
    </row>
    <row r="27" spans="1:16" x14ac:dyDescent="0.4">
      <c r="A27">
        <f t="shared" si="0"/>
        <v>3</v>
      </c>
      <c r="B27" t="s">
        <v>630</v>
      </c>
      <c r="C27" t="s">
        <v>631</v>
      </c>
      <c r="D27" t="s">
        <v>194</v>
      </c>
      <c r="E27" t="s">
        <v>604</v>
      </c>
      <c r="F27" t="s">
        <v>13</v>
      </c>
      <c r="G27" t="s">
        <v>13</v>
      </c>
      <c r="H27" t="s">
        <v>13</v>
      </c>
      <c r="K27" s="30"/>
      <c r="L27" s="8">
        <v>42934.042766203704</v>
      </c>
      <c r="M27" s="21">
        <f>LEN(ProjTextTable[[#This Row],[text]])</f>
        <v>3482</v>
      </c>
      <c r="N27" s="21">
        <f>LEN(TRIM(CLEAN(SUBSTITUTE(ProjTextTable[[#This Row],[text]],CHAR(10)," "))))+1 - LEN(SUBSTITUTE(CLEAN(SUBSTITUTE(ProjTextTable[[#This Row],[text]],CHAR(10)," "))," ",""))</f>
        <v>489</v>
      </c>
      <c r="O27" t="s">
        <v>13</v>
      </c>
      <c r="P27" t="s">
        <v>651</v>
      </c>
    </row>
    <row r="28" spans="1:16" x14ac:dyDescent="0.4">
      <c r="A28">
        <f t="shared" si="0"/>
        <v>4</v>
      </c>
      <c r="B28" t="s">
        <v>652</v>
      </c>
      <c r="C28" t="s">
        <v>653</v>
      </c>
      <c r="D28" t="s">
        <v>533</v>
      </c>
      <c r="E28" t="s">
        <v>654</v>
      </c>
      <c r="F28" t="s">
        <v>605</v>
      </c>
      <c r="G28" t="s">
        <v>606</v>
      </c>
      <c r="H28" t="s">
        <v>541</v>
      </c>
      <c r="I28" t="s">
        <v>536</v>
      </c>
      <c r="J28" t="s">
        <v>632</v>
      </c>
      <c r="K28" s="30">
        <v>43031</v>
      </c>
      <c r="L28" s="8">
        <v>43032.613020833334</v>
      </c>
      <c r="M28" s="21">
        <f>LEN(ProjTextTable[[#This Row],[text]])</f>
        <v>4890</v>
      </c>
      <c r="N28" s="21">
        <f>LEN(TRIM(CLEAN(SUBSTITUTE(ProjTextTable[[#This Row],[text]],CHAR(10)," "))))+1 - LEN(SUBSTITUTE(CLEAN(SUBSTITUTE(ProjTextTable[[#This Row],[text]],CHAR(10)," "))," ",""))</f>
        <v>733</v>
      </c>
      <c r="O28" t="s">
        <v>542</v>
      </c>
      <c r="P28" t="s">
        <v>655</v>
      </c>
    </row>
    <row r="29" spans="1:16" x14ac:dyDescent="0.4">
      <c r="A29">
        <f t="shared" si="0"/>
        <v>4</v>
      </c>
      <c r="B29" t="s">
        <v>652</v>
      </c>
      <c r="C29" t="s">
        <v>653</v>
      </c>
      <c r="D29" t="s">
        <v>2</v>
      </c>
      <c r="E29" t="s">
        <v>654</v>
      </c>
      <c r="F29" t="s">
        <v>13</v>
      </c>
      <c r="G29" t="s">
        <v>609</v>
      </c>
      <c r="H29" t="s">
        <v>13</v>
      </c>
      <c r="I29" t="s">
        <v>13</v>
      </c>
      <c r="K29" s="30"/>
      <c r="L29" s="8">
        <v>43082.662615740737</v>
      </c>
      <c r="M29" s="21">
        <f>LEN(ProjTextTable[[#This Row],[text]])</f>
        <v>1941</v>
      </c>
      <c r="N29" s="21">
        <f>LEN(TRIM(CLEAN(SUBSTITUTE(ProjTextTable[[#This Row],[text]],CHAR(10)," "))))+1 - LEN(SUBSTITUTE(CLEAN(SUBSTITUTE(ProjTextTable[[#This Row],[text]],CHAR(10)," "))," ",""))</f>
        <v>284</v>
      </c>
      <c r="O29" t="s">
        <v>13</v>
      </c>
      <c r="P29" t="s">
        <v>656</v>
      </c>
    </row>
    <row r="30" spans="1:16" x14ac:dyDescent="0.4">
      <c r="A30">
        <f t="shared" si="0"/>
        <v>4</v>
      </c>
      <c r="B30" t="s">
        <v>652</v>
      </c>
      <c r="C30" t="s">
        <v>653</v>
      </c>
      <c r="D30" t="s">
        <v>192</v>
      </c>
      <c r="E30" t="s">
        <v>611</v>
      </c>
      <c r="F30" t="s">
        <v>617</v>
      </c>
      <c r="G30" t="s">
        <v>618</v>
      </c>
      <c r="H30" t="s">
        <v>619</v>
      </c>
      <c r="I30" t="s">
        <v>201</v>
      </c>
      <c r="J30" t="s">
        <v>175</v>
      </c>
      <c r="K30" s="30">
        <v>43032</v>
      </c>
      <c r="L30" s="8">
        <v>43032.397743055553</v>
      </c>
      <c r="M30" s="21">
        <f>LEN(ProjTextTable[[#This Row],[text]])</f>
        <v>3674</v>
      </c>
      <c r="N30" s="21">
        <f>LEN(TRIM(CLEAN(SUBSTITUTE(ProjTextTable[[#This Row],[text]],CHAR(10)," "))))+1 - LEN(SUBSTITUTE(CLEAN(SUBSTITUTE(ProjTextTable[[#This Row],[text]],CHAR(10)," "))," ",""))</f>
        <v>555</v>
      </c>
      <c r="O30" t="s">
        <v>193</v>
      </c>
      <c r="P30" t="s">
        <v>657</v>
      </c>
    </row>
    <row r="31" spans="1:16" x14ac:dyDescent="0.4">
      <c r="A31">
        <f t="shared" si="0"/>
        <v>4</v>
      </c>
      <c r="B31" t="s">
        <v>652</v>
      </c>
      <c r="C31" t="s">
        <v>653</v>
      </c>
      <c r="D31" t="s">
        <v>192</v>
      </c>
      <c r="E31" t="s">
        <v>611</v>
      </c>
      <c r="F31" t="s">
        <v>621</v>
      </c>
      <c r="G31" t="s">
        <v>622</v>
      </c>
      <c r="H31" t="s">
        <v>623</v>
      </c>
      <c r="I31" t="s">
        <v>201</v>
      </c>
      <c r="J31" t="s">
        <v>175</v>
      </c>
      <c r="K31" s="30">
        <v>43032</v>
      </c>
      <c r="L31" s="8">
        <v>43026.400833333333</v>
      </c>
      <c r="M31" s="21">
        <f>LEN(ProjTextTable[[#This Row],[text]])</f>
        <v>2867</v>
      </c>
      <c r="N31" s="21">
        <f>LEN(TRIM(CLEAN(SUBSTITUTE(ProjTextTable[[#This Row],[text]],CHAR(10)," "))))+1 - LEN(SUBSTITUTE(CLEAN(SUBSTITUTE(ProjTextTable[[#This Row],[text]],CHAR(10)," "))," ",""))</f>
        <v>428</v>
      </c>
      <c r="O31" t="s">
        <v>195</v>
      </c>
      <c r="P31" t="s">
        <v>658</v>
      </c>
    </row>
    <row r="32" spans="1:16" x14ac:dyDescent="0.4">
      <c r="A32">
        <f t="shared" si="0"/>
        <v>4</v>
      </c>
      <c r="B32" t="s">
        <v>652</v>
      </c>
      <c r="C32" t="s">
        <v>653</v>
      </c>
      <c r="D32" t="s">
        <v>192</v>
      </c>
      <c r="E32" t="s">
        <v>611</v>
      </c>
      <c r="F32" t="s">
        <v>659</v>
      </c>
      <c r="G32" t="s">
        <v>660</v>
      </c>
      <c r="H32" t="s">
        <v>661</v>
      </c>
      <c r="I32" t="s">
        <v>201</v>
      </c>
      <c r="J32" t="s">
        <v>175</v>
      </c>
      <c r="K32" s="30">
        <v>43032</v>
      </c>
      <c r="L32" s="8">
        <v>43032.510775462964</v>
      </c>
      <c r="M32" s="21">
        <f>LEN(ProjTextTable[[#This Row],[text]])</f>
        <v>6678</v>
      </c>
      <c r="N32" s="21">
        <f>LEN(TRIM(CLEAN(SUBSTITUTE(ProjTextTable[[#This Row],[text]],CHAR(10)," "))))+1 - LEN(SUBSTITUTE(CLEAN(SUBSTITUTE(ProjTextTable[[#This Row],[text]],CHAR(10)," "))," ",""))</f>
        <v>1128</v>
      </c>
      <c r="O32" t="s">
        <v>196</v>
      </c>
      <c r="P32" t="s">
        <v>662</v>
      </c>
    </row>
    <row r="33" spans="1:16" x14ac:dyDescent="0.4">
      <c r="A33">
        <f t="shared" si="0"/>
        <v>4</v>
      </c>
      <c r="B33" t="s">
        <v>652</v>
      </c>
      <c r="C33" t="s">
        <v>653</v>
      </c>
      <c r="D33" t="s">
        <v>192</v>
      </c>
      <c r="E33" t="s">
        <v>611</v>
      </c>
      <c r="F33" t="s">
        <v>647</v>
      </c>
      <c r="G33" t="s">
        <v>648</v>
      </c>
      <c r="H33" t="s">
        <v>649</v>
      </c>
      <c r="I33" t="s">
        <v>201</v>
      </c>
      <c r="J33" t="s">
        <v>175</v>
      </c>
      <c r="K33" s="30">
        <v>43032</v>
      </c>
      <c r="L33" s="8">
        <v>43030.016840277778</v>
      </c>
      <c r="M33" s="21">
        <f>LEN(ProjTextTable[[#This Row],[text]])</f>
        <v>2387</v>
      </c>
      <c r="N33" s="21">
        <f>LEN(TRIM(CLEAN(SUBSTITUTE(ProjTextTable[[#This Row],[text]],CHAR(10)," "))))+1 - LEN(SUBSTITUTE(CLEAN(SUBSTITUTE(ProjTextTable[[#This Row],[text]],CHAR(10)," "))," ",""))</f>
        <v>347</v>
      </c>
      <c r="O33" t="s">
        <v>229</v>
      </c>
      <c r="P33" t="s">
        <v>663</v>
      </c>
    </row>
    <row r="34" spans="1:16" x14ac:dyDescent="0.4">
      <c r="A34">
        <f t="shared" si="0"/>
        <v>4</v>
      </c>
      <c r="B34" t="s">
        <v>652</v>
      </c>
      <c r="C34" t="s">
        <v>653</v>
      </c>
      <c r="D34" t="s">
        <v>192</v>
      </c>
      <c r="E34" t="s">
        <v>611</v>
      </c>
      <c r="F34" t="s">
        <v>664</v>
      </c>
      <c r="G34" t="s">
        <v>665</v>
      </c>
      <c r="H34" t="s">
        <v>666</v>
      </c>
      <c r="I34" t="s">
        <v>201</v>
      </c>
      <c r="J34" t="s">
        <v>175</v>
      </c>
      <c r="K34" s="30">
        <v>43032</v>
      </c>
      <c r="L34" s="8">
        <v>43028.956053240741</v>
      </c>
      <c r="M34" s="21">
        <f>LEN(ProjTextTable[[#This Row],[text]])</f>
        <v>1695</v>
      </c>
      <c r="N34" s="21">
        <f>LEN(TRIM(CLEAN(SUBSTITUTE(ProjTextTable[[#This Row],[text]],CHAR(10)," "))))+1 - LEN(SUBSTITUTE(CLEAN(SUBSTITUTE(ProjTextTable[[#This Row],[text]],CHAR(10)," "))," ",""))</f>
        <v>264</v>
      </c>
      <c r="O34" t="s">
        <v>193</v>
      </c>
      <c r="P34" t="s">
        <v>667</v>
      </c>
    </row>
    <row r="35" spans="1:16" x14ac:dyDescent="0.4">
      <c r="A35">
        <f t="shared" si="0"/>
        <v>4</v>
      </c>
      <c r="B35" t="s">
        <v>652</v>
      </c>
      <c r="C35" t="s">
        <v>653</v>
      </c>
      <c r="D35" t="s">
        <v>194</v>
      </c>
      <c r="E35" t="s">
        <v>654</v>
      </c>
      <c r="F35" t="s">
        <v>13</v>
      </c>
      <c r="G35" t="s">
        <v>13</v>
      </c>
      <c r="H35" t="s">
        <v>13</v>
      </c>
      <c r="K35" s="30"/>
      <c r="L35" s="8">
        <v>42934.04283564815</v>
      </c>
      <c r="M35" s="21">
        <f>LEN(ProjTextTable[[#This Row],[text]])</f>
        <v>3485</v>
      </c>
      <c r="N35" s="21">
        <f>LEN(TRIM(CLEAN(SUBSTITUTE(ProjTextTable[[#This Row],[text]],CHAR(10)," "))))+1 - LEN(SUBSTITUTE(CLEAN(SUBSTITUTE(ProjTextTable[[#This Row],[text]],CHAR(10)," "))," ",""))</f>
        <v>473</v>
      </c>
      <c r="O35" t="s">
        <v>13</v>
      </c>
      <c r="P35" t="s">
        <v>668</v>
      </c>
    </row>
    <row r="36" spans="1:16" x14ac:dyDescent="0.4">
      <c r="A36">
        <f t="shared" si="0"/>
        <v>5</v>
      </c>
      <c r="B36" t="s">
        <v>669</v>
      </c>
      <c r="C36" t="s">
        <v>670</v>
      </c>
      <c r="D36" t="s">
        <v>533</v>
      </c>
      <c r="E36" t="s">
        <v>604</v>
      </c>
      <c r="F36" t="s">
        <v>605</v>
      </c>
      <c r="G36" t="s">
        <v>606</v>
      </c>
      <c r="H36" t="s">
        <v>539</v>
      </c>
      <c r="I36" t="s">
        <v>535</v>
      </c>
      <c r="J36" t="s">
        <v>536</v>
      </c>
      <c r="K36" s="30">
        <v>43031</v>
      </c>
      <c r="L36" s="8">
        <v>43032.60560185185</v>
      </c>
      <c r="M36" s="21">
        <f>LEN(ProjTextTable[[#This Row],[text]])</f>
        <v>4547</v>
      </c>
      <c r="N36" s="21">
        <f>LEN(TRIM(CLEAN(SUBSTITUTE(ProjTextTable[[#This Row],[text]],CHAR(10)," "))))+1 - LEN(SUBSTITUTE(CLEAN(SUBSTITUTE(ProjTextTable[[#This Row],[text]],CHAR(10)," "))," ",""))</f>
        <v>673</v>
      </c>
      <c r="O36" t="s">
        <v>540</v>
      </c>
      <c r="P36" t="s">
        <v>671</v>
      </c>
    </row>
    <row r="37" spans="1:16" x14ac:dyDescent="0.4">
      <c r="A37">
        <f t="shared" si="0"/>
        <v>5</v>
      </c>
      <c r="B37" t="s">
        <v>669</v>
      </c>
      <c r="C37" t="s">
        <v>670</v>
      </c>
      <c r="D37" t="s">
        <v>192</v>
      </c>
      <c r="E37" t="s">
        <v>611</v>
      </c>
      <c r="F37" t="s">
        <v>612</v>
      </c>
      <c r="G37" t="s">
        <v>613</v>
      </c>
      <c r="H37" t="s">
        <v>614</v>
      </c>
      <c r="I37" t="s">
        <v>201</v>
      </c>
      <c r="J37" t="s">
        <v>175</v>
      </c>
      <c r="K37" s="30">
        <v>43032</v>
      </c>
      <c r="L37" s="8">
        <v>43031.584305555552</v>
      </c>
      <c r="M37" s="21">
        <f>LEN(ProjTextTable[[#This Row],[text]])</f>
        <v>2413</v>
      </c>
      <c r="N37" s="21">
        <f>LEN(TRIM(CLEAN(SUBSTITUTE(ProjTextTable[[#This Row],[text]],CHAR(10)," "))))+1 - LEN(SUBSTITUTE(CLEAN(SUBSTITUTE(ProjTextTable[[#This Row],[text]],CHAR(10)," "))," ",""))</f>
        <v>378</v>
      </c>
      <c r="O37" t="s">
        <v>195</v>
      </c>
      <c r="P37" t="s">
        <v>672</v>
      </c>
    </row>
    <row r="38" spans="1:16" x14ac:dyDescent="0.4">
      <c r="A38">
        <f t="shared" si="0"/>
        <v>5</v>
      </c>
      <c r="B38" t="s">
        <v>669</v>
      </c>
      <c r="C38" t="s">
        <v>670</v>
      </c>
      <c r="D38" t="s">
        <v>192</v>
      </c>
      <c r="E38" t="s">
        <v>611</v>
      </c>
      <c r="F38" t="s">
        <v>617</v>
      </c>
      <c r="G38" t="s">
        <v>618</v>
      </c>
      <c r="H38" t="s">
        <v>619</v>
      </c>
      <c r="I38" t="s">
        <v>201</v>
      </c>
      <c r="J38" t="s">
        <v>175</v>
      </c>
      <c r="K38" s="30">
        <v>43032</v>
      </c>
      <c r="L38" s="8">
        <v>43031.433321759258</v>
      </c>
      <c r="M38" s="21">
        <f>LEN(ProjTextTable[[#This Row],[text]])</f>
        <v>2325</v>
      </c>
      <c r="N38" s="21">
        <f>LEN(TRIM(CLEAN(SUBSTITUTE(ProjTextTable[[#This Row],[text]],CHAR(10)," "))))+1 - LEN(SUBSTITUTE(CLEAN(SUBSTITUTE(ProjTextTable[[#This Row],[text]],CHAR(10)," "))," ",""))</f>
        <v>359</v>
      </c>
      <c r="O38" t="s">
        <v>198</v>
      </c>
      <c r="P38" t="s">
        <v>673</v>
      </c>
    </row>
    <row r="39" spans="1:16" x14ac:dyDescent="0.4">
      <c r="A39">
        <f t="shared" si="0"/>
        <v>5</v>
      </c>
      <c r="B39" t="s">
        <v>669</v>
      </c>
      <c r="C39" t="s">
        <v>670</v>
      </c>
      <c r="D39" t="s">
        <v>192</v>
      </c>
      <c r="E39" t="s">
        <v>604</v>
      </c>
      <c r="F39" t="s">
        <v>625</v>
      </c>
      <c r="G39" t="s">
        <v>626</v>
      </c>
      <c r="H39" t="s">
        <v>627</v>
      </c>
      <c r="I39" t="s">
        <v>201</v>
      </c>
      <c r="J39" t="s">
        <v>175</v>
      </c>
      <c r="K39" s="30">
        <v>43032</v>
      </c>
      <c r="L39" s="8">
        <v>43018.886724537035</v>
      </c>
      <c r="M39" s="21">
        <f>LEN(ProjTextTable[[#This Row],[text]])</f>
        <v>1961</v>
      </c>
      <c r="N39" s="21">
        <f>LEN(TRIM(CLEAN(SUBSTITUTE(ProjTextTable[[#This Row],[text]],CHAR(10)," "))))+1 - LEN(SUBSTITUTE(CLEAN(SUBSTITUTE(ProjTextTable[[#This Row],[text]],CHAR(10)," "))," ",""))</f>
        <v>296</v>
      </c>
      <c r="O39" t="s">
        <v>196</v>
      </c>
      <c r="P39" t="s">
        <v>674</v>
      </c>
    </row>
    <row r="40" spans="1:16" x14ac:dyDescent="0.4">
      <c r="A40">
        <f t="shared" si="0"/>
        <v>5</v>
      </c>
      <c r="B40" t="s">
        <v>669</v>
      </c>
      <c r="C40" t="s">
        <v>670</v>
      </c>
      <c r="D40" t="s">
        <v>192</v>
      </c>
      <c r="E40" t="s">
        <v>611</v>
      </c>
      <c r="F40" t="s">
        <v>664</v>
      </c>
      <c r="G40" t="s">
        <v>665</v>
      </c>
      <c r="H40" t="s">
        <v>666</v>
      </c>
      <c r="I40" t="s">
        <v>201</v>
      </c>
      <c r="J40" t="s">
        <v>175</v>
      </c>
      <c r="K40" s="30">
        <v>43032</v>
      </c>
      <c r="L40" s="8">
        <v>43029.019606481481</v>
      </c>
      <c r="M40" s="21">
        <f>LEN(ProjTextTable[[#This Row],[text]])</f>
        <v>1910</v>
      </c>
      <c r="N40" s="21">
        <f>LEN(TRIM(CLEAN(SUBSTITUTE(ProjTextTable[[#This Row],[text]],CHAR(10)," "))))+1 - LEN(SUBSTITUTE(CLEAN(SUBSTITUTE(ProjTextTable[[#This Row],[text]],CHAR(10)," "))," ",""))</f>
        <v>279</v>
      </c>
      <c r="O40" t="s">
        <v>196</v>
      </c>
      <c r="P40" t="s">
        <v>675</v>
      </c>
    </row>
    <row r="41" spans="1:16" x14ac:dyDescent="0.4">
      <c r="A41">
        <f t="shared" si="0"/>
        <v>5</v>
      </c>
      <c r="B41" t="s">
        <v>669</v>
      </c>
      <c r="C41" t="s">
        <v>670</v>
      </c>
      <c r="D41" t="s">
        <v>194</v>
      </c>
      <c r="E41" t="s">
        <v>604</v>
      </c>
      <c r="F41" t="s">
        <v>13</v>
      </c>
      <c r="G41" t="s">
        <v>13</v>
      </c>
      <c r="H41" t="s">
        <v>13</v>
      </c>
      <c r="K41" s="30"/>
      <c r="L41" s="8">
        <v>42934.043171296296</v>
      </c>
      <c r="M41" s="21">
        <f>LEN(ProjTextTable[[#This Row],[text]])</f>
        <v>4358</v>
      </c>
      <c r="N41" s="21">
        <f>LEN(TRIM(CLEAN(SUBSTITUTE(ProjTextTable[[#This Row],[text]],CHAR(10)," "))))+1 - LEN(SUBSTITUTE(CLEAN(SUBSTITUTE(ProjTextTable[[#This Row],[text]],CHAR(10)," "))," ",""))</f>
        <v>666</v>
      </c>
      <c r="O41" t="s">
        <v>13</v>
      </c>
      <c r="P41" t="s">
        <v>676</v>
      </c>
    </row>
    <row r="42" spans="1:16" x14ac:dyDescent="0.4">
      <c r="A42">
        <f t="shared" si="0"/>
        <v>6</v>
      </c>
      <c r="B42" t="s">
        <v>677</v>
      </c>
      <c r="C42" t="s">
        <v>678</v>
      </c>
      <c r="D42" t="s">
        <v>533</v>
      </c>
      <c r="E42" t="s">
        <v>604</v>
      </c>
      <c r="F42" t="s">
        <v>605</v>
      </c>
      <c r="G42" t="s">
        <v>606</v>
      </c>
      <c r="H42" t="s">
        <v>543</v>
      </c>
      <c r="I42" t="s">
        <v>537</v>
      </c>
      <c r="J42" t="s">
        <v>537</v>
      </c>
      <c r="K42" s="30">
        <v>43031</v>
      </c>
      <c r="L42" s="8">
        <v>43032.642650462964</v>
      </c>
      <c r="M42" s="21">
        <f>LEN(ProjTextTable[[#This Row],[text]])</f>
        <v>3611</v>
      </c>
      <c r="N42" s="21">
        <f>LEN(TRIM(CLEAN(SUBSTITUTE(ProjTextTable[[#This Row],[text]],CHAR(10)," "))))+1 - LEN(SUBSTITUTE(CLEAN(SUBSTITUTE(ProjTextTable[[#This Row],[text]],CHAR(10)," "))," ",""))</f>
        <v>527</v>
      </c>
      <c r="O42" t="s">
        <v>544</v>
      </c>
      <c r="P42" t="s">
        <v>679</v>
      </c>
    </row>
    <row r="43" spans="1:16" x14ac:dyDescent="0.4">
      <c r="A43">
        <f t="shared" si="0"/>
        <v>6</v>
      </c>
      <c r="B43" t="s">
        <v>677</v>
      </c>
      <c r="C43" t="s">
        <v>678</v>
      </c>
      <c r="D43" t="s">
        <v>192</v>
      </c>
      <c r="E43" t="s">
        <v>611</v>
      </c>
      <c r="F43" t="s">
        <v>643</v>
      </c>
      <c r="G43" t="s">
        <v>644</v>
      </c>
      <c r="H43" t="s">
        <v>645</v>
      </c>
      <c r="I43" t="s">
        <v>201</v>
      </c>
      <c r="J43" t="s">
        <v>175</v>
      </c>
      <c r="K43" s="30">
        <v>43032</v>
      </c>
      <c r="L43" s="8">
        <v>43028.861875000002</v>
      </c>
      <c r="M43" s="21">
        <f>LEN(ProjTextTable[[#This Row],[text]])</f>
        <v>2647</v>
      </c>
      <c r="N43" s="21">
        <f>LEN(TRIM(CLEAN(SUBSTITUTE(ProjTextTable[[#This Row],[text]],CHAR(10)," "))))+1 - LEN(SUBSTITUTE(CLEAN(SUBSTITUTE(ProjTextTable[[#This Row],[text]],CHAR(10)," "))," ",""))</f>
        <v>399</v>
      </c>
      <c r="O43" t="s">
        <v>229</v>
      </c>
      <c r="P43" t="s">
        <v>680</v>
      </c>
    </row>
    <row r="44" spans="1:16" x14ac:dyDescent="0.4">
      <c r="A44">
        <f t="shared" si="0"/>
        <v>6</v>
      </c>
      <c r="B44" t="s">
        <v>677</v>
      </c>
      <c r="C44" t="s">
        <v>678</v>
      </c>
      <c r="D44" t="s">
        <v>192</v>
      </c>
      <c r="E44" t="s">
        <v>611</v>
      </c>
      <c r="F44" t="s">
        <v>617</v>
      </c>
      <c r="G44" t="s">
        <v>618</v>
      </c>
      <c r="H44" t="s">
        <v>619</v>
      </c>
      <c r="I44" t="s">
        <v>201</v>
      </c>
      <c r="J44" t="s">
        <v>175</v>
      </c>
      <c r="K44" s="30">
        <v>43032</v>
      </c>
      <c r="L44" s="8">
        <v>43031.376006944447</v>
      </c>
      <c r="M44" s="21">
        <f>LEN(ProjTextTable[[#This Row],[text]])</f>
        <v>2191</v>
      </c>
      <c r="N44" s="21">
        <f>LEN(TRIM(CLEAN(SUBSTITUTE(ProjTextTable[[#This Row],[text]],CHAR(10)," "))))+1 - LEN(SUBSTITUTE(CLEAN(SUBSTITUTE(ProjTextTable[[#This Row],[text]],CHAR(10)," "))," ",""))</f>
        <v>350</v>
      </c>
      <c r="O44" t="s">
        <v>229</v>
      </c>
      <c r="P44" t="s">
        <v>681</v>
      </c>
    </row>
    <row r="45" spans="1:16" x14ac:dyDescent="0.4">
      <c r="A45">
        <f t="shared" si="0"/>
        <v>6</v>
      </c>
      <c r="B45" t="s">
        <v>677</v>
      </c>
      <c r="C45" t="s">
        <v>678</v>
      </c>
      <c r="D45" t="s">
        <v>192</v>
      </c>
      <c r="E45" t="s">
        <v>611</v>
      </c>
      <c r="F45" t="s">
        <v>621</v>
      </c>
      <c r="G45" t="s">
        <v>622</v>
      </c>
      <c r="H45" t="s">
        <v>623</v>
      </c>
      <c r="I45" t="s">
        <v>201</v>
      </c>
      <c r="J45" t="s">
        <v>175</v>
      </c>
      <c r="K45" s="30">
        <v>43032</v>
      </c>
      <c r="L45" s="8">
        <v>43030.878263888888</v>
      </c>
      <c r="M45" s="21">
        <f>LEN(ProjTextTable[[#This Row],[text]])</f>
        <v>1995</v>
      </c>
      <c r="N45" s="21">
        <f>LEN(TRIM(CLEAN(SUBSTITUTE(ProjTextTable[[#This Row],[text]],CHAR(10)," "))))+1 - LEN(SUBSTITUTE(CLEAN(SUBSTITUTE(ProjTextTable[[#This Row],[text]],CHAR(10)," "))," ",""))</f>
        <v>300</v>
      </c>
      <c r="O45" t="s">
        <v>195</v>
      </c>
      <c r="P45" t="s">
        <v>682</v>
      </c>
    </row>
    <row r="46" spans="1:16" x14ac:dyDescent="0.4">
      <c r="A46">
        <f t="shared" si="0"/>
        <v>6</v>
      </c>
      <c r="B46" t="s">
        <v>677</v>
      </c>
      <c r="C46" t="s">
        <v>678</v>
      </c>
      <c r="D46" t="s">
        <v>192</v>
      </c>
      <c r="E46" t="s">
        <v>604</v>
      </c>
      <c r="F46" t="s">
        <v>625</v>
      </c>
      <c r="G46" t="s">
        <v>626</v>
      </c>
      <c r="H46" t="s">
        <v>627</v>
      </c>
      <c r="I46" t="s">
        <v>201</v>
      </c>
      <c r="J46" t="s">
        <v>175</v>
      </c>
      <c r="K46" s="30">
        <v>43032</v>
      </c>
      <c r="L46" s="8">
        <v>43023.931284722225</v>
      </c>
      <c r="M46" s="21">
        <f>LEN(ProjTextTable[[#This Row],[text]])</f>
        <v>2561</v>
      </c>
      <c r="N46" s="21">
        <f>LEN(TRIM(CLEAN(SUBSTITUTE(ProjTextTable[[#This Row],[text]],CHAR(10)," "))))+1 - LEN(SUBSTITUTE(CLEAN(SUBSTITUTE(ProjTextTable[[#This Row],[text]],CHAR(10)," "))," ",""))</f>
        <v>401</v>
      </c>
      <c r="O46" t="s">
        <v>198</v>
      </c>
      <c r="P46" t="s">
        <v>683</v>
      </c>
    </row>
    <row r="47" spans="1:16" x14ac:dyDescent="0.4">
      <c r="A47">
        <f t="shared" si="0"/>
        <v>6</v>
      </c>
      <c r="B47" t="s">
        <v>677</v>
      </c>
      <c r="C47" t="s">
        <v>678</v>
      </c>
      <c r="D47" t="s">
        <v>194</v>
      </c>
      <c r="E47" t="s">
        <v>604</v>
      </c>
      <c r="F47" t="s">
        <v>13</v>
      </c>
      <c r="G47" t="s">
        <v>13</v>
      </c>
      <c r="H47" t="s">
        <v>13</v>
      </c>
      <c r="K47" s="30"/>
      <c r="L47" s="8">
        <v>42934.043275462966</v>
      </c>
      <c r="M47" s="21">
        <f>LEN(ProjTextTable[[#This Row],[text]])</f>
        <v>3506</v>
      </c>
      <c r="N47" s="21">
        <f>LEN(TRIM(CLEAN(SUBSTITUTE(ProjTextTable[[#This Row],[text]],CHAR(10)," "))))+1 - LEN(SUBSTITUTE(CLEAN(SUBSTITUTE(ProjTextTable[[#This Row],[text]],CHAR(10)," "))," ",""))</f>
        <v>480</v>
      </c>
      <c r="O47" t="s">
        <v>13</v>
      </c>
      <c r="P47" t="s">
        <v>684</v>
      </c>
    </row>
    <row r="48" spans="1:16" x14ac:dyDescent="0.4">
      <c r="A48">
        <f t="shared" si="0"/>
        <v>7</v>
      </c>
      <c r="B48" t="s">
        <v>685</v>
      </c>
      <c r="C48" t="s">
        <v>686</v>
      </c>
      <c r="D48" t="s">
        <v>533</v>
      </c>
      <c r="E48" t="s">
        <v>654</v>
      </c>
      <c r="F48" t="s">
        <v>605</v>
      </c>
      <c r="G48" t="s">
        <v>606</v>
      </c>
      <c r="H48" t="s">
        <v>539</v>
      </c>
      <c r="I48" t="s">
        <v>535</v>
      </c>
      <c r="J48" t="s">
        <v>355</v>
      </c>
      <c r="K48" s="30">
        <v>43031</v>
      </c>
      <c r="L48" s="8">
        <v>43032.565138888887</v>
      </c>
      <c r="M48" s="21">
        <f>LEN(ProjTextTable[[#This Row],[text]])</f>
        <v>3363</v>
      </c>
      <c r="N48" s="21">
        <f>LEN(TRIM(CLEAN(SUBSTITUTE(ProjTextTable[[#This Row],[text]],CHAR(10)," "))))+1 - LEN(SUBSTITUTE(CLEAN(SUBSTITUTE(ProjTextTable[[#This Row],[text]],CHAR(10)," "))," ",""))</f>
        <v>509</v>
      </c>
      <c r="O48" t="s">
        <v>540</v>
      </c>
      <c r="P48" t="s">
        <v>687</v>
      </c>
    </row>
    <row r="49" spans="1:16" x14ac:dyDescent="0.4">
      <c r="A49">
        <f t="shared" si="0"/>
        <v>7</v>
      </c>
      <c r="B49" t="s">
        <v>685</v>
      </c>
      <c r="C49" t="s">
        <v>686</v>
      </c>
      <c r="D49" t="s">
        <v>192</v>
      </c>
      <c r="E49" t="s">
        <v>611</v>
      </c>
      <c r="F49" t="s">
        <v>688</v>
      </c>
      <c r="G49" t="s">
        <v>689</v>
      </c>
      <c r="H49" t="s">
        <v>690</v>
      </c>
      <c r="I49" t="s">
        <v>201</v>
      </c>
      <c r="J49" t="s">
        <v>175</v>
      </c>
      <c r="K49" s="30">
        <v>43032</v>
      </c>
      <c r="L49" s="8">
        <v>43030.868946759256</v>
      </c>
      <c r="M49" s="21">
        <f>LEN(ProjTextTable[[#This Row],[text]])</f>
        <v>3913</v>
      </c>
      <c r="N49" s="21">
        <f>LEN(TRIM(CLEAN(SUBSTITUTE(ProjTextTable[[#This Row],[text]],CHAR(10)," "))))+1 - LEN(SUBSTITUTE(CLEAN(SUBSTITUTE(ProjTextTable[[#This Row],[text]],CHAR(10)," "))," ",""))</f>
        <v>608</v>
      </c>
      <c r="O49" t="s">
        <v>196</v>
      </c>
      <c r="P49" t="s">
        <v>691</v>
      </c>
    </row>
    <row r="50" spans="1:16" x14ac:dyDescent="0.4">
      <c r="A50">
        <f t="shared" si="0"/>
        <v>7</v>
      </c>
      <c r="B50" t="s">
        <v>685</v>
      </c>
      <c r="C50" t="s">
        <v>686</v>
      </c>
      <c r="D50" t="s">
        <v>192</v>
      </c>
      <c r="E50" t="s">
        <v>611</v>
      </c>
      <c r="F50" t="s">
        <v>692</v>
      </c>
      <c r="G50" t="s">
        <v>693</v>
      </c>
      <c r="H50" t="s">
        <v>694</v>
      </c>
      <c r="I50" t="s">
        <v>201</v>
      </c>
      <c r="J50" t="s">
        <v>175</v>
      </c>
      <c r="K50" s="30">
        <v>43032</v>
      </c>
      <c r="L50" s="8">
        <v>43027.621539351851</v>
      </c>
      <c r="M50" s="21">
        <f>LEN(ProjTextTable[[#This Row],[text]])</f>
        <v>2023</v>
      </c>
      <c r="N50" s="21">
        <f>LEN(TRIM(CLEAN(SUBSTITUTE(ProjTextTable[[#This Row],[text]],CHAR(10)," "))))+1 - LEN(SUBSTITUTE(CLEAN(SUBSTITUTE(ProjTextTable[[#This Row],[text]],CHAR(10)," "))," ",""))</f>
        <v>292</v>
      </c>
      <c r="O50" t="s">
        <v>196</v>
      </c>
      <c r="P50" t="s">
        <v>695</v>
      </c>
    </row>
    <row r="51" spans="1:16" x14ac:dyDescent="0.4">
      <c r="A51">
        <f t="shared" si="0"/>
        <v>7</v>
      </c>
      <c r="B51" t="s">
        <v>685</v>
      </c>
      <c r="C51" t="s">
        <v>686</v>
      </c>
      <c r="D51" t="s">
        <v>192</v>
      </c>
      <c r="E51" t="s">
        <v>611</v>
      </c>
      <c r="F51" t="s">
        <v>659</v>
      </c>
      <c r="G51" t="s">
        <v>660</v>
      </c>
      <c r="H51" t="s">
        <v>661</v>
      </c>
      <c r="I51" t="s">
        <v>201</v>
      </c>
      <c r="J51" t="s">
        <v>175</v>
      </c>
      <c r="K51" s="30">
        <v>43032</v>
      </c>
      <c r="L51" s="8">
        <v>43032.51840277778</v>
      </c>
      <c r="M51" s="21">
        <f>LEN(ProjTextTable[[#This Row],[text]])</f>
        <v>6091</v>
      </c>
      <c r="N51" s="21">
        <f>LEN(TRIM(CLEAN(SUBSTITUTE(ProjTextTable[[#This Row],[text]],CHAR(10)," "))))+1 - LEN(SUBSTITUTE(CLEAN(SUBSTITUTE(ProjTextTable[[#This Row],[text]],CHAR(10)," "))," ",""))</f>
        <v>1005</v>
      </c>
      <c r="O51" t="s">
        <v>196</v>
      </c>
      <c r="P51" t="s">
        <v>696</v>
      </c>
    </row>
    <row r="52" spans="1:16" x14ac:dyDescent="0.4">
      <c r="A52">
        <f t="shared" si="0"/>
        <v>7</v>
      </c>
      <c r="B52" t="s">
        <v>685</v>
      </c>
      <c r="C52" t="s">
        <v>686</v>
      </c>
      <c r="D52" t="s">
        <v>192</v>
      </c>
      <c r="E52" t="s">
        <v>611</v>
      </c>
      <c r="F52" t="s">
        <v>697</v>
      </c>
      <c r="G52" t="s">
        <v>698</v>
      </c>
      <c r="H52" t="s">
        <v>699</v>
      </c>
      <c r="I52" t="s">
        <v>201</v>
      </c>
      <c r="J52" t="s">
        <v>175</v>
      </c>
      <c r="K52" s="30">
        <v>43032</v>
      </c>
      <c r="L52" s="8">
        <v>43026.70616898148</v>
      </c>
      <c r="M52" s="21">
        <f>LEN(ProjTextTable[[#This Row],[text]])</f>
        <v>2375</v>
      </c>
      <c r="N52" s="21">
        <f>LEN(TRIM(CLEAN(SUBSTITUTE(ProjTextTable[[#This Row],[text]],CHAR(10)," "))))+1 - LEN(SUBSTITUTE(CLEAN(SUBSTITUTE(ProjTextTable[[#This Row],[text]],CHAR(10)," "))," ",""))</f>
        <v>373</v>
      </c>
      <c r="O52" t="s">
        <v>193</v>
      </c>
      <c r="P52" t="s">
        <v>700</v>
      </c>
    </row>
    <row r="53" spans="1:16" x14ac:dyDescent="0.4">
      <c r="A53">
        <f t="shared" si="0"/>
        <v>7</v>
      </c>
      <c r="B53" t="s">
        <v>685</v>
      </c>
      <c r="C53" t="s">
        <v>686</v>
      </c>
      <c r="D53" t="s">
        <v>194</v>
      </c>
      <c r="E53" t="s">
        <v>654</v>
      </c>
      <c r="F53" t="s">
        <v>13</v>
      </c>
      <c r="G53" t="s">
        <v>13</v>
      </c>
      <c r="H53" t="s">
        <v>13</v>
      </c>
      <c r="K53" s="30"/>
      <c r="L53" s="8">
        <v>42935.042743055557</v>
      </c>
      <c r="M53" s="21">
        <f>LEN(ProjTextTable[[#This Row],[text]])</f>
        <v>4068</v>
      </c>
      <c r="N53" s="21">
        <f>LEN(TRIM(CLEAN(SUBSTITUTE(ProjTextTable[[#This Row],[text]],CHAR(10)," "))))+1 - LEN(SUBSTITUTE(CLEAN(SUBSTITUTE(ProjTextTable[[#This Row],[text]],CHAR(10)," "))," ",""))</f>
        <v>585</v>
      </c>
      <c r="O53" t="s">
        <v>13</v>
      </c>
      <c r="P53" t="s">
        <v>701</v>
      </c>
    </row>
    <row r="54" spans="1:16" x14ac:dyDescent="0.4">
      <c r="A54">
        <f t="shared" si="0"/>
        <v>8</v>
      </c>
      <c r="B54" t="s">
        <v>702</v>
      </c>
      <c r="C54" t="s">
        <v>703</v>
      </c>
      <c r="D54" t="s">
        <v>533</v>
      </c>
      <c r="E54" t="s">
        <v>654</v>
      </c>
      <c r="F54" t="s">
        <v>605</v>
      </c>
      <c r="G54" t="s">
        <v>606</v>
      </c>
      <c r="H54" t="s">
        <v>539</v>
      </c>
      <c r="I54" t="s">
        <v>535</v>
      </c>
      <c r="J54" t="s">
        <v>545</v>
      </c>
      <c r="K54" s="30">
        <v>43031</v>
      </c>
      <c r="L54" s="8">
        <v>43032.644236111111</v>
      </c>
      <c r="M54" s="21">
        <f>LEN(ProjTextTable[[#This Row],[text]])</f>
        <v>4027</v>
      </c>
      <c r="N54" s="21">
        <f>LEN(TRIM(CLEAN(SUBSTITUTE(ProjTextTable[[#This Row],[text]],CHAR(10)," "))))+1 - LEN(SUBSTITUTE(CLEAN(SUBSTITUTE(ProjTextTable[[#This Row],[text]],CHAR(10)," "))," ",""))</f>
        <v>611</v>
      </c>
      <c r="O54" t="s">
        <v>540</v>
      </c>
      <c r="P54" t="s">
        <v>704</v>
      </c>
    </row>
    <row r="55" spans="1:16" x14ac:dyDescent="0.4">
      <c r="A55">
        <f t="shared" si="0"/>
        <v>8</v>
      </c>
      <c r="B55" t="s">
        <v>702</v>
      </c>
      <c r="C55" t="s">
        <v>703</v>
      </c>
      <c r="D55" t="s">
        <v>192</v>
      </c>
      <c r="E55" t="s">
        <v>611</v>
      </c>
      <c r="F55" t="s">
        <v>643</v>
      </c>
      <c r="G55" t="s">
        <v>644</v>
      </c>
      <c r="H55" t="s">
        <v>645</v>
      </c>
      <c r="I55" t="s">
        <v>201</v>
      </c>
      <c r="J55" t="s">
        <v>175</v>
      </c>
      <c r="K55" s="30">
        <v>43032</v>
      </c>
      <c r="L55" s="8">
        <v>43028.861875000002</v>
      </c>
      <c r="M55" s="21">
        <f>LEN(ProjTextTable[[#This Row],[text]])</f>
        <v>2572</v>
      </c>
      <c r="N55" s="21">
        <f>LEN(TRIM(CLEAN(SUBSTITUTE(ProjTextTable[[#This Row],[text]],CHAR(10)," "))))+1 - LEN(SUBSTITUTE(CLEAN(SUBSTITUTE(ProjTextTable[[#This Row],[text]],CHAR(10)," "))," ",""))</f>
        <v>393</v>
      </c>
      <c r="O55" t="s">
        <v>196</v>
      </c>
      <c r="P55" t="s">
        <v>705</v>
      </c>
    </row>
    <row r="56" spans="1:16" x14ac:dyDescent="0.4">
      <c r="A56">
        <f t="shared" si="0"/>
        <v>8</v>
      </c>
      <c r="B56" t="s">
        <v>702</v>
      </c>
      <c r="C56" t="s">
        <v>703</v>
      </c>
      <c r="D56" t="s">
        <v>192</v>
      </c>
      <c r="E56" t="s">
        <v>654</v>
      </c>
      <c r="F56" t="s">
        <v>625</v>
      </c>
      <c r="G56" t="s">
        <v>626</v>
      </c>
      <c r="H56" t="s">
        <v>627</v>
      </c>
      <c r="I56" t="s">
        <v>201</v>
      </c>
      <c r="J56" t="s">
        <v>175</v>
      </c>
      <c r="K56" s="30">
        <v>43032</v>
      </c>
      <c r="L56" s="8">
        <v>43017.899826388886</v>
      </c>
      <c r="M56" s="21">
        <f>LEN(ProjTextTable[[#This Row],[text]])</f>
        <v>3376</v>
      </c>
      <c r="N56" s="21">
        <f>LEN(TRIM(CLEAN(SUBSTITUTE(ProjTextTable[[#This Row],[text]],CHAR(10)," "))))+1 - LEN(SUBSTITUTE(CLEAN(SUBSTITUTE(ProjTextTable[[#This Row],[text]],CHAR(10)," "))," ",""))</f>
        <v>539</v>
      </c>
      <c r="O56" t="s">
        <v>196</v>
      </c>
      <c r="P56" t="s">
        <v>706</v>
      </c>
    </row>
    <row r="57" spans="1:16" x14ac:dyDescent="0.4">
      <c r="A57">
        <f t="shared" si="0"/>
        <v>8</v>
      </c>
      <c r="B57" t="s">
        <v>702</v>
      </c>
      <c r="C57" t="s">
        <v>703</v>
      </c>
      <c r="D57" t="s">
        <v>192</v>
      </c>
      <c r="E57" t="s">
        <v>611</v>
      </c>
      <c r="F57" t="s">
        <v>659</v>
      </c>
      <c r="G57" t="s">
        <v>660</v>
      </c>
      <c r="H57" t="s">
        <v>661</v>
      </c>
      <c r="I57" t="s">
        <v>201</v>
      </c>
      <c r="J57" t="s">
        <v>175</v>
      </c>
      <c r="K57" s="30">
        <v>43032</v>
      </c>
      <c r="L57" s="8">
        <v>43032.515555555554</v>
      </c>
      <c r="M57" s="21">
        <f>LEN(ProjTextTable[[#This Row],[text]])</f>
        <v>5884</v>
      </c>
      <c r="N57" s="21">
        <f>LEN(TRIM(CLEAN(SUBSTITUTE(ProjTextTable[[#This Row],[text]],CHAR(10)," "))))+1 - LEN(SUBSTITUTE(CLEAN(SUBSTITUTE(ProjTextTable[[#This Row],[text]],CHAR(10)," "))," ",""))</f>
        <v>993</v>
      </c>
      <c r="O57" t="s">
        <v>196</v>
      </c>
      <c r="P57" t="s">
        <v>707</v>
      </c>
    </row>
    <row r="58" spans="1:16" x14ac:dyDescent="0.4">
      <c r="A58">
        <f t="shared" si="0"/>
        <v>8</v>
      </c>
      <c r="B58" t="s">
        <v>702</v>
      </c>
      <c r="C58" t="s">
        <v>703</v>
      </c>
      <c r="D58" t="s">
        <v>192</v>
      </c>
      <c r="E58" t="s">
        <v>611</v>
      </c>
      <c r="F58" t="s">
        <v>708</v>
      </c>
      <c r="G58" t="s">
        <v>709</v>
      </c>
      <c r="H58" t="s">
        <v>710</v>
      </c>
      <c r="I58" t="s">
        <v>201</v>
      </c>
      <c r="J58" t="s">
        <v>175</v>
      </c>
      <c r="K58" s="30">
        <v>43032</v>
      </c>
      <c r="L58" s="8">
        <v>43030.115324074075</v>
      </c>
      <c r="M58" s="21">
        <f>LEN(ProjTextTable[[#This Row],[text]])</f>
        <v>2904</v>
      </c>
      <c r="N58" s="21">
        <f>LEN(TRIM(CLEAN(SUBSTITUTE(ProjTextTable[[#This Row],[text]],CHAR(10)," "))))+1 - LEN(SUBSTITUTE(CLEAN(SUBSTITUTE(ProjTextTable[[#This Row],[text]],CHAR(10)," "))," ",""))</f>
        <v>453</v>
      </c>
      <c r="O58" t="s">
        <v>229</v>
      </c>
      <c r="P58" t="s">
        <v>711</v>
      </c>
    </row>
    <row r="59" spans="1:16" x14ac:dyDescent="0.4">
      <c r="A59">
        <f t="shared" si="0"/>
        <v>9</v>
      </c>
      <c r="B59" t="s">
        <v>712</v>
      </c>
      <c r="C59" t="s">
        <v>713</v>
      </c>
      <c r="D59" t="s">
        <v>533</v>
      </c>
      <c r="E59" t="s">
        <v>611</v>
      </c>
      <c r="F59" t="s">
        <v>714</v>
      </c>
      <c r="G59" t="s">
        <v>715</v>
      </c>
      <c r="H59" t="s">
        <v>539</v>
      </c>
      <c r="I59" t="s">
        <v>535</v>
      </c>
      <c r="J59" t="s">
        <v>545</v>
      </c>
      <c r="K59" s="30">
        <v>43059</v>
      </c>
      <c r="L59" s="8">
        <v>43060.603310185186</v>
      </c>
      <c r="M59" s="21">
        <f>LEN(ProjTextTable[[#This Row],[text]])</f>
        <v>2457</v>
      </c>
      <c r="N59" s="21">
        <f>LEN(TRIM(CLEAN(SUBSTITUTE(ProjTextTable[[#This Row],[text]],CHAR(10)," "))))+1 - LEN(SUBSTITUTE(CLEAN(SUBSTITUTE(ProjTextTable[[#This Row],[text]],CHAR(10)," "))," ",""))</f>
        <v>367</v>
      </c>
      <c r="O59" t="s">
        <v>540</v>
      </c>
      <c r="P59" t="s">
        <v>716</v>
      </c>
    </row>
    <row r="60" spans="1:16" x14ac:dyDescent="0.4">
      <c r="A60">
        <f t="shared" si="0"/>
        <v>9</v>
      </c>
      <c r="B60" t="s">
        <v>712</v>
      </c>
      <c r="C60" t="s">
        <v>713</v>
      </c>
      <c r="D60" t="s">
        <v>192</v>
      </c>
      <c r="E60" t="s">
        <v>611</v>
      </c>
      <c r="F60" t="s">
        <v>717</v>
      </c>
      <c r="G60" t="s">
        <v>718</v>
      </c>
      <c r="H60" t="s">
        <v>719</v>
      </c>
      <c r="I60" t="s">
        <v>201</v>
      </c>
      <c r="J60" t="s">
        <v>175</v>
      </c>
      <c r="K60" s="30">
        <v>43060</v>
      </c>
      <c r="L60" s="8">
        <v>43058.884155092594</v>
      </c>
      <c r="M60" s="21">
        <f>LEN(ProjTextTable[[#This Row],[text]])</f>
        <v>3205</v>
      </c>
      <c r="N60" s="21">
        <f>LEN(TRIM(CLEAN(SUBSTITUTE(ProjTextTable[[#This Row],[text]],CHAR(10)," "))))+1 - LEN(SUBSTITUTE(CLEAN(SUBSTITUTE(ProjTextTable[[#This Row],[text]],CHAR(10)," "))," ",""))</f>
        <v>478</v>
      </c>
      <c r="O60" t="s">
        <v>196</v>
      </c>
      <c r="P60" t="s">
        <v>720</v>
      </c>
    </row>
    <row r="61" spans="1:16" x14ac:dyDescent="0.4">
      <c r="A61">
        <f t="shared" si="0"/>
        <v>9</v>
      </c>
      <c r="B61" t="s">
        <v>712</v>
      </c>
      <c r="C61" t="s">
        <v>713</v>
      </c>
      <c r="D61" t="s">
        <v>192</v>
      </c>
      <c r="E61" t="s">
        <v>611</v>
      </c>
      <c r="F61" t="s">
        <v>721</v>
      </c>
      <c r="G61" t="s">
        <v>722</v>
      </c>
      <c r="H61" t="s">
        <v>723</v>
      </c>
      <c r="I61" t="s">
        <v>201</v>
      </c>
      <c r="J61" t="s">
        <v>175</v>
      </c>
      <c r="K61" s="30">
        <v>43060</v>
      </c>
      <c r="L61" s="8">
        <v>43055.8827662037</v>
      </c>
      <c r="M61" s="21">
        <f>LEN(ProjTextTable[[#This Row],[text]])</f>
        <v>1731</v>
      </c>
      <c r="N61" s="21">
        <f>LEN(TRIM(CLEAN(SUBSTITUTE(ProjTextTable[[#This Row],[text]],CHAR(10)," "))))+1 - LEN(SUBSTITUTE(CLEAN(SUBSTITUTE(ProjTextTable[[#This Row],[text]],CHAR(10)," "))," ",""))</f>
        <v>268</v>
      </c>
      <c r="O61" t="s">
        <v>229</v>
      </c>
      <c r="P61" t="s">
        <v>724</v>
      </c>
    </row>
    <row r="62" spans="1:16" x14ac:dyDescent="0.4">
      <c r="A62">
        <f t="shared" si="0"/>
        <v>9</v>
      </c>
      <c r="B62" t="s">
        <v>712</v>
      </c>
      <c r="C62" t="s">
        <v>713</v>
      </c>
      <c r="D62" t="s">
        <v>192</v>
      </c>
      <c r="E62" t="s">
        <v>611</v>
      </c>
      <c r="F62" t="s">
        <v>725</v>
      </c>
      <c r="G62" t="s">
        <v>726</v>
      </c>
      <c r="H62" t="s">
        <v>727</v>
      </c>
      <c r="I62" t="s">
        <v>201</v>
      </c>
      <c r="J62" t="s">
        <v>175</v>
      </c>
      <c r="K62" s="30">
        <v>43060</v>
      </c>
      <c r="L62" s="8">
        <v>43059.920208333337</v>
      </c>
      <c r="M62" s="21">
        <f>LEN(ProjTextTable[[#This Row],[text]])</f>
        <v>1340</v>
      </c>
      <c r="N62" s="21">
        <f>LEN(TRIM(CLEAN(SUBSTITUTE(ProjTextTable[[#This Row],[text]],CHAR(10)," "))))+1 - LEN(SUBSTITUTE(CLEAN(SUBSTITUTE(ProjTextTable[[#This Row],[text]],CHAR(10)," "))," ",""))</f>
        <v>195</v>
      </c>
      <c r="O62" t="s">
        <v>193</v>
      </c>
      <c r="P62" t="s">
        <v>728</v>
      </c>
    </row>
    <row r="63" spans="1:16" x14ac:dyDescent="0.4">
      <c r="A63">
        <f t="shared" si="0"/>
        <v>9</v>
      </c>
      <c r="B63" t="s">
        <v>712</v>
      </c>
      <c r="C63" t="s">
        <v>713</v>
      </c>
      <c r="D63" t="s">
        <v>192</v>
      </c>
      <c r="E63" t="s">
        <v>611</v>
      </c>
      <c r="F63" t="s">
        <v>729</v>
      </c>
      <c r="G63" t="s">
        <v>730</v>
      </c>
      <c r="H63" t="s">
        <v>731</v>
      </c>
      <c r="I63" t="s">
        <v>201</v>
      </c>
      <c r="J63" t="s">
        <v>175</v>
      </c>
      <c r="K63" s="30">
        <v>43060</v>
      </c>
      <c r="L63" s="8">
        <v>43056.618009259262</v>
      </c>
      <c r="M63" s="21">
        <f>LEN(ProjTextTable[[#This Row],[text]])</f>
        <v>1555</v>
      </c>
      <c r="N63" s="21">
        <f>LEN(TRIM(CLEAN(SUBSTITUTE(ProjTextTable[[#This Row],[text]],CHAR(10)," "))))+1 - LEN(SUBSTITUTE(CLEAN(SUBSTITUTE(ProjTextTable[[#This Row],[text]],CHAR(10)," "))," ",""))</f>
        <v>240</v>
      </c>
      <c r="O63" t="s">
        <v>196</v>
      </c>
      <c r="P63" t="s">
        <v>732</v>
      </c>
    </row>
    <row r="64" spans="1:16" x14ac:dyDescent="0.4">
      <c r="A64">
        <f t="shared" si="0"/>
        <v>10</v>
      </c>
      <c r="B64" t="s">
        <v>733</v>
      </c>
      <c r="C64" t="s">
        <v>734</v>
      </c>
      <c r="D64" t="s">
        <v>533</v>
      </c>
      <c r="E64" t="s">
        <v>611</v>
      </c>
      <c r="F64" t="s">
        <v>605</v>
      </c>
      <c r="G64" t="s">
        <v>606</v>
      </c>
      <c r="H64" t="s">
        <v>539</v>
      </c>
      <c r="I64" t="s">
        <v>535</v>
      </c>
      <c r="J64" t="s">
        <v>735</v>
      </c>
      <c r="K64" s="30">
        <v>43031</v>
      </c>
      <c r="L64" s="8">
        <v>43032.670335648145</v>
      </c>
      <c r="M64" s="21">
        <f>LEN(ProjTextTable[[#This Row],[text]])</f>
        <v>3492</v>
      </c>
      <c r="N64" s="21">
        <f>LEN(TRIM(CLEAN(SUBSTITUTE(ProjTextTable[[#This Row],[text]],CHAR(10)," "))))+1 - LEN(SUBSTITUTE(CLEAN(SUBSTITUTE(ProjTextTable[[#This Row],[text]],CHAR(10)," "))," ",""))</f>
        <v>501</v>
      </c>
      <c r="O64" t="s">
        <v>540</v>
      </c>
      <c r="P64" t="s">
        <v>736</v>
      </c>
    </row>
    <row r="65" spans="1:16" x14ac:dyDescent="0.4">
      <c r="A65">
        <f t="shared" si="0"/>
        <v>10</v>
      </c>
      <c r="B65" t="s">
        <v>733</v>
      </c>
      <c r="C65" t="s">
        <v>734</v>
      </c>
      <c r="D65" t="s">
        <v>192</v>
      </c>
      <c r="E65" t="s">
        <v>611</v>
      </c>
      <c r="F65" t="s">
        <v>708</v>
      </c>
      <c r="G65" t="s">
        <v>709</v>
      </c>
      <c r="H65" t="s">
        <v>710</v>
      </c>
      <c r="I65" t="s">
        <v>201</v>
      </c>
      <c r="J65" t="s">
        <v>175</v>
      </c>
      <c r="K65" s="30">
        <v>43032</v>
      </c>
      <c r="L65" s="8">
        <v>43030.723078703704</v>
      </c>
      <c r="M65" s="21">
        <f>LEN(ProjTextTable[[#This Row],[text]])</f>
        <v>2678</v>
      </c>
      <c r="N65" s="21">
        <f>LEN(TRIM(CLEAN(SUBSTITUTE(ProjTextTable[[#This Row],[text]],CHAR(10)," "))))+1 - LEN(SUBSTITUTE(CLEAN(SUBSTITUTE(ProjTextTable[[#This Row],[text]],CHAR(10)," "))," ",""))</f>
        <v>407</v>
      </c>
      <c r="O65" t="s">
        <v>196</v>
      </c>
      <c r="P65" t="s">
        <v>737</v>
      </c>
    </row>
    <row r="66" spans="1:16" x14ac:dyDescent="0.4">
      <c r="A66">
        <f t="shared" ref="A66:A129" si="1">A65+(B66&lt;&gt;B65)</f>
        <v>10</v>
      </c>
      <c r="B66" t="s">
        <v>733</v>
      </c>
      <c r="C66" t="s">
        <v>734</v>
      </c>
      <c r="D66" t="s">
        <v>192</v>
      </c>
      <c r="E66" t="s">
        <v>611</v>
      </c>
      <c r="F66" t="s">
        <v>647</v>
      </c>
      <c r="G66" t="s">
        <v>648</v>
      </c>
      <c r="H66" t="s">
        <v>649</v>
      </c>
      <c r="I66" t="s">
        <v>201</v>
      </c>
      <c r="J66" t="s">
        <v>175</v>
      </c>
      <c r="K66" s="30">
        <v>43032</v>
      </c>
      <c r="L66" s="8">
        <v>43030.031655092593</v>
      </c>
      <c r="M66" s="21">
        <f>LEN(ProjTextTable[[#This Row],[text]])</f>
        <v>2970</v>
      </c>
      <c r="N66" s="21">
        <f>LEN(TRIM(CLEAN(SUBSTITUTE(ProjTextTable[[#This Row],[text]],CHAR(10)," "))))+1 - LEN(SUBSTITUTE(CLEAN(SUBSTITUTE(ProjTextTable[[#This Row],[text]],CHAR(10)," "))," ",""))</f>
        <v>441</v>
      </c>
      <c r="O66" t="s">
        <v>196</v>
      </c>
      <c r="P66" t="s">
        <v>738</v>
      </c>
    </row>
    <row r="67" spans="1:16" x14ac:dyDescent="0.4">
      <c r="A67">
        <f t="shared" si="1"/>
        <v>10</v>
      </c>
      <c r="B67" t="s">
        <v>733</v>
      </c>
      <c r="C67" t="s">
        <v>734</v>
      </c>
      <c r="D67" t="s">
        <v>192</v>
      </c>
      <c r="E67" t="s">
        <v>611</v>
      </c>
      <c r="F67" t="s">
        <v>664</v>
      </c>
      <c r="G67" t="s">
        <v>665</v>
      </c>
      <c r="H67" t="s">
        <v>666</v>
      </c>
      <c r="I67" t="s">
        <v>201</v>
      </c>
      <c r="J67" t="s">
        <v>175</v>
      </c>
      <c r="K67" s="30">
        <v>43032</v>
      </c>
      <c r="L67" s="8">
        <v>43029.774409722224</v>
      </c>
      <c r="M67" s="21">
        <f>LEN(ProjTextTable[[#This Row],[text]])</f>
        <v>1606</v>
      </c>
      <c r="N67" s="21">
        <f>LEN(TRIM(CLEAN(SUBSTITUTE(ProjTextTable[[#This Row],[text]],CHAR(10)," "))))+1 - LEN(SUBSTITUTE(CLEAN(SUBSTITUTE(ProjTextTable[[#This Row],[text]],CHAR(10)," "))," ",""))</f>
        <v>239</v>
      </c>
      <c r="O67" t="s">
        <v>193</v>
      </c>
      <c r="P67" t="s">
        <v>739</v>
      </c>
    </row>
    <row r="68" spans="1:16" x14ac:dyDescent="0.4">
      <c r="A68">
        <f t="shared" si="1"/>
        <v>10</v>
      </c>
      <c r="B68" t="s">
        <v>733</v>
      </c>
      <c r="C68" t="s">
        <v>734</v>
      </c>
      <c r="D68" t="s">
        <v>192</v>
      </c>
      <c r="E68" t="s">
        <v>611</v>
      </c>
      <c r="F68" t="s">
        <v>697</v>
      </c>
      <c r="G68" t="s">
        <v>698</v>
      </c>
      <c r="H68" t="s">
        <v>699</v>
      </c>
      <c r="I68" t="s">
        <v>201</v>
      </c>
      <c r="J68" t="s">
        <v>175</v>
      </c>
      <c r="K68" s="30">
        <v>43032</v>
      </c>
      <c r="L68" s="8">
        <v>43027.338993055557</v>
      </c>
      <c r="M68" s="21">
        <f>LEN(ProjTextTable[[#This Row],[text]])</f>
        <v>3261</v>
      </c>
      <c r="N68" s="21">
        <f>LEN(TRIM(CLEAN(SUBSTITUTE(ProjTextTable[[#This Row],[text]],CHAR(10)," "))))+1 - LEN(SUBSTITUTE(CLEAN(SUBSTITUTE(ProjTextTable[[#This Row],[text]],CHAR(10)," "))," ",""))</f>
        <v>511</v>
      </c>
      <c r="O68" t="s">
        <v>195</v>
      </c>
      <c r="P68" t="s">
        <v>740</v>
      </c>
    </row>
    <row r="69" spans="1:16" x14ac:dyDescent="0.4">
      <c r="A69">
        <f t="shared" si="1"/>
        <v>10</v>
      </c>
      <c r="B69" t="s">
        <v>733</v>
      </c>
      <c r="C69" t="s">
        <v>734</v>
      </c>
      <c r="D69" t="s">
        <v>194</v>
      </c>
      <c r="E69" t="s">
        <v>611</v>
      </c>
      <c r="F69" t="s">
        <v>13</v>
      </c>
      <c r="G69" t="s">
        <v>13</v>
      </c>
      <c r="H69" t="s">
        <v>13</v>
      </c>
      <c r="K69" s="30"/>
      <c r="L69" s="8">
        <v>42935.042881944442</v>
      </c>
      <c r="M69" s="21">
        <f>LEN(ProjTextTable[[#This Row],[text]])</f>
        <v>4012</v>
      </c>
      <c r="N69" s="21">
        <f>LEN(TRIM(CLEAN(SUBSTITUTE(ProjTextTable[[#This Row],[text]],CHAR(10)," "))))+1 - LEN(SUBSTITUTE(CLEAN(SUBSTITUTE(ProjTextTable[[#This Row],[text]],CHAR(10)," "))," ",""))</f>
        <v>584</v>
      </c>
      <c r="O69" t="s">
        <v>13</v>
      </c>
      <c r="P69" t="s">
        <v>741</v>
      </c>
    </row>
    <row r="70" spans="1:16" x14ac:dyDescent="0.4">
      <c r="A70">
        <f t="shared" si="1"/>
        <v>11</v>
      </c>
      <c r="B70" t="s">
        <v>742</v>
      </c>
      <c r="C70" t="s">
        <v>743</v>
      </c>
      <c r="D70" t="s">
        <v>533</v>
      </c>
      <c r="E70" t="s">
        <v>604</v>
      </c>
      <c r="F70" t="s">
        <v>714</v>
      </c>
      <c r="G70" t="s">
        <v>715</v>
      </c>
      <c r="H70" t="s">
        <v>539</v>
      </c>
      <c r="I70" t="s">
        <v>535</v>
      </c>
      <c r="J70" t="s">
        <v>538</v>
      </c>
      <c r="K70" s="30">
        <v>43059</v>
      </c>
      <c r="L70" s="8">
        <v>43060.598819444444</v>
      </c>
      <c r="M70" s="21">
        <f>LEN(ProjTextTable[[#This Row],[text]])</f>
        <v>2672</v>
      </c>
      <c r="N70" s="21">
        <f>LEN(TRIM(CLEAN(SUBSTITUTE(ProjTextTable[[#This Row],[text]],CHAR(10)," "))))+1 - LEN(SUBSTITUTE(CLEAN(SUBSTITUTE(ProjTextTable[[#This Row],[text]],CHAR(10)," "))," ",""))</f>
        <v>394</v>
      </c>
      <c r="O70" t="s">
        <v>540</v>
      </c>
      <c r="P70" t="s">
        <v>744</v>
      </c>
    </row>
    <row r="71" spans="1:16" x14ac:dyDescent="0.4">
      <c r="A71">
        <f t="shared" si="1"/>
        <v>11</v>
      </c>
      <c r="B71" t="s">
        <v>742</v>
      </c>
      <c r="C71" t="s">
        <v>743</v>
      </c>
      <c r="D71" t="s">
        <v>192</v>
      </c>
      <c r="E71" t="s">
        <v>604</v>
      </c>
      <c r="F71" t="s">
        <v>745</v>
      </c>
      <c r="G71" t="s">
        <v>746</v>
      </c>
      <c r="H71" t="s">
        <v>747</v>
      </c>
      <c r="I71" t="s">
        <v>201</v>
      </c>
      <c r="J71" t="s">
        <v>175</v>
      </c>
      <c r="K71" s="30">
        <v>43060</v>
      </c>
      <c r="L71" s="8">
        <v>43059.664166666669</v>
      </c>
      <c r="M71" s="21">
        <f>LEN(ProjTextTable[[#This Row],[text]])</f>
        <v>1844</v>
      </c>
      <c r="N71" s="21">
        <f>LEN(TRIM(CLEAN(SUBSTITUTE(ProjTextTable[[#This Row],[text]],CHAR(10)," "))))+1 - LEN(SUBSTITUTE(CLEAN(SUBSTITUTE(ProjTextTable[[#This Row],[text]],CHAR(10)," "))," ",""))</f>
        <v>267</v>
      </c>
      <c r="O71" t="s">
        <v>229</v>
      </c>
      <c r="P71" t="s">
        <v>748</v>
      </c>
    </row>
    <row r="72" spans="1:16" x14ac:dyDescent="0.4">
      <c r="A72">
        <f t="shared" si="1"/>
        <v>11</v>
      </c>
      <c r="B72" t="s">
        <v>742</v>
      </c>
      <c r="C72" t="s">
        <v>743</v>
      </c>
      <c r="D72" t="s">
        <v>192</v>
      </c>
      <c r="E72" t="s">
        <v>611</v>
      </c>
      <c r="F72" t="s">
        <v>749</v>
      </c>
      <c r="G72" t="s">
        <v>750</v>
      </c>
      <c r="H72" t="s">
        <v>751</v>
      </c>
      <c r="I72" t="s">
        <v>201</v>
      </c>
      <c r="J72" t="s">
        <v>175</v>
      </c>
      <c r="K72" s="30">
        <v>43060</v>
      </c>
      <c r="L72" s="8">
        <v>43059.226400462961</v>
      </c>
      <c r="M72" s="21">
        <f>LEN(ProjTextTable[[#This Row],[text]])</f>
        <v>3132</v>
      </c>
      <c r="N72" s="21">
        <f>LEN(TRIM(CLEAN(SUBSTITUTE(ProjTextTable[[#This Row],[text]],CHAR(10)," "))))+1 - LEN(SUBSTITUTE(CLEAN(SUBSTITUTE(ProjTextTable[[#This Row],[text]],CHAR(10)," "))," ",""))</f>
        <v>456</v>
      </c>
      <c r="O72" t="s">
        <v>196</v>
      </c>
      <c r="P72" t="s">
        <v>752</v>
      </c>
    </row>
    <row r="73" spans="1:16" x14ac:dyDescent="0.4">
      <c r="A73">
        <f t="shared" si="1"/>
        <v>11</v>
      </c>
      <c r="B73" t="s">
        <v>742</v>
      </c>
      <c r="C73" t="s">
        <v>743</v>
      </c>
      <c r="D73" t="s">
        <v>192</v>
      </c>
      <c r="E73" t="s">
        <v>604</v>
      </c>
      <c r="F73" t="s">
        <v>753</v>
      </c>
      <c r="G73" t="s">
        <v>754</v>
      </c>
      <c r="H73" t="s">
        <v>755</v>
      </c>
      <c r="I73" t="s">
        <v>201</v>
      </c>
      <c r="J73" t="s">
        <v>175</v>
      </c>
      <c r="K73" s="30">
        <v>43060</v>
      </c>
      <c r="L73" s="8">
        <v>43054.497754629629</v>
      </c>
      <c r="M73" s="21">
        <f>LEN(ProjTextTable[[#This Row],[text]])</f>
        <v>2925</v>
      </c>
      <c r="N73" s="21">
        <f>LEN(TRIM(CLEAN(SUBSTITUTE(ProjTextTable[[#This Row],[text]],CHAR(10)," "))))+1 - LEN(SUBSTITUTE(CLEAN(SUBSTITUTE(ProjTextTable[[#This Row],[text]],CHAR(10)," "))," ",""))</f>
        <v>433</v>
      </c>
      <c r="O73" t="s">
        <v>196</v>
      </c>
      <c r="P73" t="s">
        <v>756</v>
      </c>
    </row>
    <row r="74" spans="1:16" x14ac:dyDescent="0.4">
      <c r="A74">
        <f t="shared" si="1"/>
        <v>11</v>
      </c>
      <c r="B74" t="s">
        <v>742</v>
      </c>
      <c r="C74" t="s">
        <v>743</v>
      </c>
      <c r="D74" t="s">
        <v>192</v>
      </c>
      <c r="E74" t="s">
        <v>611</v>
      </c>
      <c r="F74" t="s">
        <v>757</v>
      </c>
      <c r="G74" t="s">
        <v>758</v>
      </c>
      <c r="H74" t="s">
        <v>759</v>
      </c>
      <c r="I74" t="s">
        <v>201</v>
      </c>
      <c r="J74" t="s">
        <v>175</v>
      </c>
      <c r="K74" s="30">
        <v>43060</v>
      </c>
      <c r="L74" s="8">
        <v>43056.703969907408</v>
      </c>
      <c r="M74" s="21">
        <f>LEN(ProjTextTable[[#This Row],[text]])</f>
        <v>4277</v>
      </c>
      <c r="N74" s="21">
        <f>LEN(TRIM(CLEAN(SUBSTITUTE(ProjTextTable[[#This Row],[text]],CHAR(10)," "))))+1 - LEN(SUBSTITUTE(CLEAN(SUBSTITUTE(ProjTextTable[[#This Row],[text]],CHAR(10)," "))," ",""))</f>
        <v>627</v>
      </c>
      <c r="O74" t="s">
        <v>229</v>
      </c>
      <c r="P74" t="s">
        <v>760</v>
      </c>
    </row>
    <row r="75" spans="1:16" x14ac:dyDescent="0.4">
      <c r="A75">
        <f t="shared" si="1"/>
        <v>11</v>
      </c>
      <c r="B75" t="s">
        <v>742</v>
      </c>
      <c r="C75" t="s">
        <v>743</v>
      </c>
      <c r="D75" t="s">
        <v>194</v>
      </c>
      <c r="E75" t="s">
        <v>604</v>
      </c>
      <c r="F75" t="s">
        <v>13</v>
      </c>
      <c r="G75" t="s">
        <v>13</v>
      </c>
      <c r="H75" t="s">
        <v>13</v>
      </c>
      <c r="K75" s="30"/>
      <c r="L75" s="8">
        <v>42935.043124999997</v>
      </c>
      <c r="M75" s="21">
        <f>LEN(ProjTextTable[[#This Row],[text]])</f>
        <v>3824</v>
      </c>
      <c r="N75" s="21">
        <f>LEN(TRIM(CLEAN(SUBSTITUTE(ProjTextTable[[#This Row],[text]],CHAR(10)," "))))+1 - LEN(SUBSTITUTE(CLEAN(SUBSTITUTE(ProjTextTable[[#This Row],[text]],CHAR(10)," "))," ",""))</f>
        <v>539</v>
      </c>
      <c r="O75" t="s">
        <v>13</v>
      </c>
      <c r="P75" t="s">
        <v>761</v>
      </c>
    </row>
    <row r="76" spans="1:16" x14ac:dyDescent="0.4">
      <c r="A76">
        <f t="shared" si="1"/>
        <v>12</v>
      </c>
      <c r="B76" t="s">
        <v>762</v>
      </c>
      <c r="C76" t="s">
        <v>763</v>
      </c>
      <c r="D76" t="s">
        <v>533</v>
      </c>
      <c r="E76" t="s">
        <v>604</v>
      </c>
      <c r="F76" t="s">
        <v>605</v>
      </c>
      <c r="G76" t="s">
        <v>606</v>
      </c>
      <c r="H76" t="s">
        <v>541</v>
      </c>
      <c r="I76" t="s">
        <v>536</v>
      </c>
      <c r="J76" t="s">
        <v>632</v>
      </c>
      <c r="K76" s="30">
        <v>43031</v>
      </c>
      <c r="L76" s="8">
        <v>43032.563090277778</v>
      </c>
      <c r="M76" s="21">
        <f>LEN(ProjTextTable[[#This Row],[text]])</f>
        <v>3155</v>
      </c>
      <c r="N76" s="21">
        <f>LEN(TRIM(CLEAN(SUBSTITUTE(ProjTextTable[[#This Row],[text]],CHAR(10)," "))))+1 - LEN(SUBSTITUTE(CLEAN(SUBSTITUTE(ProjTextTable[[#This Row],[text]],CHAR(10)," "))," ",""))</f>
        <v>468</v>
      </c>
      <c r="O76" t="s">
        <v>542</v>
      </c>
      <c r="P76" t="s">
        <v>764</v>
      </c>
    </row>
    <row r="77" spans="1:16" x14ac:dyDescent="0.4">
      <c r="A77">
        <f t="shared" si="1"/>
        <v>12</v>
      </c>
      <c r="B77" t="s">
        <v>762</v>
      </c>
      <c r="C77" t="s">
        <v>763</v>
      </c>
      <c r="D77" t="s">
        <v>2</v>
      </c>
      <c r="E77" t="s">
        <v>604</v>
      </c>
      <c r="F77" t="s">
        <v>13</v>
      </c>
      <c r="G77" t="s">
        <v>609</v>
      </c>
      <c r="H77" t="s">
        <v>13</v>
      </c>
      <c r="I77" t="s">
        <v>13</v>
      </c>
      <c r="K77" s="30"/>
      <c r="L77" s="8">
        <v>43082.662685185183</v>
      </c>
      <c r="M77" s="21">
        <f>LEN(ProjTextTable[[#This Row],[text]])</f>
        <v>1907</v>
      </c>
      <c r="N77" s="21">
        <f>LEN(TRIM(CLEAN(SUBSTITUTE(ProjTextTable[[#This Row],[text]],CHAR(10)," "))))+1 - LEN(SUBSTITUTE(CLEAN(SUBSTITUTE(ProjTextTable[[#This Row],[text]],CHAR(10)," "))," ",""))</f>
        <v>281</v>
      </c>
      <c r="O77" t="s">
        <v>13</v>
      </c>
      <c r="P77" t="s">
        <v>765</v>
      </c>
    </row>
    <row r="78" spans="1:16" x14ac:dyDescent="0.4">
      <c r="A78">
        <f t="shared" si="1"/>
        <v>12</v>
      </c>
      <c r="B78" t="s">
        <v>762</v>
      </c>
      <c r="C78" t="s">
        <v>763</v>
      </c>
      <c r="D78" t="s">
        <v>192</v>
      </c>
      <c r="E78" t="s">
        <v>611</v>
      </c>
      <c r="F78" t="s">
        <v>635</v>
      </c>
      <c r="G78" t="s">
        <v>636</v>
      </c>
      <c r="H78" t="s">
        <v>637</v>
      </c>
      <c r="I78" t="s">
        <v>201</v>
      </c>
      <c r="J78" t="s">
        <v>175</v>
      </c>
      <c r="K78" s="30">
        <v>43032</v>
      </c>
      <c r="L78" s="8">
        <v>43022.920254629629</v>
      </c>
      <c r="M78" s="21">
        <f>LEN(ProjTextTable[[#This Row],[text]])</f>
        <v>1892</v>
      </c>
      <c r="N78" s="21">
        <f>LEN(TRIM(CLEAN(SUBSTITUTE(ProjTextTable[[#This Row],[text]],CHAR(10)," "))))+1 - LEN(SUBSTITUTE(CLEAN(SUBSTITUTE(ProjTextTable[[#This Row],[text]],CHAR(10)," "))," ",""))</f>
        <v>282</v>
      </c>
      <c r="O78" t="s">
        <v>229</v>
      </c>
      <c r="P78" t="s">
        <v>766</v>
      </c>
    </row>
    <row r="79" spans="1:16" x14ac:dyDescent="0.4">
      <c r="A79">
        <f t="shared" si="1"/>
        <v>12</v>
      </c>
      <c r="B79" t="s">
        <v>762</v>
      </c>
      <c r="C79" t="s">
        <v>763</v>
      </c>
      <c r="D79" t="s">
        <v>192</v>
      </c>
      <c r="E79" t="s">
        <v>611</v>
      </c>
      <c r="F79" t="s">
        <v>643</v>
      </c>
      <c r="G79" t="s">
        <v>644</v>
      </c>
      <c r="H79" t="s">
        <v>645</v>
      </c>
      <c r="I79" t="s">
        <v>201</v>
      </c>
      <c r="J79" t="s">
        <v>175</v>
      </c>
      <c r="K79" s="30">
        <v>43032</v>
      </c>
      <c r="L79" s="8">
        <v>43028.861875000002</v>
      </c>
      <c r="M79" s="21">
        <f>LEN(ProjTextTable[[#This Row],[text]])</f>
        <v>1845</v>
      </c>
      <c r="N79" s="21">
        <f>LEN(TRIM(CLEAN(SUBSTITUTE(ProjTextTable[[#This Row],[text]],CHAR(10)," "))))+1 - LEN(SUBSTITUTE(CLEAN(SUBSTITUTE(ProjTextTable[[#This Row],[text]],CHAR(10)," "))," ",""))</f>
        <v>272</v>
      </c>
      <c r="O79" t="s">
        <v>197</v>
      </c>
      <c r="P79" t="s">
        <v>767</v>
      </c>
    </row>
    <row r="80" spans="1:16" x14ac:dyDescent="0.4">
      <c r="A80">
        <f t="shared" si="1"/>
        <v>12</v>
      </c>
      <c r="B80" t="s">
        <v>762</v>
      </c>
      <c r="C80" t="s">
        <v>763</v>
      </c>
      <c r="D80" t="s">
        <v>192</v>
      </c>
      <c r="E80" t="s">
        <v>604</v>
      </c>
      <c r="F80" t="s">
        <v>625</v>
      </c>
      <c r="G80" t="s">
        <v>626</v>
      </c>
      <c r="H80" t="s">
        <v>627</v>
      </c>
      <c r="I80" t="s">
        <v>201</v>
      </c>
      <c r="J80" t="s">
        <v>175</v>
      </c>
      <c r="K80" s="30">
        <v>43032</v>
      </c>
      <c r="L80" s="8">
        <v>43028.683356481481</v>
      </c>
      <c r="M80" s="21">
        <f>LEN(ProjTextTable[[#This Row],[text]])</f>
        <v>2593</v>
      </c>
      <c r="N80" s="21">
        <f>LEN(TRIM(CLEAN(SUBSTITUTE(ProjTextTable[[#This Row],[text]],CHAR(10)," "))))+1 - LEN(SUBSTITUTE(CLEAN(SUBSTITUTE(ProjTextTable[[#This Row],[text]],CHAR(10)," "))," ",""))</f>
        <v>407</v>
      </c>
      <c r="O80" t="s">
        <v>196</v>
      </c>
      <c r="P80" t="s">
        <v>768</v>
      </c>
    </row>
    <row r="81" spans="1:16" x14ac:dyDescent="0.4">
      <c r="A81">
        <f t="shared" si="1"/>
        <v>12</v>
      </c>
      <c r="B81" t="s">
        <v>762</v>
      </c>
      <c r="C81" t="s">
        <v>763</v>
      </c>
      <c r="D81" t="s">
        <v>192</v>
      </c>
      <c r="E81" t="s">
        <v>611</v>
      </c>
      <c r="F81" t="s">
        <v>647</v>
      </c>
      <c r="G81" t="s">
        <v>648</v>
      </c>
      <c r="H81" t="s">
        <v>649</v>
      </c>
      <c r="I81" t="s">
        <v>201</v>
      </c>
      <c r="J81" t="s">
        <v>175</v>
      </c>
      <c r="K81" s="30">
        <v>43032</v>
      </c>
      <c r="L81" s="8">
        <v>43030.972268518519</v>
      </c>
      <c r="M81" s="21">
        <f>LEN(ProjTextTable[[#This Row],[text]])</f>
        <v>2229</v>
      </c>
      <c r="N81" s="21">
        <f>LEN(TRIM(CLEAN(SUBSTITUTE(ProjTextTable[[#This Row],[text]],CHAR(10)," "))))+1 - LEN(SUBSTITUTE(CLEAN(SUBSTITUTE(ProjTextTable[[#This Row],[text]],CHAR(10)," "))," ",""))</f>
        <v>335</v>
      </c>
      <c r="O81" t="s">
        <v>198</v>
      </c>
      <c r="P81" t="s">
        <v>769</v>
      </c>
    </row>
    <row r="82" spans="1:16" x14ac:dyDescent="0.4">
      <c r="A82">
        <f t="shared" si="1"/>
        <v>12</v>
      </c>
      <c r="B82" t="s">
        <v>762</v>
      </c>
      <c r="C82" t="s">
        <v>763</v>
      </c>
      <c r="D82" t="s">
        <v>194</v>
      </c>
      <c r="E82" t="s">
        <v>604</v>
      </c>
      <c r="F82" t="s">
        <v>13</v>
      </c>
      <c r="G82" t="s">
        <v>13</v>
      </c>
      <c r="H82" t="s">
        <v>13</v>
      </c>
      <c r="K82" s="30"/>
      <c r="L82" s="8">
        <v>42935.043379629627</v>
      </c>
      <c r="M82" s="21">
        <f>LEN(ProjTextTable[[#This Row],[text]])</f>
        <v>3644</v>
      </c>
      <c r="N82" s="21">
        <f>LEN(TRIM(CLEAN(SUBSTITUTE(ProjTextTable[[#This Row],[text]],CHAR(10)," "))))+1 - LEN(SUBSTITUTE(CLEAN(SUBSTITUTE(ProjTextTable[[#This Row],[text]],CHAR(10)," "))," ",""))</f>
        <v>477</v>
      </c>
      <c r="O82" t="s">
        <v>13</v>
      </c>
      <c r="P82" t="s">
        <v>770</v>
      </c>
    </row>
    <row r="83" spans="1:16" x14ac:dyDescent="0.4">
      <c r="A83">
        <f t="shared" si="1"/>
        <v>13</v>
      </c>
      <c r="B83" t="s">
        <v>771</v>
      </c>
      <c r="C83" t="s">
        <v>772</v>
      </c>
      <c r="D83" t="s">
        <v>533</v>
      </c>
      <c r="E83" t="s">
        <v>611</v>
      </c>
      <c r="F83" t="s">
        <v>714</v>
      </c>
      <c r="G83" t="s">
        <v>715</v>
      </c>
      <c r="H83" t="s">
        <v>539</v>
      </c>
      <c r="I83" t="s">
        <v>535</v>
      </c>
      <c r="J83" t="s">
        <v>545</v>
      </c>
      <c r="K83" s="30">
        <v>43059</v>
      </c>
      <c r="L83" s="8">
        <v>43060.614178240743</v>
      </c>
      <c r="M83" s="21">
        <f>LEN(ProjTextTable[[#This Row],[text]])</f>
        <v>1930</v>
      </c>
      <c r="N83" s="21">
        <f>LEN(TRIM(CLEAN(SUBSTITUTE(ProjTextTable[[#This Row],[text]],CHAR(10)," "))))+1 - LEN(SUBSTITUTE(CLEAN(SUBSTITUTE(ProjTextTable[[#This Row],[text]],CHAR(10)," "))," ",""))</f>
        <v>282</v>
      </c>
      <c r="O83" t="s">
        <v>540</v>
      </c>
      <c r="P83" t="s">
        <v>773</v>
      </c>
    </row>
    <row r="84" spans="1:16" x14ac:dyDescent="0.4">
      <c r="A84">
        <f t="shared" si="1"/>
        <v>13</v>
      </c>
      <c r="B84" t="s">
        <v>771</v>
      </c>
      <c r="C84" t="s">
        <v>772</v>
      </c>
      <c r="D84" t="s">
        <v>192</v>
      </c>
      <c r="E84" t="s">
        <v>611</v>
      </c>
      <c r="F84" t="s">
        <v>721</v>
      </c>
      <c r="G84" t="s">
        <v>722</v>
      </c>
      <c r="H84" t="s">
        <v>723</v>
      </c>
      <c r="I84" t="s">
        <v>201</v>
      </c>
      <c r="J84" t="s">
        <v>175</v>
      </c>
      <c r="K84" s="30">
        <v>43060</v>
      </c>
      <c r="L84" s="8">
        <v>43056.590636574074</v>
      </c>
      <c r="M84" s="21">
        <f>LEN(ProjTextTable[[#This Row],[text]])</f>
        <v>1525</v>
      </c>
      <c r="N84" s="21">
        <f>LEN(TRIM(CLEAN(SUBSTITUTE(ProjTextTable[[#This Row],[text]],CHAR(10)," "))))+1 - LEN(SUBSTITUTE(CLEAN(SUBSTITUTE(ProjTextTable[[#This Row],[text]],CHAR(10)," "))," ",""))</f>
        <v>225</v>
      </c>
      <c r="O84" t="s">
        <v>196</v>
      </c>
      <c r="P84" t="s">
        <v>774</v>
      </c>
    </row>
    <row r="85" spans="1:16" x14ac:dyDescent="0.4">
      <c r="A85">
        <f t="shared" si="1"/>
        <v>13</v>
      </c>
      <c r="B85" t="s">
        <v>771</v>
      </c>
      <c r="C85" t="s">
        <v>772</v>
      </c>
      <c r="D85" t="s">
        <v>192</v>
      </c>
      <c r="E85" t="s">
        <v>611</v>
      </c>
      <c r="F85" t="s">
        <v>725</v>
      </c>
      <c r="G85" t="s">
        <v>726</v>
      </c>
      <c r="H85" t="s">
        <v>727</v>
      </c>
      <c r="I85" t="s">
        <v>201</v>
      </c>
      <c r="J85" t="s">
        <v>175</v>
      </c>
      <c r="K85" s="30">
        <v>43060</v>
      </c>
      <c r="L85" s="8">
        <v>43059.937245370369</v>
      </c>
      <c r="M85" s="21">
        <f>LEN(ProjTextTable[[#This Row],[text]])</f>
        <v>1545</v>
      </c>
      <c r="N85" s="21">
        <f>LEN(TRIM(CLEAN(SUBSTITUTE(ProjTextTable[[#This Row],[text]],CHAR(10)," "))))+1 - LEN(SUBSTITUTE(CLEAN(SUBSTITUTE(ProjTextTable[[#This Row],[text]],CHAR(10)," "))," ",""))</f>
        <v>235</v>
      </c>
      <c r="O85" t="s">
        <v>196</v>
      </c>
      <c r="P85" t="s">
        <v>775</v>
      </c>
    </row>
    <row r="86" spans="1:16" x14ac:dyDescent="0.4">
      <c r="A86">
        <f t="shared" si="1"/>
        <v>13</v>
      </c>
      <c r="B86" t="s">
        <v>771</v>
      </c>
      <c r="C86" t="s">
        <v>772</v>
      </c>
      <c r="D86" t="s">
        <v>192</v>
      </c>
      <c r="E86" t="s">
        <v>611</v>
      </c>
      <c r="F86" t="s">
        <v>776</v>
      </c>
      <c r="G86" t="s">
        <v>777</v>
      </c>
      <c r="H86" t="s">
        <v>778</v>
      </c>
      <c r="I86" t="s">
        <v>201</v>
      </c>
      <c r="J86" t="s">
        <v>175</v>
      </c>
      <c r="K86" s="30">
        <v>43060</v>
      </c>
      <c r="L86" s="8">
        <v>43057.861631944441</v>
      </c>
      <c r="M86" s="21">
        <f>LEN(ProjTextTable[[#This Row],[text]])</f>
        <v>1619</v>
      </c>
      <c r="N86" s="21">
        <f>LEN(TRIM(CLEAN(SUBSTITUTE(ProjTextTable[[#This Row],[text]],CHAR(10)," "))))+1 - LEN(SUBSTITUTE(CLEAN(SUBSTITUTE(ProjTextTable[[#This Row],[text]],CHAR(10)," "))," ",""))</f>
        <v>236</v>
      </c>
      <c r="O86" t="s">
        <v>196</v>
      </c>
      <c r="P86" t="s">
        <v>779</v>
      </c>
    </row>
    <row r="87" spans="1:16" x14ac:dyDescent="0.4">
      <c r="A87">
        <f t="shared" si="1"/>
        <v>13</v>
      </c>
      <c r="B87" t="s">
        <v>771</v>
      </c>
      <c r="C87" t="s">
        <v>772</v>
      </c>
      <c r="D87" t="s">
        <v>192</v>
      </c>
      <c r="E87" t="s">
        <v>611</v>
      </c>
      <c r="F87" t="s">
        <v>729</v>
      </c>
      <c r="G87" t="s">
        <v>730</v>
      </c>
      <c r="H87" t="s">
        <v>731</v>
      </c>
      <c r="I87" t="s">
        <v>201</v>
      </c>
      <c r="J87" t="s">
        <v>175</v>
      </c>
      <c r="K87" s="30">
        <v>43060</v>
      </c>
      <c r="L87" s="8">
        <v>43058.714618055557</v>
      </c>
      <c r="M87" s="21">
        <f>LEN(ProjTextTable[[#This Row],[text]])</f>
        <v>2214</v>
      </c>
      <c r="N87" s="21">
        <f>LEN(TRIM(CLEAN(SUBSTITUTE(ProjTextTable[[#This Row],[text]],CHAR(10)," "))))+1 - LEN(SUBSTITUTE(CLEAN(SUBSTITUTE(ProjTextTable[[#This Row],[text]],CHAR(10)," "))," ",""))</f>
        <v>343</v>
      </c>
      <c r="O87" t="s">
        <v>198</v>
      </c>
      <c r="P87" t="s">
        <v>780</v>
      </c>
    </row>
    <row r="88" spans="1:16" x14ac:dyDescent="0.4">
      <c r="A88">
        <f t="shared" si="1"/>
        <v>13</v>
      </c>
      <c r="B88" t="s">
        <v>771</v>
      </c>
      <c r="C88" t="s">
        <v>772</v>
      </c>
      <c r="D88" t="s">
        <v>194</v>
      </c>
      <c r="E88" t="s">
        <v>611</v>
      </c>
      <c r="F88" t="s">
        <v>13</v>
      </c>
      <c r="G88" t="s">
        <v>13</v>
      </c>
      <c r="H88" t="s">
        <v>13</v>
      </c>
      <c r="K88" s="30"/>
      <c r="L88" s="8">
        <v>42935.043495370373</v>
      </c>
      <c r="M88" s="21">
        <f>LEN(ProjTextTable[[#This Row],[text]])</f>
        <v>4562</v>
      </c>
      <c r="N88" s="21">
        <f>LEN(TRIM(CLEAN(SUBSTITUTE(ProjTextTable[[#This Row],[text]],CHAR(10)," "))))+1 - LEN(SUBSTITUTE(CLEAN(SUBSTITUTE(ProjTextTable[[#This Row],[text]],CHAR(10)," "))," ",""))</f>
        <v>683</v>
      </c>
      <c r="O88" t="s">
        <v>13</v>
      </c>
      <c r="P88" t="s">
        <v>781</v>
      </c>
    </row>
    <row r="89" spans="1:16" x14ac:dyDescent="0.4">
      <c r="A89">
        <f t="shared" si="1"/>
        <v>14</v>
      </c>
      <c r="B89" t="s">
        <v>782</v>
      </c>
      <c r="C89" t="s">
        <v>783</v>
      </c>
      <c r="D89" t="s">
        <v>533</v>
      </c>
      <c r="E89" t="s">
        <v>611</v>
      </c>
      <c r="F89" t="s">
        <v>605</v>
      </c>
      <c r="G89" t="s">
        <v>606</v>
      </c>
      <c r="H89" t="s">
        <v>541</v>
      </c>
      <c r="I89" t="s">
        <v>536</v>
      </c>
      <c r="J89" t="s">
        <v>632</v>
      </c>
      <c r="K89" s="30">
        <v>43031</v>
      </c>
      <c r="L89" s="8">
        <v>43032.651643518519</v>
      </c>
      <c r="M89" s="21">
        <f>LEN(ProjTextTable[[#This Row],[text]])</f>
        <v>4104</v>
      </c>
      <c r="N89" s="21">
        <f>LEN(TRIM(CLEAN(SUBSTITUTE(ProjTextTable[[#This Row],[text]],CHAR(10)," "))))+1 - LEN(SUBSTITUTE(CLEAN(SUBSTITUTE(ProjTextTable[[#This Row],[text]],CHAR(10)," "))," ",""))</f>
        <v>658</v>
      </c>
      <c r="O89" t="s">
        <v>542</v>
      </c>
      <c r="P89" t="s">
        <v>784</v>
      </c>
    </row>
    <row r="90" spans="1:16" x14ac:dyDescent="0.4">
      <c r="A90">
        <f t="shared" si="1"/>
        <v>14</v>
      </c>
      <c r="B90" t="s">
        <v>782</v>
      </c>
      <c r="C90" t="s">
        <v>783</v>
      </c>
      <c r="D90" t="s">
        <v>2</v>
      </c>
      <c r="E90" t="s">
        <v>611</v>
      </c>
      <c r="F90" t="s">
        <v>13</v>
      </c>
      <c r="G90" t="s">
        <v>609</v>
      </c>
      <c r="H90" t="s">
        <v>13</v>
      </c>
      <c r="I90" t="s">
        <v>13</v>
      </c>
      <c r="K90" s="30"/>
      <c r="L90" s="8">
        <v>43082.668715277781</v>
      </c>
      <c r="M90" s="21">
        <f>LEN(ProjTextTable[[#This Row],[text]])</f>
        <v>1924</v>
      </c>
      <c r="N90" s="21">
        <f>LEN(TRIM(CLEAN(SUBSTITUTE(ProjTextTable[[#This Row],[text]],CHAR(10)," "))))+1 - LEN(SUBSTITUTE(CLEAN(SUBSTITUTE(ProjTextTable[[#This Row],[text]],CHAR(10)," "))," ",""))</f>
        <v>285</v>
      </c>
      <c r="O90" t="s">
        <v>13</v>
      </c>
      <c r="P90" t="s">
        <v>785</v>
      </c>
    </row>
    <row r="91" spans="1:16" x14ac:dyDescent="0.4">
      <c r="A91">
        <f t="shared" si="1"/>
        <v>14</v>
      </c>
      <c r="B91" t="s">
        <v>782</v>
      </c>
      <c r="C91" t="s">
        <v>783</v>
      </c>
      <c r="D91" t="s">
        <v>192</v>
      </c>
      <c r="E91" t="s">
        <v>611</v>
      </c>
      <c r="F91" t="s">
        <v>688</v>
      </c>
      <c r="G91" t="s">
        <v>689</v>
      </c>
      <c r="H91" t="s">
        <v>690</v>
      </c>
      <c r="I91" t="s">
        <v>201</v>
      </c>
      <c r="J91" t="s">
        <v>175</v>
      </c>
      <c r="K91" s="30">
        <v>43032</v>
      </c>
      <c r="L91" s="8">
        <v>43030.876967592594</v>
      </c>
      <c r="M91" s="21">
        <f>LEN(ProjTextTable[[#This Row],[text]])</f>
        <v>2807</v>
      </c>
      <c r="N91" s="21">
        <f>LEN(TRIM(CLEAN(SUBSTITUTE(ProjTextTable[[#This Row],[text]],CHAR(10)," "))))+1 - LEN(SUBSTITUTE(CLEAN(SUBSTITUTE(ProjTextTable[[#This Row],[text]],CHAR(10)," "))," ",""))</f>
        <v>427</v>
      </c>
      <c r="O91" t="s">
        <v>193</v>
      </c>
      <c r="P91" t="s">
        <v>786</v>
      </c>
    </row>
    <row r="92" spans="1:16" x14ac:dyDescent="0.4">
      <c r="A92">
        <f t="shared" si="1"/>
        <v>14</v>
      </c>
      <c r="B92" t="s">
        <v>782</v>
      </c>
      <c r="C92" t="s">
        <v>783</v>
      </c>
      <c r="D92" t="s">
        <v>192</v>
      </c>
      <c r="E92" t="s">
        <v>611</v>
      </c>
      <c r="F92" t="s">
        <v>612</v>
      </c>
      <c r="G92" t="s">
        <v>613</v>
      </c>
      <c r="H92" t="s">
        <v>614</v>
      </c>
      <c r="I92" t="s">
        <v>201</v>
      </c>
      <c r="J92" t="s">
        <v>175</v>
      </c>
      <c r="K92" s="30">
        <v>43032</v>
      </c>
      <c r="L92" s="8">
        <v>43031.922314814816</v>
      </c>
      <c r="M92" s="21">
        <f>LEN(ProjTextTable[[#This Row],[text]])</f>
        <v>2190</v>
      </c>
      <c r="N92" s="21">
        <f>LEN(TRIM(CLEAN(SUBSTITUTE(ProjTextTable[[#This Row],[text]],CHAR(10)," "))))+1 - LEN(SUBSTITUTE(CLEAN(SUBSTITUTE(ProjTextTable[[#This Row],[text]],CHAR(10)," "))," ",""))</f>
        <v>339</v>
      </c>
      <c r="O92" t="s">
        <v>193</v>
      </c>
      <c r="P92" t="s">
        <v>787</v>
      </c>
    </row>
    <row r="93" spans="1:16" x14ac:dyDescent="0.4">
      <c r="A93">
        <f t="shared" si="1"/>
        <v>14</v>
      </c>
      <c r="B93" t="s">
        <v>782</v>
      </c>
      <c r="C93" t="s">
        <v>783</v>
      </c>
      <c r="D93" t="s">
        <v>192</v>
      </c>
      <c r="E93" t="s">
        <v>611</v>
      </c>
      <c r="F93" t="s">
        <v>708</v>
      </c>
      <c r="G93" t="s">
        <v>709</v>
      </c>
      <c r="H93" t="s">
        <v>710</v>
      </c>
      <c r="I93" t="s">
        <v>201</v>
      </c>
      <c r="J93" t="s">
        <v>175</v>
      </c>
      <c r="K93" s="30">
        <v>43032</v>
      </c>
      <c r="L93" s="8">
        <v>43031.043321759258</v>
      </c>
      <c r="M93" s="21">
        <f>LEN(ProjTextTable[[#This Row],[text]])</f>
        <v>1763</v>
      </c>
      <c r="N93" s="21">
        <f>LEN(TRIM(CLEAN(SUBSTITUTE(ProjTextTable[[#This Row],[text]],CHAR(10)," "))))+1 - LEN(SUBSTITUTE(CLEAN(SUBSTITUTE(ProjTextTable[[#This Row],[text]],CHAR(10)," "))," ",""))</f>
        <v>263</v>
      </c>
      <c r="O93" t="s">
        <v>197</v>
      </c>
      <c r="P93" t="s">
        <v>788</v>
      </c>
    </row>
    <row r="94" spans="1:16" x14ac:dyDescent="0.4">
      <c r="A94">
        <f t="shared" si="1"/>
        <v>14</v>
      </c>
      <c r="B94" t="s">
        <v>782</v>
      </c>
      <c r="C94" t="s">
        <v>783</v>
      </c>
      <c r="D94" t="s">
        <v>192</v>
      </c>
      <c r="E94" t="s">
        <v>611</v>
      </c>
      <c r="F94" t="s">
        <v>697</v>
      </c>
      <c r="G94" t="s">
        <v>698</v>
      </c>
      <c r="H94" t="s">
        <v>699</v>
      </c>
      <c r="I94" t="s">
        <v>201</v>
      </c>
      <c r="J94" t="s">
        <v>175</v>
      </c>
      <c r="K94" s="30">
        <v>43032</v>
      </c>
      <c r="L94" s="8">
        <v>43030.827002314814</v>
      </c>
      <c r="M94" s="21">
        <f>LEN(ProjTextTable[[#This Row],[text]])</f>
        <v>2352</v>
      </c>
      <c r="N94" s="21">
        <f>LEN(TRIM(CLEAN(SUBSTITUTE(ProjTextTable[[#This Row],[text]],CHAR(10)," "))))+1 - LEN(SUBSTITUTE(CLEAN(SUBSTITUTE(ProjTextTable[[#This Row],[text]],CHAR(10)," "))," ",""))</f>
        <v>363</v>
      </c>
      <c r="O94" t="s">
        <v>193</v>
      </c>
      <c r="P94" t="s">
        <v>789</v>
      </c>
    </row>
    <row r="95" spans="1:16" x14ac:dyDescent="0.4">
      <c r="A95">
        <f t="shared" si="1"/>
        <v>14</v>
      </c>
      <c r="B95" t="s">
        <v>782</v>
      </c>
      <c r="C95" t="s">
        <v>783</v>
      </c>
      <c r="D95" t="s">
        <v>194</v>
      </c>
      <c r="E95" t="s">
        <v>611</v>
      </c>
      <c r="F95" t="s">
        <v>13</v>
      </c>
      <c r="G95" t="s">
        <v>13</v>
      </c>
      <c r="H95" t="s">
        <v>13</v>
      </c>
      <c r="K95" s="30"/>
      <c r="L95" s="8">
        <v>42935.043506944443</v>
      </c>
      <c r="M95" s="21">
        <f>LEN(ProjTextTable[[#This Row],[text]])</f>
        <v>2691</v>
      </c>
      <c r="N95" s="21">
        <f>LEN(TRIM(CLEAN(SUBSTITUTE(ProjTextTable[[#This Row],[text]],CHAR(10)," "))))+1 - LEN(SUBSTITUTE(CLEAN(SUBSTITUTE(ProjTextTable[[#This Row],[text]],CHAR(10)," "))," ",""))</f>
        <v>364</v>
      </c>
      <c r="O95" t="s">
        <v>13</v>
      </c>
      <c r="P95" t="s">
        <v>790</v>
      </c>
    </row>
    <row r="96" spans="1:16" x14ac:dyDescent="0.4">
      <c r="A96">
        <f t="shared" si="1"/>
        <v>15</v>
      </c>
      <c r="B96" t="s">
        <v>791</v>
      </c>
      <c r="C96" t="s">
        <v>792</v>
      </c>
      <c r="D96" t="s">
        <v>533</v>
      </c>
      <c r="E96" t="s">
        <v>654</v>
      </c>
      <c r="F96" t="s">
        <v>714</v>
      </c>
      <c r="G96" t="s">
        <v>715</v>
      </c>
      <c r="H96" t="s">
        <v>546</v>
      </c>
      <c r="I96" t="s">
        <v>538</v>
      </c>
      <c r="J96" t="s">
        <v>793</v>
      </c>
      <c r="K96" s="30">
        <v>43059</v>
      </c>
      <c r="L96" s="8">
        <v>43060.599039351851</v>
      </c>
      <c r="M96" s="21">
        <f>LEN(ProjTextTable[[#This Row],[text]])</f>
        <v>3635</v>
      </c>
      <c r="N96" s="21">
        <f>LEN(TRIM(CLEAN(SUBSTITUTE(ProjTextTable[[#This Row],[text]],CHAR(10)," "))))+1 - LEN(SUBSTITUTE(CLEAN(SUBSTITUTE(ProjTextTable[[#This Row],[text]],CHAR(10)," "))," ",""))</f>
        <v>530</v>
      </c>
      <c r="O96" t="s">
        <v>309</v>
      </c>
      <c r="P96" t="s">
        <v>794</v>
      </c>
    </row>
    <row r="97" spans="1:16" x14ac:dyDescent="0.4">
      <c r="A97">
        <f t="shared" si="1"/>
        <v>15</v>
      </c>
      <c r="B97" t="s">
        <v>791</v>
      </c>
      <c r="C97" t="s">
        <v>792</v>
      </c>
      <c r="D97" t="s">
        <v>533</v>
      </c>
      <c r="E97" t="s">
        <v>654</v>
      </c>
      <c r="F97" t="s">
        <v>795</v>
      </c>
      <c r="G97" t="s">
        <v>796</v>
      </c>
      <c r="H97" t="s">
        <v>541</v>
      </c>
      <c r="I97" t="s">
        <v>536</v>
      </c>
      <c r="K97" s="30">
        <v>43060</v>
      </c>
      <c r="L97" s="8">
        <v>43060.585347222222</v>
      </c>
      <c r="M97" s="21">
        <f>LEN(ProjTextTable[[#This Row],[text]])</f>
        <v>3573</v>
      </c>
      <c r="N97" s="21">
        <f>LEN(TRIM(CLEAN(SUBSTITUTE(ProjTextTable[[#This Row],[text]],CHAR(10)," "))))+1 - LEN(SUBSTITUTE(CLEAN(SUBSTITUTE(ProjTextTable[[#This Row],[text]],CHAR(10)," "))," ",""))</f>
        <v>515</v>
      </c>
      <c r="O97" t="s">
        <v>542</v>
      </c>
      <c r="P97" t="s">
        <v>797</v>
      </c>
    </row>
    <row r="98" spans="1:16" x14ac:dyDescent="0.4">
      <c r="A98">
        <f t="shared" si="1"/>
        <v>15</v>
      </c>
      <c r="B98" t="s">
        <v>791</v>
      </c>
      <c r="C98" t="s">
        <v>792</v>
      </c>
      <c r="D98" t="s">
        <v>2</v>
      </c>
      <c r="E98" t="s">
        <v>654</v>
      </c>
      <c r="F98" t="s">
        <v>13</v>
      </c>
      <c r="G98" t="s">
        <v>609</v>
      </c>
      <c r="H98" t="s">
        <v>13</v>
      </c>
      <c r="I98" t="s">
        <v>13</v>
      </c>
      <c r="K98" s="30"/>
      <c r="L98" s="8">
        <v>43082.669074074074</v>
      </c>
      <c r="M98" s="21">
        <f>LEN(ProjTextTable[[#This Row],[text]])</f>
        <v>2186</v>
      </c>
      <c r="N98" s="21">
        <f>LEN(TRIM(CLEAN(SUBSTITUTE(ProjTextTable[[#This Row],[text]],CHAR(10)," "))))+1 - LEN(SUBSTITUTE(CLEAN(SUBSTITUTE(ProjTextTable[[#This Row],[text]],CHAR(10)," "))," ",""))</f>
        <v>325</v>
      </c>
      <c r="O98" t="s">
        <v>13</v>
      </c>
      <c r="P98" t="s">
        <v>798</v>
      </c>
    </row>
    <row r="99" spans="1:16" x14ac:dyDescent="0.4">
      <c r="A99">
        <f t="shared" si="1"/>
        <v>15</v>
      </c>
      <c r="B99" t="s">
        <v>791</v>
      </c>
      <c r="C99" t="s">
        <v>792</v>
      </c>
      <c r="D99" t="s">
        <v>192</v>
      </c>
      <c r="E99" t="s">
        <v>611</v>
      </c>
      <c r="F99" t="s">
        <v>799</v>
      </c>
      <c r="G99" t="s">
        <v>800</v>
      </c>
      <c r="H99" t="s">
        <v>801</v>
      </c>
      <c r="I99" t="s">
        <v>201</v>
      </c>
      <c r="J99" t="s">
        <v>175</v>
      </c>
      <c r="K99" s="30">
        <v>43060</v>
      </c>
      <c r="L99" s="8">
        <v>43056.597870370373</v>
      </c>
      <c r="M99" s="21">
        <f>LEN(ProjTextTable[[#This Row],[text]])</f>
        <v>4136</v>
      </c>
      <c r="N99" s="21">
        <f>LEN(TRIM(CLEAN(SUBSTITUTE(ProjTextTable[[#This Row],[text]],CHAR(10)," "))))+1 - LEN(SUBSTITUTE(CLEAN(SUBSTITUTE(ProjTextTable[[#This Row],[text]],CHAR(10)," "))," ",""))</f>
        <v>648</v>
      </c>
      <c r="O99" t="s">
        <v>193</v>
      </c>
      <c r="P99" t="s">
        <v>802</v>
      </c>
    </row>
    <row r="100" spans="1:16" x14ac:dyDescent="0.4">
      <c r="A100">
        <f t="shared" si="1"/>
        <v>15</v>
      </c>
      <c r="B100" t="s">
        <v>791</v>
      </c>
      <c r="C100" t="s">
        <v>792</v>
      </c>
      <c r="D100" t="s">
        <v>192</v>
      </c>
      <c r="E100" t="s">
        <v>654</v>
      </c>
      <c r="F100" t="s">
        <v>753</v>
      </c>
      <c r="G100" t="s">
        <v>754</v>
      </c>
      <c r="H100" t="s">
        <v>755</v>
      </c>
      <c r="I100" t="s">
        <v>201</v>
      </c>
      <c r="J100" t="s">
        <v>175</v>
      </c>
      <c r="K100" s="30">
        <v>43060</v>
      </c>
      <c r="L100" s="8">
        <v>43054.539270833331</v>
      </c>
      <c r="M100" s="21">
        <f>LEN(ProjTextTable[[#This Row],[text]])</f>
        <v>2267</v>
      </c>
      <c r="N100" s="21">
        <f>LEN(TRIM(CLEAN(SUBSTITUTE(ProjTextTable[[#This Row],[text]],CHAR(10)," "))))+1 - LEN(SUBSTITUTE(CLEAN(SUBSTITUTE(ProjTextTable[[#This Row],[text]],CHAR(10)," "))," ",""))</f>
        <v>348</v>
      </c>
      <c r="O100" t="s">
        <v>193</v>
      </c>
      <c r="P100" t="s">
        <v>803</v>
      </c>
    </row>
    <row r="101" spans="1:16" x14ac:dyDescent="0.4">
      <c r="A101">
        <f t="shared" si="1"/>
        <v>15</v>
      </c>
      <c r="B101" t="s">
        <v>791</v>
      </c>
      <c r="C101" t="s">
        <v>792</v>
      </c>
      <c r="D101" t="s">
        <v>192</v>
      </c>
      <c r="E101" t="s">
        <v>654</v>
      </c>
      <c r="F101" t="s">
        <v>804</v>
      </c>
      <c r="G101" t="s">
        <v>805</v>
      </c>
      <c r="H101" t="s">
        <v>806</v>
      </c>
      <c r="I101" t="s">
        <v>201</v>
      </c>
      <c r="J101" t="s">
        <v>175</v>
      </c>
      <c r="K101" s="30">
        <v>43060</v>
      </c>
      <c r="L101" s="8">
        <v>43059.579641203702</v>
      </c>
      <c r="M101" s="21">
        <f>LEN(ProjTextTable[[#This Row],[text]])</f>
        <v>2791</v>
      </c>
      <c r="N101" s="21">
        <f>LEN(TRIM(CLEAN(SUBSTITUTE(ProjTextTable[[#This Row],[text]],CHAR(10)," "))))+1 - LEN(SUBSTITUTE(CLEAN(SUBSTITUTE(ProjTextTable[[#This Row],[text]],CHAR(10)," "))," ",""))</f>
        <v>401</v>
      </c>
      <c r="O101" t="s">
        <v>199</v>
      </c>
      <c r="P101" t="s">
        <v>807</v>
      </c>
    </row>
    <row r="102" spans="1:16" x14ac:dyDescent="0.4">
      <c r="A102">
        <f t="shared" si="1"/>
        <v>15</v>
      </c>
      <c r="B102" t="s">
        <v>791</v>
      </c>
      <c r="C102" t="s">
        <v>792</v>
      </c>
      <c r="D102" t="s">
        <v>192</v>
      </c>
      <c r="E102" t="s">
        <v>654</v>
      </c>
      <c r="F102" t="s">
        <v>808</v>
      </c>
      <c r="G102" t="s">
        <v>564</v>
      </c>
      <c r="H102" t="s">
        <v>565</v>
      </c>
      <c r="I102" t="s">
        <v>201</v>
      </c>
      <c r="J102" t="s">
        <v>175</v>
      </c>
      <c r="K102" s="30">
        <v>43060</v>
      </c>
      <c r="L102" s="8">
        <v>43059.76116898148</v>
      </c>
      <c r="M102" s="21">
        <f>LEN(ProjTextTable[[#This Row],[text]])</f>
        <v>5836</v>
      </c>
      <c r="N102" s="21">
        <f>LEN(TRIM(CLEAN(SUBSTITUTE(ProjTextTable[[#This Row],[text]],CHAR(10)," "))))+1 - LEN(SUBSTITUTE(CLEAN(SUBSTITUTE(ProjTextTable[[#This Row],[text]],CHAR(10)," "))," ",""))</f>
        <v>807</v>
      </c>
      <c r="O102" t="s">
        <v>196</v>
      </c>
      <c r="P102" t="s">
        <v>809</v>
      </c>
    </row>
    <row r="103" spans="1:16" x14ac:dyDescent="0.4">
      <c r="A103">
        <f t="shared" si="1"/>
        <v>15</v>
      </c>
      <c r="B103" t="s">
        <v>791</v>
      </c>
      <c r="C103" t="s">
        <v>792</v>
      </c>
      <c r="D103" t="s">
        <v>192</v>
      </c>
      <c r="E103" t="s">
        <v>611</v>
      </c>
      <c r="F103" t="s">
        <v>757</v>
      </c>
      <c r="G103" t="s">
        <v>758</v>
      </c>
      <c r="H103" t="s">
        <v>759</v>
      </c>
      <c r="I103" t="s">
        <v>201</v>
      </c>
      <c r="J103" t="s">
        <v>175</v>
      </c>
      <c r="K103" s="30">
        <v>43060</v>
      </c>
      <c r="L103" s="8">
        <v>43056.705740740741</v>
      </c>
      <c r="M103" s="21">
        <f>LEN(ProjTextTable[[#This Row],[text]])</f>
        <v>5069</v>
      </c>
      <c r="N103" s="21">
        <f>LEN(TRIM(CLEAN(SUBSTITUTE(ProjTextTable[[#This Row],[text]],CHAR(10)," "))))+1 - LEN(SUBSTITUTE(CLEAN(SUBSTITUTE(ProjTextTable[[#This Row],[text]],CHAR(10)," "))," ",""))</f>
        <v>779</v>
      </c>
      <c r="O103" t="s">
        <v>193</v>
      </c>
      <c r="P103" t="s">
        <v>810</v>
      </c>
    </row>
    <row r="104" spans="1:16" x14ac:dyDescent="0.4">
      <c r="A104">
        <f t="shared" si="1"/>
        <v>15</v>
      </c>
      <c r="B104" t="s">
        <v>791</v>
      </c>
      <c r="C104" t="s">
        <v>792</v>
      </c>
      <c r="D104" t="s">
        <v>192</v>
      </c>
      <c r="E104" t="s">
        <v>811</v>
      </c>
      <c r="F104" t="s">
        <v>812</v>
      </c>
      <c r="G104" t="s">
        <v>813</v>
      </c>
      <c r="H104" t="s">
        <v>814</v>
      </c>
      <c r="I104" t="s">
        <v>175</v>
      </c>
      <c r="J104" t="s">
        <v>175</v>
      </c>
      <c r="K104" s="30">
        <v>43035</v>
      </c>
      <c r="L104" s="8">
        <v>43037.776643518519</v>
      </c>
      <c r="M104" s="21">
        <f>LEN(ProjTextTable[[#This Row],[text]])</f>
        <v>4908</v>
      </c>
      <c r="N104" s="21">
        <f>LEN(TRIM(CLEAN(SUBSTITUTE(ProjTextTable[[#This Row],[text]],CHAR(10)," "))))+1 - LEN(SUBSTITUTE(CLEAN(SUBSTITUTE(ProjTextTable[[#This Row],[text]],CHAR(10)," "))," ",""))</f>
        <v>778</v>
      </c>
      <c r="O104" t="s">
        <v>193</v>
      </c>
      <c r="P104" t="s">
        <v>815</v>
      </c>
    </row>
    <row r="105" spans="1:16" x14ac:dyDescent="0.4">
      <c r="A105">
        <f t="shared" si="1"/>
        <v>15</v>
      </c>
      <c r="B105" t="s">
        <v>791</v>
      </c>
      <c r="C105" t="s">
        <v>792</v>
      </c>
      <c r="D105" t="s">
        <v>192</v>
      </c>
      <c r="E105" t="s">
        <v>654</v>
      </c>
      <c r="F105" t="s">
        <v>816</v>
      </c>
      <c r="G105" t="s">
        <v>561</v>
      </c>
      <c r="H105" t="s">
        <v>817</v>
      </c>
      <c r="I105" t="s">
        <v>201</v>
      </c>
      <c r="J105" t="s">
        <v>175</v>
      </c>
      <c r="K105" s="30">
        <v>43060</v>
      </c>
      <c r="L105" s="8">
        <v>43059.627106481479</v>
      </c>
      <c r="M105" s="21">
        <f>LEN(ProjTextTable[[#This Row],[text]])</f>
        <v>5209</v>
      </c>
      <c r="N105" s="21">
        <f>LEN(TRIM(CLEAN(SUBSTITUTE(ProjTextTable[[#This Row],[text]],CHAR(10)," "))))+1 - LEN(SUBSTITUTE(CLEAN(SUBSTITUTE(ProjTextTable[[#This Row],[text]],CHAR(10)," "))," ",""))</f>
        <v>822</v>
      </c>
      <c r="O105" t="s">
        <v>199</v>
      </c>
      <c r="P105" t="s">
        <v>818</v>
      </c>
    </row>
    <row r="106" spans="1:16" x14ac:dyDescent="0.4">
      <c r="A106">
        <f t="shared" si="1"/>
        <v>15</v>
      </c>
      <c r="B106" t="s">
        <v>791</v>
      </c>
      <c r="C106" t="s">
        <v>792</v>
      </c>
      <c r="D106" t="s">
        <v>192</v>
      </c>
      <c r="E106" t="s">
        <v>611</v>
      </c>
      <c r="F106" t="s">
        <v>721</v>
      </c>
      <c r="G106" t="s">
        <v>722</v>
      </c>
      <c r="H106" t="s">
        <v>723</v>
      </c>
      <c r="I106" t="s">
        <v>201</v>
      </c>
      <c r="J106" t="s">
        <v>175</v>
      </c>
      <c r="K106" s="30">
        <v>43060</v>
      </c>
      <c r="L106" s="8">
        <v>43056.787835648145</v>
      </c>
      <c r="M106" s="21">
        <f>LEN(ProjTextTable[[#This Row],[text]])</f>
        <v>1195</v>
      </c>
      <c r="N106" s="21">
        <f>LEN(TRIM(CLEAN(SUBSTITUTE(ProjTextTable[[#This Row],[text]],CHAR(10)," "))))+1 - LEN(SUBSTITUTE(CLEAN(SUBSTITUTE(ProjTextTable[[#This Row],[text]],CHAR(10)," "))," ",""))</f>
        <v>178</v>
      </c>
      <c r="O106" t="s">
        <v>197</v>
      </c>
      <c r="P106" t="s">
        <v>819</v>
      </c>
    </row>
    <row r="107" spans="1:16" x14ac:dyDescent="0.4">
      <c r="A107">
        <f t="shared" si="1"/>
        <v>15</v>
      </c>
      <c r="B107" t="s">
        <v>791</v>
      </c>
      <c r="C107" t="s">
        <v>792</v>
      </c>
      <c r="D107" t="s">
        <v>192</v>
      </c>
      <c r="E107" t="s">
        <v>654</v>
      </c>
      <c r="F107" t="s">
        <v>820</v>
      </c>
      <c r="G107" t="s">
        <v>821</v>
      </c>
      <c r="H107" t="s">
        <v>822</v>
      </c>
      <c r="I107" t="s">
        <v>201</v>
      </c>
      <c r="J107" t="s">
        <v>175</v>
      </c>
      <c r="K107" s="30">
        <v>43060</v>
      </c>
      <c r="L107" s="8">
        <v>43059.886759259258</v>
      </c>
      <c r="M107" s="21">
        <f>LEN(ProjTextTable[[#This Row],[text]])</f>
        <v>2301</v>
      </c>
      <c r="N107" s="21">
        <f>LEN(TRIM(CLEAN(SUBSTITUTE(ProjTextTable[[#This Row],[text]],CHAR(10)," "))))+1 - LEN(SUBSTITUTE(CLEAN(SUBSTITUTE(ProjTextTable[[#This Row],[text]],CHAR(10)," "))," ",""))</f>
        <v>335</v>
      </c>
      <c r="O107" t="s">
        <v>199</v>
      </c>
      <c r="P107" t="s">
        <v>823</v>
      </c>
    </row>
    <row r="108" spans="1:16" x14ac:dyDescent="0.4">
      <c r="A108">
        <f t="shared" si="1"/>
        <v>15</v>
      </c>
      <c r="B108" t="s">
        <v>791</v>
      </c>
      <c r="C108" t="s">
        <v>792</v>
      </c>
      <c r="D108" t="s">
        <v>194</v>
      </c>
      <c r="E108" t="s">
        <v>654</v>
      </c>
      <c r="F108" t="s">
        <v>13</v>
      </c>
      <c r="G108" t="s">
        <v>13</v>
      </c>
      <c r="H108" t="s">
        <v>13</v>
      </c>
      <c r="K108" s="30"/>
      <c r="L108" s="8">
        <v>42935.043599537035</v>
      </c>
      <c r="M108" s="21">
        <f>LEN(ProjTextTable[[#This Row],[text]])</f>
        <v>3533</v>
      </c>
      <c r="N108" s="21">
        <f>LEN(TRIM(CLEAN(SUBSTITUTE(ProjTextTable[[#This Row],[text]],CHAR(10)," "))))+1 - LEN(SUBSTITUTE(CLEAN(SUBSTITUTE(ProjTextTable[[#This Row],[text]],CHAR(10)," "))," ",""))</f>
        <v>480</v>
      </c>
      <c r="O108" t="s">
        <v>13</v>
      </c>
      <c r="P108" t="s">
        <v>824</v>
      </c>
    </row>
    <row r="109" spans="1:16" x14ac:dyDescent="0.4">
      <c r="A109">
        <f t="shared" si="1"/>
        <v>16</v>
      </c>
      <c r="B109" t="s">
        <v>825</v>
      </c>
      <c r="C109" t="s">
        <v>826</v>
      </c>
      <c r="D109" t="s">
        <v>533</v>
      </c>
      <c r="E109" t="s">
        <v>604</v>
      </c>
      <c r="F109" t="s">
        <v>605</v>
      </c>
      <c r="G109" t="s">
        <v>606</v>
      </c>
      <c r="H109" t="s">
        <v>546</v>
      </c>
      <c r="I109" t="s">
        <v>538</v>
      </c>
      <c r="J109" t="s">
        <v>607</v>
      </c>
      <c r="K109" s="30">
        <v>43031</v>
      </c>
      <c r="L109" s="8">
        <v>43032.58085648148</v>
      </c>
      <c r="M109" s="21">
        <f>LEN(ProjTextTable[[#This Row],[text]])</f>
        <v>2254</v>
      </c>
      <c r="N109" s="21">
        <f>LEN(TRIM(CLEAN(SUBSTITUTE(ProjTextTable[[#This Row],[text]],CHAR(10)," "))))+1 - LEN(SUBSTITUTE(CLEAN(SUBSTITUTE(ProjTextTable[[#This Row],[text]],CHAR(10)," "))," ",""))</f>
        <v>326</v>
      </c>
      <c r="O109" t="s">
        <v>309</v>
      </c>
      <c r="P109" t="s">
        <v>827</v>
      </c>
    </row>
    <row r="110" spans="1:16" x14ac:dyDescent="0.4">
      <c r="A110">
        <f t="shared" si="1"/>
        <v>16</v>
      </c>
      <c r="B110" t="s">
        <v>825</v>
      </c>
      <c r="C110" t="s">
        <v>826</v>
      </c>
      <c r="D110" t="s">
        <v>2</v>
      </c>
      <c r="E110" t="s">
        <v>604</v>
      </c>
      <c r="F110" t="s">
        <v>13</v>
      </c>
      <c r="G110" t="s">
        <v>609</v>
      </c>
      <c r="H110" t="s">
        <v>13</v>
      </c>
      <c r="I110" t="s">
        <v>13</v>
      </c>
      <c r="K110" s="30"/>
      <c r="L110" s="8">
        <v>43076.609027777777</v>
      </c>
      <c r="M110" s="21">
        <f>LEN(ProjTextTable[[#This Row],[text]])</f>
        <v>2038</v>
      </c>
      <c r="N110" s="21">
        <f>LEN(TRIM(CLEAN(SUBSTITUTE(ProjTextTable[[#This Row],[text]],CHAR(10)," "))))+1 - LEN(SUBSTITUTE(CLEAN(SUBSTITUTE(ProjTextTable[[#This Row],[text]],CHAR(10)," "))," ",""))</f>
        <v>295</v>
      </c>
      <c r="O110" t="s">
        <v>13</v>
      </c>
      <c r="P110" t="s">
        <v>828</v>
      </c>
    </row>
    <row r="111" spans="1:16" x14ac:dyDescent="0.4">
      <c r="A111">
        <f t="shared" si="1"/>
        <v>16</v>
      </c>
      <c r="B111" t="s">
        <v>825</v>
      </c>
      <c r="C111" t="s">
        <v>826</v>
      </c>
      <c r="D111" t="s">
        <v>192</v>
      </c>
      <c r="E111" t="s">
        <v>611</v>
      </c>
      <c r="F111" t="s">
        <v>688</v>
      </c>
      <c r="G111" t="s">
        <v>689</v>
      </c>
      <c r="H111" t="s">
        <v>690</v>
      </c>
      <c r="I111" t="s">
        <v>201</v>
      </c>
      <c r="J111" t="s">
        <v>175</v>
      </c>
      <c r="K111" s="30">
        <v>43032</v>
      </c>
      <c r="L111" s="8">
        <v>43030.872187499997</v>
      </c>
      <c r="M111" s="21">
        <f>LEN(ProjTextTable[[#This Row],[text]])</f>
        <v>2046</v>
      </c>
      <c r="N111" s="21">
        <f>LEN(TRIM(CLEAN(SUBSTITUTE(ProjTextTable[[#This Row],[text]],CHAR(10)," "))))+1 - LEN(SUBSTITUTE(CLEAN(SUBSTITUTE(ProjTextTable[[#This Row],[text]],CHAR(10)," "))," ",""))</f>
        <v>322</v>
      </c>
      <c r="O111" t="s">
        <v>197</v>
      </c>
      <c r="P111" t="s">
        <v>829</v>
      </c>
    </row>
    <row r="112" spans="1:16" x14ac:dyDescent="0.4">
      <c r="A112">
        <f t="shared" si="1"/>
        <v>16</v>
      </c>
      <c r="B112" t="s">
        <v>825</v>
      </c>
      <c r="C112" t="s">
        <v>826</v>
      </c>
      <c r="D112" t="s">
        <v>192</v>
      </c>
      <c r="E112" t="s">
        <v>611</v>
      </c>
      <c r="F112" t="s">
        <v>612</v>
      </c>
      <c r="G112" t="s">
        <v>613</v>
      </c>
      <c r="H112" t="s">
        <v>614</v>
      </c>
      <c r="I112" t="s">
        <v>201</v>
      </c>
      <c r="J112" t="s">
        <v>175</v>
      </c>
      <c r="K112" s="30">
        <v>43032</v>
      </c>
      <c r="L112" s="8">
        <v>43031.584618055553</v>
      </c>
      <c r="M112" s="21">
        <f>LEN(ProjTextTable[[#This Row],[text]])</f>
        <v>4713</v>
      </c>
      <c r="N112" s="21">
        <f>LEN(TRIM(CLEAN(SUBSTITUTE(ProjTextTable[[#This Row],[text]],CHAR(10)," "))))+1 - LEN(SUBSTITUTE(CLEAN(SUBSTITUTE(ProjTextTable[[#This Row],[text]],CHAR(10)," "))," ",""))</f>
        <v>751</v>
      </c>
      <c r="O112" t="s">
        <v>196</v>
      </c>
      <c r="P112" t="s">
        <v>830</v>
      </c>
    </row>
    <row r="113" spans="1:16" x14ac:dyDescent="0.4">
      <c r="A113">
        <f t="shared" si="1"/>
        <v>16</v>
      </c>
      <c r="B113" t="s">
        <v>825</v>
      </c>
      <c r="C113" t="s">
        <v>826</v>
      </c>
      <c r="D113" t="s">
        <v>192</v>
      </c>
      <c r="E113" t="s">
        <v>611</v>
      </c>
      <c r="F113" t="s">
        <v>708</v>
      </c>
      <c r="G113" t="s">
        <v>709</v>
      </c>
      <c r="H113" t="s">
        <v>710</v>
      </c>
      <c r="I113" t="s">
        <v>201</v>
      </c>
      <c r="J113" t="s">
        <v>175</v>
      </c>
      <c r="K113" s="30">
        <v>43032</v>
      </c>
      <c r="L113" s="8">
        <v>43030.765972222223</v>
      </c>
      <c r="M113" s="21">
        <f>LEN(ProjTextTable[[#This Row],[text]])</f>
        <v>1991</v>
      </c>
      <c r="N113" s="21">
        <f>LEN(TRIM(CLEAN(SUBSTITUTE(ProjTextTable[[#This Row],[text]],CHAR(10)," "))))+1 - LEN(SUBSTITUTE(CLEAN(SUBSTITUTE(ProjTextTable[[#This Row],[text]],CHAR(10)," "))," ",""))</f>
        <v>301</v>
      </c>
      <c r="O113" t="s">
        <v>197</v>
      </c>
      <c r="P113" t="s">
        <v>831</v>
      </c>
    </row>
    <row r="114" spans="1:16" x14ac:dyDescent="0.4">
      <c r="A114">
        <f t="shared" si="1"/>
        <v>16</v>
      </c>
      <c r="B114" t="s">
        <v>825</v>
      </c>
      <c r="C114" t="s">
        <v>826</v>
      </c>
      <c r="D114" t="s">
        <v>192</v>
      </c>
      <c r="E114" t="s">
        <v>611</v>
      </c>
      <c r="F114" t="s">
        <v>697</v>
      </c>
      <c r="G114" t="s">
        <v>698</v>
      </c>
      <c r="H114" t="s">
        <v>699</v>
      </c>
      <c r="I114" t="s">
        <v>201</v>
      </c>
      <c r="J114" t="s">
        <v>175</v>
      </c>
      <c r="K114" s="30">
        <v>43032</v>
      </c>
      <c r="L114" s="8">
        <v>43026.705312500002</v>
      </c>
      <c r="M114" s="21">
        <f>LEN(ProjTextTable[[#This Row],[text]])</f>
        <v>1527</v>
      </c>
      <c r="N114" s="21">
        <f>LEN(TRIM(CLEAN(SUBSTITUTE(ProjTextTable[[#This Row],[text]],CHAR(10)," "))))+1 - LEN(SUBSTITUTE(CLEAN(SUBSTITUTE(ProjTextTable[[#This Row],[text]],CHAR(10)," "))," ",""))</f>
        <v>224</v>
      </c>
      <c r="O114" t="s">
        <v>197</v>
      </c>
      <c r="P114" t="s">
        <v>832</v>
      </c>
    </row>
    <row r="115" spans="1:16" x14ac:dyDescent="0.4">
      <c r="A115">
        <f t="shared" si="1"/>
        <v>16</v>
      </c>
      <c r="B115" t="s">
        <v>825</v>
      </c>
      <c r="C115" t="s">
        <v>826</v>
      </c>
      <c r="D115" t="s">
        <v>194</v>
      </c>
      <c r="E115" t="s">
        <v>604</v>
      </c>
      <c r="F115" t="s">
        <v>13</v>
      </c>
      <c r="G115" t="s">
        <v>13</v>
      </c>
      <c r="H115" t="s">
        <v>13</v>
      </c>
      <c r="K115" s="30"/>
      <c r="L115" s="8">
        <v>42935.043599537035</v>
      </c>
      <c r="M115" s="21">
        <f>LEN(ProjTextTable[[#This Row],[text]])</f>
        <v>4036</v>
      </c>
      <c r="N115" s="21">
        <f>LEN(TRIM(CLEAN(SUBSTITUTE(ProjTextTable[[#This Row],[text]],CHAR(10)," "))))+1 - LEN(SUBSTITUTE(CLEAN(SUBSTITUTE(ProjTextTable[[#This Row],[text]],CHAR(10)," "))," ",""))</f>
        <v>595</v>
      </c>
      <c r="O115" t="s">
        <v>13</v>
      </c>
      <c r="P115" t="s">
        <v>833</v>
      </c>
    </row>
    <row r="116" spans="1:16" x14ac:dyDescent="0.4">
      <c r="A116">
        <f t="shared" si="1"/>
        <v>17</v>
      </c>
      <c r="B116" t="s">
        <v>834</v>
      </c>
      <c r="C116" t="s">
        <v>835</v>
      </c>
      <c r="D116" t="s">
        <v>533</v>
      </c>
      <c r="E116" t="s">
        <v>654</v>
      </c>
      <c r="F116" t="s">
        <v>605</v>
      </c>
      <c r="G116" t="s">
        <v>606</v>
      </c>
      <c r="H116" t="s">
        <v>541</v>
      </c>
      <c r="I116" t="s">
        <v>536</v>
      </c>
      <c r="J116" t="s">
        <v>632</v>
      </c>
      <c r="K116" s="30">
        <v>43031</v>
      </c>
      <c r="L116" s="8">
        <v>43032.663275462961</v>
      </c>
      <c r="M116" s="21">
        <f>LEN(ProjTextTable[[#This Row],[text]])</f>
        <v>3188</v>
      </c>
      <c r="N116" s="21">
        <f>LEN(TRIM(CLEAN(SUBSTITUTE(ProjTextTable[[#This Row],[text]],CHAR(10)," "))))+1 - LEN(SUBSTITUTE(CLEAN(SUBSTITUTE(ProjTextTable[[#This Row],[text]],CHAR(10)," "))," ",""))</f>
        <v>475</v>
      </c>
      <c r="O116" t="s">
        <v>542</v>
      </c>
      <c r="P116" t="s">
        <v>836</v>
      </c>
    </row>
    <row r="117" spans="1:16" x14ac:dyDescent="0.4">
      <c r="A117">
        <f t="shared" si="1"/>
        <v>17</v>
      </c>
      <c r="B117" t="s">
        <v>834</v>
      </c>
      <c r="C117" t="s">
        <v>835</v>
      </c>
      <c r="D117" t="s">
        <v>2</v>
      </c>
      <c r="E117" t="s">
        <v>654</v>
      </c>
      <c r="F117" t="s">
        <v>13</v>
      </c>
      <c r="G117" t="s">
        <v>609</v>
      </c>
      <c r="H117" t="s">
        <v>13</v>
      </c>
      <c r="I117" t="s">
        <v>13</v>
      </c>
      <c r="K117" s="30"/>
      <c r="L117" s="8">
        <v>43082.668773148151</v>
      </c>
      <c r="M117" s="21">
        <f>LEN(ProjTextTable[[#This Row],[text]])</f>
        <v>1926</v>
      </c>
      <c r="N117" s="21">
        <f>LEN(TRIM(CLEAN(SUBSTITUTE(ProjTextTable[[#This Row],[text]],CHAR(10)," "))))+1 - LEN(SUBSTITUTE(CLEAN(SUBSTITUTE(ProjTextTable[[#This Row],[text]],CHAR(10)," "))," ",""))</f>
        <v>284</v>
      </c>
      <c r="O117" t="s">
        <v>13</v>
      </c>
      <c r="P117" t="s">
        <v>837</v>
      </c>
    </row>
    <row r="118" spans="1:16" x14ac:dyDescent="0.4">
      <c r="A118">
        <f t="shared" si="1"/>
        <v>17</v>
      </c>
      <c r="B118" t="s">
        <v>834</v>
      </c>
      <c r="C118" t="s">
        <v>835</v>
      </c>
      <c r="D118" t="s">
        <v>192</v>
      </c>
      <c r="E118" t="s">
        <v>611</v>
      </c>
      <c r="F118" t="s">
        <v>688</v>
      </c>
      <c r="G118" t="s">
        <v>689</v>
      </c>
      <c r="H118" t="s">
        <v>690</v>
      </c>
      <c r="I118" t="s">
        <v>201</v>
      </c>
      <c r="J118" t="s">
        <v>175</v>
      </c>
      <c r="K118" s="30">
        <v>43032</v>
      </c>
      <c r="L118" s="8">
        <v>43030.879699074074</v>
      </c>
      <c r="M118" s="21">
        <f>LEN(ProjTextTable[[#This Row],[text]])</f>
        <v>2801</v>
      </c>
      <c r="N118" s="21">
        <f>LEN(TRIM(CLEAN(SUBSTITUTE(ProjTextTable[[#This Row],[text]],CHAR(10)," "))))+1 - LEN(SUBSTITUTE(CLEAN(SUBSTITUTE(ProjTextTable[[#This Row],[text]],CHAR(10)," "))," ",""))</f>
        <v>432</v>
      </c>
      <c r="O118" t="s">
        <v>196</v>
      </c>
      <c r="P118" t="s">
        <v>838</v>
      </c>
    </row>
    <row r="119" spans="1:16" x14ac:dyDescent="0.4">
      <c r="A119">
        <f t="shared" si="1"/>
        <v>17</v>
      </c>
      <c r="B119" t="s">
        <v>834</v>
      </c>
      <c r="C119" t="s">
        <v>835</v>
      </c>
      <c r="D119" t="s">
        <v>192</v>
      </c>
      <c r="E119" t="s">
        <v>611</v>
      </c>
      <c r="F119" t="s">
        <v>612</v>
      </c>
      <c r="G119" t="s">
        <v>613</v>
      </c>
      <c r="H119" t="s">
        <v>614</v>
      </c>
      <c r="I119" t="s">
        <v>201</v>
      </c>
      <c r="J119" t="s">
        <v>175</v>
      </c>
      <c r="K119" s="30">
        <v>43032</v>
      </c>
      <c r="L119" s="8">
        <v>43031.585347222222</v>
      </c>
      <c r="M119" s="21">
        <f>LEN(ProjTextTable[[#This Row],[text]])</f>
        <v>3518</v>
      </c>
      <c r="N119" s="21">
        <f>LEN(TRIM(CLEAN(SUBSTITUTE(ProjTextTable[[#This Row],[text]],CHAR(10)," "))))+1 - LEN(SUBSTITUTE(CLEAN(SUBSTITUTE(ProjTextTable[[#This Row],[text]],CHAR(10)," "))," ",""))</f>
        <v>586</v>
      </c>
      <c r="O119" t="s">
        <v>199</v>
      </c>
      <c r="P119" t="s">
        <v>839</v>
      </c>
    </row>
    <row r="120" spans="1:16" x14ac:dyDescent="0.4">
      <c r="A120">
        <f t="shared" si="1"/>
        <v>17</v>
      </c>
      <c r="B120" t="s">
        <v>834</v>
      </c>
      <c r="C120" t="s">
        <v>835</v>
      </c>
      <c r="D120" t="s">
        <v>192</v>
      </c>
      <c r="E120" t="s">
        <v>611</v>
      </c>
      <c r="F120" t="s">
        <v>617</v>
      </c>
      <c r="G120" t="s">
        <v>618</v>
      </c>
      <c r="H120" t="s">
        <v>619</v>
      </c>
      <c r="I120" t="s">
        <v>201</v>
      </c>
      <c r="J120" t="s">
        <v>175</v>
      </c>
      <c r="K120" s="30">
        <v>43032</v>
      </c>
      <c r="L120" s="8">
        <v>43031.332002314812</v>
      </c>
      <c r="M120" s="21">
        <f>LEN(ProjTextTable[[#This Row],[text]])</f>
        <v>2047</v>
      </c>
      <c r="N120" s="21">
        <f>LEN(TRIM(CLEAN(SUBSTITUTE(ProjTextTable[[#This Row],[text]],CHAR(10)," "))))+1 - LEN(SUBSTITUTE(CLEAN(SUBSTITUTE(ProjTextTable[[#This Row],[text]],CHAR(10)," "))," ",""))</f>
        <v>299</v>
      </c>
      <c r="O120" t="s">
        <v>193</v>
      </c>
      <c r="P120" t="s">
        <v>840</v>
      </c>
    </row>
    <row r="121" spans="1:16" x14ac:dyDescent="0.4">
      <c r="A121">
        <f t="shared" si="1"/>
        <v>17</v>
      </c>
      <c r="B121" t="s">
        <v>834</v>
      </c>
      <c r="C121" t="s">
        <v>835</v>
      </c>
      <c r="D121" t="s">
        <v>192</v>
      </c>
      <c r="E121" t="s">
        <v>611</v>
      </c>
      <c r="F121" t="s">
        <v>659</v>
      </c>
      <c r="G121" t="s">
        <v>660</v>
      </c>
      <c r="H121" t="s">
        <v>661</v>
      </c>
      <c r="I121" t="s">
        <v>201</v>
      </c>
      <c r="J121" t="s">
        <v>175</v>
      </c>
      <c r="K121" s="30">
        <v>43032</v>
      </c>
      <c r="L121" s="8">
        <v>43013.77783564815</v>
      </c>
      <c r="M121" s="21">
        <f>LEN(ProjTextTable[[#This Row],[text]])</f>
        <v>5306</v>
      </c>
      <c r="N121" s="21">
        <f>LEN(TRIM(CLEAN(SUBSTITUTE(ProjTextTable[[#This Row],[text]],CHAR(10)," "))))+1 - LEN(SUBSTITUTE(CLEAN(SUBSTITUTE(ProjTextTable[[#This Row],[text]],CHAR(10)," "))," ",""))</f>
        <v>882</v>
      </c>
      <c r="O121" t="s">
        <v>193</v>
      </c>
      <c r="P121" t="s">
        <v>841</v>
      </c>
    </row>
    <row r="122" spans="1:16" x14ac:dyDescent="0.4">
      <c r="A122">
        <f t="shared" si="1"/>
        <v>17</v>
      </c>
      <c r="B122" t="s">
        <v>834</v>
      </c>
      <c r="C122" t="s">
        <v>835</v>
      </c>
      <c r="D122" t="s">
        <v>194</v>
      </c>
      <c r="E122" t="s">
        <v>654</v>
      </c>
      <c r="F122" t="s">
        <v>13</v>
      </c>
      <c r="G122" t="s">
        <v>13</v>
      </c>
      <c r="H122" t="s">
        <v>13</v>
      </c>
      <c r="K122" s="30"/>
      <c r="L122" s="8">
        <v>42936.042557870373</v>
      </c>
      <c r="M122" s="21">
        <f>LEN(ProjTextTable[[#This Row],[text]])</f>
        <v>3445</v>
      </c>
      <c r="N122" s="21">
        <f>LEN(TRIM(CLEAN(SUBSTITUTE(ProjTextTable[[#This Row],[text]],CHAR(10)," "))))+1 - LEN(SUBSTITUTE(CLEAN(SUBSTITUTE(ProjTextTable[[#This Row],[text]],CHAR(10)," "))," ",""))</f>
        <v>492</v>
      </c>
      <c r="O122" t="s">
        <v>13</v>
      </c>
      <c r="P122" t="s">
        <v>842</v>
      </c>
    </row>
    <row r="123" spans="1:16" x14ac:dyDescent="0.4">
      <c r="A123">
        <f t="shared" si="1"/>
        <v>18</v>
      </c>
      <c r="B123" t="s">
        <v>843</v>
      </c>
      <c r="C123" t="s">
        <v>844</v>
      </c>
      <c r="D123" t="s">
        <v>533</v>
      </c>
      <c r="E123" t="s">
        <v>654</v>
      </c>
      <c r="F123" t="s">
        <v>605</v>
      </c>
      <c r="G123" t="s">
        <v>606</v>
      </c>
      <c r="H123" t="s">
        <v>539</v>
      </c>
      <c r="I123" t="s">
        <v>535</v>
      </c>
      <c r="J123" t="s">
        <v>534</v>
      </c>
      <c r="K123" s="30">
        <v>43031</v>
      </c>
      <c r="L123" s="8">
        <v>43032.610891203702</v>
      </c>
      <c r="M123" s="21">
        <f>LEN(ProjTextTable[[#This Row],[text]])</f>
        <v>4296</v>
      </c>
      <c r="N123" s="21">
        <f>LEN(TRIM(CLEAN(SUBSTITUTE(ProjTextTable[[#This Row],[text]],CHAR(10)," "))))+1 - LEN(SUBSTITUTE(CLEAN(SUBSTITUTE(ProjTextTable[[#This Row],[text]],CHAR(10)," "))," ",""))</f>
        <v>633</v>
      </c>
      <c r="O123" t="s">
        <v>540</v>
      </c>
      <c r="P123" t="s">
        <v>845</v>
      </c>
    </row>
    <row r="124" spans="1:16" x14ac:dyDescent="0.4">
      <c r="A124">
        <f t="shared" si="1"/>
        <v>18</v>
      </c>
      <c r="B124" t="s">
        <v>843</v>
      </c>
      <c r="C124" t="s">
        <v>844</v>
      </c>
      <c r="D124" t="s">
        <v>192</v>
      </c>
      <c r="E124" t="s">
        <v>611</v>
      </c>
      <c r="F124" t="s">
        <v>659</v>
      </c>
      <c r="G124" t="s">
        <v>660</v>
      </c>
      <c r="H124" t="s">
        <v>661</v>
      </c>
      <c r="I124" t="s">
        <v>201</v>
      </c>
      <c r="J124" t="s">
        <v>175</v>
      </c>
      <c r="K124" s="30">
        <v>43032</v>
      </c>
      <c r="L124" s="8">
        <v>43032.519444444442</v>
      </c>
      <c r="M124" s="21">
        <f>LEN(ProjTextTable[[#This Row],[text]])</f>
        <v>7359</v>
      </c>
      <c r="N124" s="21">
        <f>LEN(TRIM(CLEAN(SUBSTITUTE(ProjTextTable[[#This Row],[text]],CHAR(10)," "))))+1 - LEN(SUBSTITUTE(CLEAN(SUBSTITUTE(ProjTextTable[[#This Row],[text]],CHAR(10)," "))," ",""))</f>
        <v>1246</v>
      </c>
      <c r="O124" t="s">
        <v>196</v>
      </c>
      <c r="P124" t="s">
        <v>846</v>
      </c>
    </row>
    <row r="125" spans="1:16" x14ac:dyDescent="0.4">
      <c r="A125">
        <f t="shared" si="1"/>
        <v>18</v>
      </c>
      <c r="B125" t="s">
        <v>843</v>
      </c>
      <c r="C125" t="s">
        <v>844</v>
      </c>
      <c r="D125" t="s">
        <v>192</v>
      </c>
      <c r="E125" t="s">
        <v>611</v>
      </c>
      <c r="F125" t="s">
        <v>647</v>
      </c>
      <c r="G125" t="s">
        <v>648</v>
      </c>
      <c r="H125" t="s">
        <v>649</v>
      </c>
      <c r="I125" t="s">
        <v>201</v>
      </c>
      <c r="J125" t="s">
        <v>175</v>
      </c>
      <c r="K125" s="30">
        <v>43032</v>
      </c>
      <c r="L125" s="8">
        <v>43030.097916666666</v>
      </c>
      <c r="M125" s="21">
        <f>LEN(ProjTextTable[[#This Row],[text]])</f>
        <v>2211</v>
      </c>
      <c r="N125" s="21">
        <f>LEN(TRIM(CLEAN(SUBSTITUTE(ProjTextTable[[#This Row],[text]],CHAR(10)," "))))+1 - LEN(SUBSTITUTE(CLEAN(SUBSTITUTE(ProjTextTable[[#This Row],[text]],CHAR(10)," "))," ",""))</f>
        <v>328</v>
      </c>
      <c r="O125" t="s">
        <v>193</v>
      </c>
      <c r="P125" t="s">
        <v>847</v>
      </c>
    </row>
    <row r="126" spans="1:16" x14ac:dyDescent="0.4">
      <c r="A126">
        <f t="shared" si="1"/>
        <v>18</v>
      </c>
      <c r="B126" t="s">
        <v>843</v>
      </c>
      <c r="C126" t="s">
        <v>844</v>
      </c>
      <c r="D126" t="s">
        <v>192</v>
      </c>
      <c r="E126" t="s">
        <v>611</v>
      </c>
      <c r="F126" t="s">
        <v>664</v>
      </c>
      <c r="G126" t="s">
        <v>665</v>
      </c>
      <c r="H126" t="s">
        <v>666</v>
      </c>
      <c r="I126" t="s">
        <v>201</v>
      </c>
      <c r="J126" t="s">
        <v>175</v>
      </c>
      <c r="K126" s="30">
        <v>43032</v>
      </c>
      <c r="L126" s="8">
        <v>43029.743773148148</v>
      </c>
      <c r="M126" s="21">
        <f>LEN(ProjTextTable[[#This Row],[text]])</f>
        <v>1790</v>
      </c>
      <c r="N126" s="21">
        <f>LEN(TRIM(CLEAN(SUBSTITUTE(ProjTextTable[[#This Row],[text]],CHAR(10)," "))))+1 - LEN(SUBSTITUTE(CLEAN(SUBSTITUTE(ProjTextTable[[#This Row],[text]],CHAR(10)," "))," ",""))</f>
        <v>255</v>
      </c>
      <c r="O126" t="s">
        <v>229</v>
      </c>
      <c r="P126" t="s">
        <v>848</v>
      </c>
    </row>
    <row r="127" spans="1:16" x14ac:dyDescent="0.4">
      <c r="A127">
        <f t="shared" si="1"/>
        <v>18</v>
      </c>
      <c r="B127" t="s">
        <v>843</v>
      </c>
      <c r="C127" t="s">
        <v>844</v>
      </c>
      <c r="D127" t="s">
        <v>192</v>
      </c>
      <c r="E127" t="s">
        <v>611</v>
      </c>
      <c r="F127" t="s">
        <v>697</v>
      </c>
      <c r="G127" t="s">
        <v>698</v>
      </c>
      <c r="H127" t="s">
        <v>699</v>
      </c>
      <c r="I127" t="s">
        <v>201</v>
      </c>
      <c r="J127" t="s">
        <v>175</v>
      </c>
      <c r="K127" s="30">
        <v>43032</v>
      </c>
      <c r="L127" s="8">
        <v>43026.70988425926</v>
      </c>
      <c r="M127" s="21">
        <f>LEN(ProjTextTable[[#This Row],[text]])</f>
        <v>2510</v>
      </c>
      <c r="N127" s="21">
        <f>LEN(TRIM(CLEAN(SUBSTITUTE(ProjTextTable[[#This Row],[text]],CHAR(10)," "))))+1 - LEN(SUBSTITUTE(CLEAN(SUBSTITUTE(ProjTextTable[[#This Row],[text]],CHAR(10)," "))," ",""))</f>
        <v>396</v>
      </c>
      <c r="O127" t="s">
        <v>196</v>
      </c>
      <c r="P127" t="s">
        <v>849</v>
      </c>
    </row>
    <row r="128" spans="1:16" x14ac:dyDescent="0.4">
      <c r="A128">
        <f t="shared" si="1"/>
        <v>18</v>
      </c>
      <c r="B128" t="s">
        <v>843</v>
      </c>
      <c r="C128" t="s">
        <v>844</v>
      </c>
      <c r="D128" t="s">
        <v>194</v>
      </c>
      <c r="E128" t="s">
        <v>654</v>
      </c>
      <c r="F128" t="s">
        <v>13</v>
      </c>
      <c r="G128" t="s">
        <v>13</v>
      </c>
      <c r="H128" t="s">
        <v>13</v>
      </c>
      <c r="K128" s="30"/>
      <c r="L128" s="8">
        <v>42936.042581018519</v>
      </c>
      <c r="M128" s="21">
        <f>LEN(ProjTextTable[[#This Row],[text]])</f>
        <v>2310</v>
      </c>
      <c r="N128" s="21">
        <f>LEN(TRIM(CLEAN(SUBSTITUTE(ProjTextTable[[#This Row],[text]],CHAR(10)," "))))+1 - LEN(SUBSTITUTE(CLEAN(SUBSTITUTE(ProjTextTable[[#This Row],[text]],CHAR(10)," "))," ",""))</f>
        <v>295</v>
      </c>
      <c r="O128" t="s">
        <v>13</v>
      </c>
      <c r="P128" t="s">
        <v>850</v>
      </c>
    </row>
    <row r="129" spans="1:16" x14ac:dyDescent="0.4">
      <c r="A129">
        <f t="shared" si="1"/>
        <v>19</v>
      </c>
      <c r="B129" t="s">
        <v>851</v>
      </c>
      <c r="C129" t="s">
        <v>852</v>
      </c>
      <c r="D129" t="s">
        <v>533</v>
      </c>
      <c r="E129" t="s">
        <v>654</v>
      </c>
      <c r="F129" t="s">
        <v>605</v>
      </c>
      <c r="G129" t="s">
        <v>606</v>
      </c>
      <c r="H129" t="s">
        <v>539</v>
      </c>
      <c r="I129" t="s">
        <v>535</v>
      </c>
      <c r="J129" t="s">
        <v>536</v>
      </c>
      <c r="K129" s="30">
        <v>43031</v>
      </c>
      <c r="L129" s="8">
        <v>43032.650821759256</v>
      </c>
      <c r="M129" s="21">
        <f>LEN(ProjTextTable[[#This Row],[text]])</f>
        <v>2693</v>
      </c>
      <c r="N129" s="21">
        <f>LEN(TRIM(CLEAN(SUBSTITUTE(ProjTextTable[[#This Row],[text]],CHAR(10)," "))))+1 - LEN(SUBSTITUTE(CLEAN(SUBSTITUTE(ProjTextTable[[#This Row],[text]],CHAR(10)," "))," ",""))</f>
        <v>386</v>
      </c>
      <c r="O129" t="s">
        <v>540</v>
      </c>
      <c r="P129" t="s">
        <v>853</v>
      </c>
    </row>
    <row r="130" spans="1:16" x14ac:dyDescent="0.4">
      <c r="A130">
        <f t="shared" ref="A130:A193" si="2">A129+(B130&lt;&gt;B129)</f>
        <v>19</v>
      </c>
      <c r="B130" t="s">
        <v>851</v>
      </c>
      <c r="C130" t="s">
        <v>852</v>
      </c>
      <c r="D130" t="s">
        <v>192</v>
      </c>
      <c r="E130" t="s">
        <v>611</v>
      </c>
      <c r="F130" t="s">
        <v>692</v>
      </c>
      <c r="G130" t="s">
        <v>693</v>
      </c>
      <c r="H130" t="s">
        <v>694</v>
      </c>
      <c r="I130" t="s">
        <v>201</v>
      </c>
      <c r="J130" t="s">
        <v>175</v>
      </c>
      <c r="K130" s="30">
        <v>43032</v>
      </c>
      <c r="L130" s="8">
        <v>43027.652361111112</v>
      </c>
      <c r="M130" s="21">
        <f>LEN(ProjTextTable[[#This Row],[text]])</f>
        <v>2118</v>
      </c>
      <c r="N130" s="21">
        <f>LEN(TRIM(CLEAN(SUBSTITUTE(ProjTextTable[[#This Row],[text]],CHAR(10)," "))))+1 - LEN(SUBSTITUTE(CLEAN(SUBSTITUTE(ProjTextTable[[#This Row],[text]],CHAR(10)," "))," ",""))</f>
        <v>305</v>
      </c>
      <c r="O130" t="s">
        <v>196</v>
      </c>
      <c r="P130" t="s">
        <v>854</v>
      </c>
    </row>
    <row r="131" spans="1:16" x14ac:dyDescent="0.4">
      <c r="A131">
        <f t="shared" si="2"/>
        <v>19</v>
      </c>
      <c r="B131" t="s">
        <v>851</v>
      </c>
      <c r="C131" t="s">
        <v>852</v>
      </c>
      <c r="D131" t="s">
        <v>192</v>
      </c>
      <c r="E131" t="s">
        <v>654</v>
      </c>
      <c r="F131" t="s">
        <v>625</v>
      </c>
      <c r="G131" t="s">
        <v>626</v>
      </c>
      <c r="H131" t="s">
        <v>627</v>
      </c>
      <c r="I131" t="s">
        <v>201</v>
      </c>
      <c r="J131" t="s">
        <v>175</v>
      </c>
      <c r="K131" s="30">
        <v>43032</v>
      </c>
      <c r="L131" s="8">
        <v>43031.632939814815</v>
      </c>
      <c r="M131" s="21">
        <f>LEN(ProjTextTable[[#This Row],[text]])</f>
        <v>2363</v>
      </c>
      <c r="N131" s="21">
        <f>LEN(TRIM(CLEAN(SUBSTITUTE(ProjTextTable[[#This Row],[text]],CHAR(10)," "))))+1 - LEN(SUBSTITUTE(CLEAN(SUBSTITUTE(ProjTextTable[[#This Row],[text]],CHAR(10)," "))," ",""))</f>
        <v>352</v>
      </c>
      <c r="O131" t="s">
        <v>196</v>
      </c>
      <c r="P131" t="s">
        <v>855</v>
      </c>
    </row>
    <row r="132" spans="1:16" x14ac:dyDescent="0.4">
      <c r="A132">
        <f t="shared" si="2"/>
        <v>19</v>
      </c>
      <c r="B132" t="s">
        <v>851</v>
      </c>
      <c r="C132" t="s">
        <v>852</v>
      </c>
      <c r="D132" t="s">
        <v>192</v>
      </c>
      <c r="E132" t="s">
        <v>611</v>
      </c>
      <c r="F132" t="s">
        <v>659</v>
      </c>
      <c r="G132" t="s">
        <v>660</v>
      </c>
      <c r="H132" t="s">
        <v>661</v>
      </c>
      <c r="I132" t="s">
        <v>201</v>
      </c>
      <c r="J132" t="s">
        <v>175</v>
      </c>
      <c r="K132" s="30">
        <v>43032</v>
      </c>
      <c r="L132" s="8">
        <v>43032.520671296297</v>
      </c>
      <c r="M132" s="21">
        <f>LEN(ProjTextTable[[#This Row],[text]])</f>
        <v>5534</v>
      </c>
      <c r="N132" s="21">
        <f>LEN(TRIM(CLEAN(SUBSTITUTE(ProjTextTable[[#This Row],[text]],CHAR(10)," "))))+1 - LEN(SUBSTITUTE(CLEAN(SUBSTITUTE(ProjTextTable[[#This Row],[text]],CHAR(10)," "))," ",""))</f>
        <v>912</v>
      </c>
      <c r="O132" t="s">
        <v>229</v>
      </c>
      <c r="P132" t="s">
        <v>856</v>
      </c>
    </row>
    <row r="133" spans="1:16" x14ac:dyDescent="0.4">
      <c r="A133">
        <f t="shared" si="2"/>
        <v>19</v>
      </c>
      <c r="B133" t="s">
        <v>851</v>
      </c>
      <c r="C133" t="s">
        <v>852</v>
      </c>
      <c r="D133" t="s">
        <v>192</v>
      </c>
      <c r="E133" t="s">
        <v>611</v>
      </c>
      <c r="F133" t="s">
        <v>708</v>
      </c>
      <c r="G133" t="s">
        <v>709</v>
      </c>
      <c r="H133" t="s">
        <v>710</v>
      </c>
      <c r="I133" t="s">
        <v>201</v>
      </c>
      <c r="J133" t="s">
        <v>175</v>
      </c>
      <c r="K133" s="30">
        <v>43032</v>
      </c>
      <c r="L133" s="8">
        <v>43030.650266203702</v>
      </c>
      <c r="M133" s="21">
        <f>LEN(ProjTextTable[[#This Row],[text]])</f>
        <v>2740</v>
      </c>
      <c r="N133" s="21">
        <f>LEN(TRIM(CLEAN(SUBSTITUTE(ProjTextTable[[#This Row],[text]],CHAR(10)," "))))+1 - LEN(SUBSTITUTE(CLEAN(SUBSTITUTE(ProjTextTable[[#This Row],[text]],CHAR(10)," "))," ",""))</f>
        <v>440</v>
      </c>
      <c r="O133" t="s">
        <v>195</v>
      </c>
      <c r="P133" t="s">
        <v>857</v>
      </c>
    </row>
    <row r="134" spans="1:16" x14ac:dyDescent="0.4">
      <c r="A134">
        <f t="shared" si="2"/>
        <v>19</v>
      </c>
      <c r="B134" t="s">
        <v>851</v>
      </c>
      <c r="C134" t="s">
        <v>852</v>
      </c>
      <c r="D134" t="s">
        <v>194</v>
      </c>
      <c r="E134" t="s">
        <v>654</v>
      </c>
      <c r="F134" t="s">
        <v>13</v>
      </c>
      <c r="G134" t="s">
        <v>13</v>
      </c>
      <c r="H134" t="s">
        <v>13</v>
      </c>
      <c r="K134" s="30"/>
      <c r="L134" s="8">
        <v>42936.042615740742</v>
      </c>
      <c r="M134" s="21">
        <f>LEN(ProjTextTable[[#This Row],[text]])</f>
        <v>4420</v>
      </c>
      <c r="N134" s="21">
        <f>LEN(TRIM(CLEAN(SUBSTITUTE(ProjTextTable[[#This Row],[text]],CHAR(10)," "))))+1 - LEN(SUBSTITUTE(CLEAN(SUBSTITUTE(ProjTextTable[[#This Row],[text]],CHAR(10)," "))," ",""))</f>
        <v>643</v>
      </c>
      <c r="O134" t="s">
        <v>13</v>
      </c>
      <c r="P134" t="s">
        <v>858</v>
      </c>
    </row>
    <row r="135" spans="1:16" x14ac:dyDescent="0.4">
      <c r="A135">
        <f t="shared" si="2"/>
        <v>20</v>
      </c>
      <c r="B135" t="s">
        <v>859</v>
      </c>
      <c r="C135" t="s">
        <v>860</v>
      </c>
      <c r="D135" t="s">
        <v>533</v>
      </c>
      <c r="E135" t="s">
        <v>654</v>
      </c>
      <c r="F135" t="s">
        <v>605</v>
      </c>
      <c r="G135" t="s">
        <v>606</v>
      </c>
      <c r="H135" t="s">
        <v>541</v>
      </c>
      <c r="I135" t="s">
        <v>536</v>
      </c>
      <c r="J135" t="s">
        <v>632</v>
      </c>
      <c r="K135" s="30">
        <v>43031</v>
      </c>
      <c r="L135" s="8">
        <v>43032.621249999997</v>
      </c>
      <c r="M135" s="21">
        <f>LEN(ProjTextTable[[#This Row],[text]])</f>
        <v>2933</v>
      </c>
      <c r="N135" s="21">
        <f>LEN(TRIM(CLEAN(SUBSTITUTE(ProjTextTable[[#This Row],[text]],CHAR(10)," "))))+1 - LEN(SUBSTITUTE(CLEAN(SUBSTITUTE(ProjTextTable[[#This Row],[text]],CHAR(10)," "))," ",""))</f>
        <v>435</v>
      </c>
      <c r="O135" t="s">
        <v>542</v>
      </c>
      <c r="P135" t="s">
        <v>861</v>
      </c>
    </row>
    <row r="136" spans="1:16" x14ac:dyDescent="0.4">
      <c r="A136">
        <f t="shared" si="2"/>
        <v>20</v>
      </c>
      <c r="B136" t="s">
        <v>859</v>
      </c>
      <c r="C136" t="s">
        <v>860</v>
      </c>
      <c r="D136" t="s">
        <v>2</v>
      </c>
      <c r="E136" t="s">
        <v>654</v>
      </c>
      <c r="F136" t="s">
        <v>13</v>
      </c>
      <c r="G136" t="s">
        <v>609</v>
      </c>
      <c r="H136" t="s">
        <v>13</v>
      </c>
      <c r="I136" t="s">
        <v>13</v>
      </c>
      <c r="K136" s="30"/>
      <c r="L136" s="8">
        <v>43082.668842592589</v>
      </c>
      <c r="M136" s="21">
        <f>LEN(ProjTextTable[[#This Row],[text]])</f>
        <v>1935</v>
      </c>
      <c r="N136" s="21">
        <f>LEN(TRIM(CLEAN(SUBSTITUTE(ProjTextTable[[#This Row],[text]],CHAR(10)," "))))+1 - LEN(SUBSTITUTE(CLEAN(SUBSTITUTE(ProjTextTable[[#This Row],[text]],CHAR(10)," "))," ",""))</f>
        <v>284</v>
      </c>
      <c r="O136" t="s">
        <v>13</v>
      </c>
      <c r="P136" t="s">
        <v>862</v>
      </c>
    </row>
    <row r="137" spans="1:16" x14ac:dyDescent="0.4">
      <c r="A137">
        <f t="shared" si="2"/>
        <v>20</v>
      </c>
      <c r="B137" t="s">
        <v>859</v>
      </c>
      <c r="C137" t="s">
        <v>860</v>
      </c>
      <c r="D137" t="s">
        <v>192</v>
      </c>
      <c r="E137" t="s">
        <v>611</v>
      </c>
      <c r="F137" t="s">
        <v>688</v>
      </c>
      <c r="G137" t="s">
        <v>689</v>
      </c>
      <c r="H137" t="s">
        <v>690</v>
      </c>
      <c r="I137" t="s">
        <v>201</v>
      </c>
      <c r="J137" t="s">
        <v>175</v>
      </c>
      <c r="K137" s="30">
        <v>43032</v>
      </c>
      <c r="L137" s="8">
        <v>43030.861539351848</v>
      </c>
      <c r="M137" s="21">
        <f>LEN(ProjTextTable[[#This Row],[text]])</f>
        <v>2279</v>
      </c>
      <c r="N137" s="21">
        <f>LEN(TRIM(CLEAN(SUBSTITUTE(ProjTextTable[[#This Row],[text]],CHAR(10)," "))))+1 - LEN(SUBSTITUTE(CLEAN(SUBSTITUTE(ProjTextTable[[#This Row],[text]],CHAR(10)," "))," ",""))</f>
        <v>335</v>
      </c>
      <c r="O137" t="s">
        <v>195</v>
      </c>
      <c r="P137" t="s">
        <v>863</v>
      </c>
    </row>
    <row r="138" spans="1:16" x14ac:dyDescent="0.4">
      <c r="A138">
        <f t="shared" si="2"/>
        <v>20</v>
      </c>
      <c r="B138" t="s">
        <v>859</v>
      </c>
      <c r="C138" t="s">
        <v>860</v>
      </c>
      <c r="D138" t="s">
        <v>192</v>
      </c>
      <c r="E138" t="s">
        <v>611</v>
      </c>
      <c r="F138" t="s">
        <v>621</v>
      </c>
      <c r="G138" t="s">
        <v>622</v>
      </c>
      <c r="H138" t="s">
        <v>623</v>
      </c>
      <c r="I138" t="s">
        <v>201</v>
      </c>
      <c r="J138" t="s">
        <v>175</v>
      </c>
      <c r="K138" s="30">
        <v>43032</v>
      </c>
      <c r="L138" s="8">
        <v>43030.96875</v>
      </c>
      <c r="M138" s="21">
        <f>LEN(ProjTextTable[[#This Row],[text]])</f>
        <v>2428</v>
      </c>
      <c r="N138" s="21">
        <f>LEN(TRIM(CLEAN(SUBSTITUTE(ProjTextTable[[#This Row],[text]],CHAR(10)," "))))+1 - LEN(SUBSTITUTE(CLEAN(SUBSTITUTE(ProjTextTable[[#This Row],[text]],CHAR(10)," "))," ",""))</f>
        <v>386</v>
      </c>
      <c r="O138" t="s">
        <v>198</v>
      </c>
      <c r="P138" t="s">
        <v>864</v>
      </c>
    </row>
    <row r="139" spans="1:16" x14ac:dyDescent="0.4">
      <c r="A139">
        <f t="shared" si="2"/>
        <v>20</v>
      </c>
      <c r="B139" t="s">
        <v>859</v>
      </c>
      <c r="C139" t="s">
        <v>860</v>
      </c>
      <c r="D139" t="s">
        <v>192</v>
      </c>
      <c r="E139" t="s">
        <v>611</v>
      </c>
      <c r="F139" t="s">
        <v>647</v>
      </c>
      <c r="G139" t="s">
        <v>648</v>
      </c>
      <c r="H139" t="s">
        <v>649</v>
      </c>
      <c r="I139" t="s">
        <v>201</v>
      </c>
      <c r="J139" t="s">
        <v>175</v>
      </c>
      <c r="K139" s="30">
        <v>43032</v>
      </c>
      <c r="L139" s="8">
        <v>43030.694988425923</v>
      </c>
      <c r="M139" s="21">
        <f>LEN(ProjTextTable[[#This Row],[text]])</f>
        <v>4076</v>
      </c>
      <c r="N139" s="21">
        <f>LEN(TRIM(CLEAN(SUBSTITUTE(ProjTextTable[[#This Row],[text]],CHAR(10)," "))))+1 - LEN(SUBSTITUTE(CLEAN(SUBSTITUTE(ProjTextTable[[#This Row],[text]],CHAR(10)," "))," ",""))</f>
        <v>620</v>
      </c>
      <c r="O139" t="s">
        <v>196</v>
      </c>
      <c r="P139" t="s">
        <v>865</v>
      </c>
    </row>
    <row r="140" spans="1:16" x14ac:dyDescent="0.4">
      <c r="A140">
        <f t="shared" si="2"/>
        <v>20</v>
      </c>
      <c r="B140" t="s">
        <v>859</v>
      </c>
      <c r="C140" t="s">
        <v>860</v>
      </c>
      <c r="D140" t="s">
        <v>192</v>
      </c>
      <c r="E140" t="s">
        <v>611</v>
      </c>
      <c r="F140" t="s">
        <v>697</v>
      </c>
      <c r="G140" t="s">
        <v>698</v>
      </c>
      <c r="H140" t="s">
        <v>699</v>
      </c>
      <c r="I140" t="s">
        <v>201</v>
      </c>
      <c r="J140" t="s">
        <v>175</v>
      </c>
      <c r="K140" s="30">
        <v>43032</v>
      </c>
      <c r="L140" s="8">
        <v>43030.806562500002</v>
      </c>
      <c r="M140" s="21">
        <f>LEN(ProjTextTable[[#This Row],[text]])</f>
        <v>3124</v>
      </c>
      <c r="N140" s="21">
        <f>LEN(TRIM(CLEAN(SUBSTITUTE(ProjTextTable[[#This Row],[text]],CHAR(10)," "))))+1 - LEN(SUBSTITUTE(CLEAN(SUBSTITUTE(ProjTextTable[[#This Row],[text]],CHAR(10)," "))," ",""))</f>
        <v>492</v>
      </c>
      <c r="O140" t="s">
        <v>198</v>
      </c>
      <c r="P140" t="s">
        <v>866</v>
      </c>
    </row>
    <row r="141" spans="1:16" x14ac:dyDescent="0.4">
      <c r="A141">
        <f t="shared" si="2"/>
        <v>20</v>
      </c>
      <c r="B141" t="s">
        <v>859</v>
      </c>
      <c r="C141" t="s">
        <v>860</v>
      </c>
      <c r="D141" t="s">
        <v>194</v>
      </c>
      <c r="E141" t="s">
        <v>654</v>
      </c>
      <c r="F141" t="s">
        <v>13</v>
      </c>
      <c r="G141" t="s">
        <v>13</v>
      </c>
      <c r="H141" t="s">
        <v>13</v>
      </c>
      <c r="K141" s="30"/>
      <c r="L141" s="8">
        <v>42936.043032407404</v>
      </c>
      <c r="M141" s="21">
        <f>LEN(ProjTextTable[[#This Row],[text]])</f>
        <v>4474</v>
      </c>
      <c r="N141" s="21">
        <f>LEN(TRIM(CLEAN(SUBSTITUTE(ProjTextTable[[#This Row],[text]],CHAR(10)," "))))+1 - LEN(SUBSTITUTE(CLEAN(SUBSTITUTE(ProjTextTable[[#This Row],[text]],CHAR(10)," "))," ",""))</f>
        <v>661</v>
      </c>
      <c r="O141" t="s">
        <v>13</v>
      </c>
      <c r="P141" t="s">
        <v>867</v>
      </c>
    </row>
    <row r="142" spans="1:16" x14ac:dyDescent="0.4">
      <c r="A142">
        <f t="shared" si="2"/>
        <v>21</v>
      </c>
      <c r="B142" t="s">
        <v>868</v>
      </c>
      <c r="C142" t="s">
        <v>869</v>
      </c>
      <c r="D142" t="s">
        <v>533</v>
      </c>
      <c r="E142" t="s">
        <v>654</v>
      </c>
      <c r="F142" t="s">
        <v>605</v>
      </c>
      <c r="G142" t="s">
        <v>606</v>
      </c>
      <c r="H142" t="s">
        <v>543</v>
      </c>
      <c r="I142" t="s">
        <v>537</v>
      </c>
      <c r="J142" t="s">
        <v>537</v>
      </c>
      <c r="K142" s="30">
        <v>43031</v>
      </c>
      <c r="L142" s="8">
        <v>43032.651261574072</v>
      </c>
      <c r="M142" s="21">
        <f>LEN(ProjTextTable[[#This Row],[text]])</f>
        <v>3395</v>
      </c>
      <c r="N142" s="21">
        <f>LEN(TRIM(CLEAN(SUBSTITUTE(ProjTextTable[[#This Row],[text]],CHAR(10)," "))))+1 - LEN(SUBSTITUTE(CLEAN(SUBSTITUTE(ProjTextTable[[#This Row],[text]],CHAR(10)," "))," ",""))</f>
        <v>510</v>
      </c>
      <c r="O142" t="s">
        <v>544</v>
      </c>
      <c r="P142" t="s">
        <v>870</v>
      </c>
    </row>
    <row r="143" spans="1:16" x14ac:dyDescent="0.4">
      <c r="A143">
        <f t="shared" si="2"/>
        <v>21</v>
      </c>
      <c r="B143" t="s">
        <v>868</v>
      </c>
      <c r="C143" t="s">
        <v>869</v>
      </c>
      <c r="D143" t="s">
        <v>192</v>
      </c>
      <c r="E143" t="s">
        <v>611</v>
      </c>
      <c r="F143" t="s">
        <v>621</v>
      </c>
      <c r="G143" t="s">
        <v>622</v>
      </c>
      <c r="H143" t="s">
        <v>623</v>
      </c>
      <c r="I143" t="s">
        <v>201</v>
      </c>
      <c r="J143" t="s">
        <v>175</v>
      </c>
      <c r="K143" s="30">
        <v>43032</v>
      </c>
      <c r="L143" s="8">
        <v>43031.606099537035</v>
      </c>
      <c r="M143" s="21">
        <f>LEN(ProjTextTable[[#This Row],[text]])</f>
        <v>3088</v>
      </c>
      <c r="N143" s="21">
        <f>LEN(TRIM(CLEAN(SUBSTITUTE(ProjTextTable[[#This Row],[text]],CHAR(10)," "))))+1 - LEN(SUBSTITUTE(CLEAN(SUBSTITUTE(ProjTextTable[[#This Row],[text]],CHAR(10)," "))," ",""))</f>
        <v>450</v>
      </c>
      <c r="O143" t="s">
        <v>195</v>
      </c>
      <c r="P143" t="s">
        <v>871</v>
      </c>
    </row>
    <row r="144" spans="1:16" x14ac:dyDescent="0.4">
      <c r="A144">
        <f t="shared" si="2"/>
        <v>21</v>
      </c>
      <c r="B144" t="s">
        <v>868</v>
      </c>
      <c r="C144" t="s">
        <v>869</v>
      </c>
      <c r="D144" t="s">
        <v>192</v>
      </c>
      <c r="E144" t="s">
        <v>611</v>
      </c>
      <c r="F144" t="s">
        <v>659</v>
      </c>
      <c r="G144" t="s">
        <v>660</v>
      </c>
      <c r="H144" t="s">
        <v>661</v>
      </c>
      <c r="I144" t="s">
        <v>201</v>
      </c>
      <c r="J144" t="s">
        <v>175</v>
      </c>
      <c r="K144" s="30">
        <v>43032</v>
      </c>
      <c r="L144" s="8">
        <v>43032.52853009259</v>
      </c>
      <c r="M144" s="21">
        <f>LEN(ProjTextTable[[#This Row],[text]])</f>
        <v>4240</v>
      </c>
      <c r="N144" s="21">
        <f>LEN(TRIM(CLEAN(SUBSTITUTE(ProjTextTable[[#This Row],[text]],CHAR(10)," "))))+1 - LEN(SUBSTITUTE(CLEAN(SUBSTITUTE(ProjTextTable[[#This Row],[text]],CHAR(10)," "))," ",""))</f>
        <v>665</v>
      </c>
      <c r="O144" t="s">
        <v>193</v>
      </c>
      <c r="P144" t="s">
        <v>872</v>
      </c>
    </row>
    <row r="145" spans="1:16" x14ac:dyDescent="0.4">
      <c r="A145">
        <f t="shared" si="2"/>
        <v>21</v>
      </c>
      <c r="B145" t="s">
        <v>868</v>
      </c>
      <c r="C145" t="s">
        <v>869</v>
      </c>
      <c r="D145" t="s">
        <v>192</v>
      </c>
      <c r="E145" t="s">
        <v>611</v>
      </c>
      <c r="F145" t="s">
        <v>708</v>
      </c>
      <c r="G145" t="s">
        <v>709</v>
      </c>
      <c r="H145" t="s">
        <v>710</v>
      </c>
      <c r="I145" t="s">
        <v>201</v>
      </c>
      <c r="J145" t="s">
        <v>175</v>
      </c>
      <c r="K145" s="30">
        <v>43032</v>
      </c>
      <c r="L145" s="8">
        <v>43030.964513888888</v>
      </c>
      <c r="M145" s="21">
        <f>LEN(ProjTextTable[[#This Row],[text]])</f>
        <v>1835</v>
      </c>
      <c r="N145" s="21">
        <f>LEN(TRIM(CLEAN(SUBSTITUTE(ProjTextTable[[#This Row],[text]],CHAR(10)," "))))+1 - LEN(SUBSTITUTE(CLEAN(SUBSTITUTE(ProjTextTable[[#This Row],[text]],CHAR(10)," "))," ",""))</f>
        <v>279</v>
      </c>
      <c r="O145" t="s">
        <v>195</v>
      </c>
      <c r="P145" t="s">
        <v>873</v>
      </c>
    </row>
    <row r="146" spans="1:16" x14ac:dyDescent="0.4">
      <c r="A146">
        <f t="shared" si="2"/>
        <v>21</v>
      </c>
      <c r="B146" t="s">
        <v>868</v>
      </c>
      <c r="C146" t="s">
        <v>869</v>
      </c>
      <c r="D146" t="s">
        <v>192</v>
      </c>
      <c r="E146" t="s">
        <v>611</v>
      </c>
      <c r="F146" t="s">
        <v>664</v>
      </c>
      <c r="G146" t="s">
        <v>665</v>
      </c>
      <c r="H146" t="s">
        <v>666</v>
      </c>
      <c r="I146" t="s">
        <v>201</v>
      </c>
      <c r="J146" t="s">
        <v>175</v>
      </c>
      <c r="K146" s="30">
        <v>43032</v>
      </c>
      <c r="L146" s="8">
        <v>43028.722314814811</v>
      </c>
      <c r="M146" s="21">
        <f>LEN(ProjTextTable[[#This Row],[text]])</f>
        <v>1743</v>
      </c>
      <c r="N146" s="21">
        <f>LEN(TRIM(CLEAN(SUBSTITUTE(ProjTextTable[[#This Row],[text]],CHAR(10)," "))))+1 - LEN(SUBSTITUTE(CLEAN(SUBSTITUTE(ProjTextTable[[#This Row],[text]],CHAR(10)," "))," ",""))</f>
        <v>246</v>
      </c>
      <c r="O146" t="s">
        <v>229</v>
      </c>
      <c r="P146" t="s">
        <v>874</v>
      </c>
    </row>
    <row r="147" spans="1:16" x14ac:dyDescent="0.4">
      <c r="A147">
        <f t="shared" si="2"/>
        <v>22</v>
      </c>
      <c r="B147" t="s">
        <v>875</v>
      </c>
      <c r="C147" t="s">
        <v>876</v>
      </c>
      <c r="D147" t="s">
        <v>533</v>
      </c>
      <c r="E147" t="s">
        <v>654</v>
      </c>
      <c r="F147" t="s">
        <v>714</v>
      </c>
      <c r="G147" t="s">
        <v>715</v>
      </c>
      <c r="H147" t="s">
        <v>541</v>
      </c>
      <c r="I147" t="s">
        <v>536</v>
      </c>
      <c r="J147" t="s">
        <v>877</v>
      </c>
      <c r="K147" s="30">
        <v>43059</v>
      </c>
      <c r="L147" s="8">
        <v>43060.618460648147</v>
      </c>
      <c r="M147" s="21">
        <f>LEN(ProjTextTable[[#This Row],[text]])</f>
        <v>2924</v>
      </c>
      <c r="N147" s="21">
        <f>LEN(TRIM(CLEAN(SUBSTITUTE(ProjTextTable[[#This Row],[text]],CHAR(10)," "))))+1 - LEN(SUBSTITUTE(CLEAN(SUBSTITUTE(ProjTextTable[[#This Row],[text]],CHAR(10)," "))," ",""))</f>
        <v>439</v>
      </c>
      <c r="O147" t="s">
        <v>542</v>
      </c>
      <c r="P147" t="s">
        <v>878</v>
      </c>
    </row>
    <row r="148" spans="1:16" x14ac:dyDescent="0.4">
      <c r="A148">
        <f t="shared" si="2"/>
        <v>22</v>
      </c>
      <c r="B148" t="s">
        <v>875</v>
      </c>
      <c r="C148" t="s">
        <v>876</v>
      </c>
      <c r="D148" t="s">
        <v>2</v>
      </c>
      <c r="E148" t="s">
        <v>654</v>
      </c>
      <c r="F148" t="s">
        <v>13</v>
      </c>
      <c r="G148" t="s">
        <v>609</v>
      </c>
      <c r="H148" t="s">
        <v>13</v>
      </c>
      <c r="I148" t="s">
        <v>13</v>
      </c>
      <c r="K148" s="30"/>
      <c r="L148" s="8">
        <v>43082.663078703707</v>
      </c>
      <c r="M148" s="21">
        <f>LEN(ProjTextTable[[#This Row],[text]])</f>
        <v>1890</v>
      </c>
      <c r="N148" s="21">
        <f>LEN(TRIM(CLEAN(SUBSTITUTE(ProjTextTable[[#This Row],[text]],CHAR(10)," "))))+1 - LEN(SUBSTITUTE(CLEAN(SUBSTITUTE(ProjTextTable[[#This Row],[text]],CHAR(10)," "))," ",""))</f>
        <v>279</v>
      </c>
      <c r="O148" t="s">
        <v>13</v>
      </c>
      <c r="P148" t="s">
        <v>879</v>
      </c>
    </row>
    <row r="149" spans="1:16" x14ac:dyDescent="0.4">
      <c r="A149">
        <f t="shared" si="2"/>
        <v>22</v>
      </c>
      <c r="B149" t="s">
        <v>875</v>
      </c>
      <c r="C149" t="s">
        <v>876</v>
      </c>
      <c r="D149" t="s">
        <v>192</v>
      </c>
      <c r="E149" t="s">
        <v>611</v>
      </c>
      <c r="F149" t="s">
        <v>717</v>
      </c>
      <c r="G149" t="s">
        <v>718</v>
      </c>
      <c r="H149" t="s">
        <v>719</v>
      </c>
      <c r="I149" t="s">
        <v>201</v>
      </c>
      <c r="J149" t="s">
        <v>175</v>
      </c>
      <c r="K149" s="30">
        <v>43060</v>
      </c>
      <c r="L149" s="8">
        <v>43058.980439814812</v>
      </c>
      <c r="M149" s="21">
        <f>LEN(ProjTextTable[[#This Row],[text]])</f>
        <v>2623</v>
      </c>
      <c r="N149" s="21">
        <f>LEN(TRIM(CLEAN(SUBSTITUTE(ProjTextTable[[#This Row],[text]],CHAR(10)," "))))+1 - LEN(SUBSTITUTE(CLEAN(SUBSTITUTE(ProjTextTable[[#This Row],[text]],CHAR(10)," "))," ",""))</f>
        <v>395</v>
      </c>
      <c r="O149" t="s">
        <v>193</v>
      </c>
      <c r="P149" t="s">
        <v>880</v>
      </c>
    </row>
    <row r="150" spans="1:16" x14ac:dyDescent="0.4">
      <c r="A150">
        <f t="shared" si="2"/>
        <v>22</v>
      </c>
      <c r="B150" t="s">
        <v>875</v>
      </c>
      <c r="C150" t="s">
        <v>876</v>
      </c>
      <c r="D150" t="s">
        <v>192</v>
      </c>
      <c r="E150" t="s">
        <v>611</v>
      </c>
      <c r="F150" t="s">
        <v>721</v>
      </c>
      <c r="G150" t="s">
        <v>722</v>
      </c>
      <c r="H150" t="s">
        <v>723</v>
      </c>
      <c r="I150" t="s">
        <v>201</v>
      </c>
      <c r="J150" t="s">
        <v>175</v>
      </c>
      <c r="K150" s="30">
        <v>43060</v>
      </c>
      <c r="L150" s="8">
        <v>43057.612581018519</v>
      </c>
      <c r="M150" s="21">
        <f>LEN(ProjTextTable[[#This Row],[text]])</f>
        <v>1910</v>
      </c>
      <c r="N150" s="21">
        <f>LEN(TRIM(CLEAN(SUBSTITUTE(ProjTextTable[[#This Row],[text]],CHAR(10)," "))))+1 - LEN(SUBSTITUTE(CLEAN(SUBSTITUTE(ProjTextTable[[#This Row],[text]],CHAR(10)," "))," ",""))</f>
        <v>291</v>
      </c>
      <c r="O150" t="s">
        <v>199</v>
      </c>
      <c r="P150" t="s">
        <v>881</v>
      </c>
    </row>
    <row r="151" spans="1:16" x14ac:dyDescent="0.4">
      <c r="A151">
        <f t="shared" si="2"/>
        <v>22</v>
      </c>
      <c r="B151" t="s">
        <v>875</v>
      </c>
      <c r="C151" t="s">
        <v>876</v>
      </c>
      <c r="D151" t="s">
        <v>192</v>
      </c>
      <c r="E151" t="s">
        <v>611</v>
      </c>
      <c r="F151" t="s">
        <v>725</v>
      </c>
      <c r="G151" t="s">
        <v>726</v>
      </c>
      <c r="H151" t="s">
        <v>727</v>
      </c>
      <c r="I151" t="s">
        <v>201</v>
      </c>
      <c r="J151" t="s">
        <v>175</v>
      </c>
      <c r="K151" s="30">
        <v>43060</v>
      </c>
      <c r="L151" s="8">
        <v>43059.951006944444</v>
      </c>
      <c r="M151" s="21">
        <f>LEN(ProjTextTable[[#This Row],[text]])</f>
        <v>1875</v>
      </c>
      <c r="N151" s="21">
        <f>LEN(TRIM(CLEAN(SUBSTITUTE(ProjTextTable[[#This Row],[text]],CHAR(10)," "))))+1 - LEN(SUBSTITUTE(CLEAN(SUBSTITUTE(ProjTextTable[[#This Row],[text]],CHAR(10)," "))," ",""))</f>
        <v>283</v>
      </c>
      <c r="O151" t="s">
        <v>196</v>
      </c>
      <c r="P151" t="s">
        <v>882</v>
      </c>
    </row>
    <row r="152" spans="1:16" x14ac:dyDescent="0.4">
      <c r="A152">
        <f t="shared" si="2"/>
        <v>22</v>
      </c>
      <c r="B152" t="s">
        <v>875</v>
      </c>
      <c r="C152" t="s">
        <v>876</v>
      </c>
      <c r="D152" t="s">
        <v>192</v>
      </c>
      <c r="E152" t="s">
        <v>611</v>
      </c>
      <c r="F152" t="s">
        <v>776</v>
      </c>
      <c r="G152" t="s">
        <v>777</v>
      </c>
      <c r="H152" t="s">
        <v>778</v>
      </c>
      <c r="I152" t="s">
        <v>201</v>
      </c>
      <c r="J152" t="s">
        <v>175</v>
      </c>
      <c r="K152" s="30">
        <v>43060</v>
      </c>
      <c r="L152" s="8">
        <v>43058.974745370368</v>
      </c>
      <c r="M152" s="21">
        <f>LEN(ProjTextTable[[#This Row],[text]])</f>
        <v>2219</v>
      </c>
      <c r="N152" s="21">
        <f>LEN(TRIM(CLEAN(SUBSTITUTE(ProjTextTable[[#This Row],[text]],CHAR(10)," "))))+1 - LEN(SUBSTITUTE(CLEAN(SUBSTITUTE(ProjTextTable[[#This Row],[text]],CHAR(10)," "))," ",""))</f>
        <v>334</v>
      </c>
      <c r="O152" t="s">
        <v>199</v>
      </c>
      <c r="P152" t="s">
        <v>883</v>
      </c>
    </row>
    <row r="153" spans="1:16" x14ac:dyDescent="0.4">
      <c r="A153">
        <f t="shared" si="2"/>
        <v>22</v>
      </c>
      <c r="B153" t="s">
        <v>875</v>
      </c>
      <c r="C153" t="s">
        <v>876</v>
      </c>
      <c r="D153" t="s">
        <v>194</v>
      </c>
      <c r="E153" t="s">
        <v>654</v>
      </c>
      <c r="F153" t="s">
        <v>13</v>
      </c>
      <c r="G153" t="s">
        <v>13</v>
      </c>
      <c r="H153" t="s">
        <v>13</v>
      </c>
      <c r="K153" s="30"/>
      <c r="L153" s="8">
        <v>42936.043124999997</v>
      </c>
      <c r="M153" s="21">
        <f>LEN(ProjTextTable[[#This Row],[text]])</f>
        <v>2664</v>
      </c>
      <c r="N153" s="21">
        <f>LEN(TRIM(CLEAN(SUBSTITUTE(ProjTextTable[[#This Row],[text]],CHAR(10)," "))))+1 - LEN(SUBSTITUTE(CLEAN(SUBSTITUTE(ProjTextTable[[#This Row],[text]],CHAR(10)," "))," ",""))</f>
        <v>408</v>
      </c>
      <c r="O153" t="s">
        <v>13</v>
      </c>
      <c r="P153" t="s">
        <v>884</v>
      </c>
    </row>
    <row r="154" spans="1:16" x14ac:dyDescent="0.4">
      <c r="A154">
        <f t="shared" si="2"/>
        <v>23</v>
      </c>
      <c r="B154" t="s">
        <v>885</v>
      </c>
      <c r="C154" t="s">
        <v>886</v>
      </c>
      <c r="D154" t="s">
        <v>533</v>
      </c>
      <c r="E154" t="s">
        <v>611</v>
      </c>
      <c r="F154" t="s">
        <v>714</v>
      </c>
      <c r="G154" t="s">
        <v>715</v>
      </c>
      <c r="H154" t="s">
        <v>539</v>
      </c>
      <c r="I154" t="s">
        <v>535</v>
      </c>
      <c r="J154" t="s">
        <v>545</v>
      </c>
      <c r="K154" s="30">
        <v>43059</v>
      </c>
      <c r="L154" s="8">
        <v>43060.67087962963</v>
      </c>
      <c r="M154" s="21">
        <f>LEN(ProjTextTable[[#This Row],[text]])</f>
        <v>2705</v>
      </c>
      <c r="N154" s="21">
        <f>LEN(TRIM(CLEAN(SUBSTITUTE(ProjTextTable[[#This Row],[text]],CHAR(10)," "))))+1 - LEN(SUBSTITUTE(CLEAN(SUBSTITUTE(ProjTextTable[[#This Row],[text]],CHAR(10)," "))," ",""))</f>
        <v>417</v>
      </c>
      <c r="O154" t="s">
        <v>540</v>
      </c>
      <c r="P154" t="s">
        <v>887</v>
      </c>
    </row>
    <row r="155" spans="1:16" x14ac:dyDescent="0.4">
      <c r="A155">
        <f t="shared" si="2"/>
        <v>23</v>
      </c>
      <c r="B155" t="s">
        <v>885</v>
      </c>
      <c r="C155" t="s">
        <v>886</v>
      </c>
      <c r="D155" t="s">
        <v>192</v>
      </c>
      <c r="E155" t="s">
        <v>611</v>
      </c>
      <c r="F155" t="s">
        <v>799</v>
      </c>
      <c r="G155" t="s">
        <v>800</v>
      </c>
      <c r="H155" t="s">
        <v>801</v>
      </c>
      <c r="I155" t="s">
        <v>201</v>
      </c>
      <c r="J155" t="s">
        <v>175</v>
      </c>
      <c r="K155" s="30">
        <v>43060</v>
      </c>
      <c r="L155" s="8">
        <v>43056.601504629631</v>
      </c>
      <c r="M155" s="21">
        <f>LEN(ProjTextTable[[#This Row],[text]])</f>
        <v>3349</v>
      </c>
      <c r="N155" s="21">
        <f>LEN(TRIM(CLEAN(SUBSTITUTE(ProjTextTable[[#This Row],[text]],CHAR(10)," "))))+1 - LEN(SUBSTITUTE(CLEAN(SUBSTITUTE(ProjTextTable[[#This Row],[text]],CHAR(10)," "))," ",""))</f>
        <v>522</v>
      </c>
      <c r="O155" t="s">
        <v>196</v>
      </c>
      <c r="P155" t="s">
        <v>888</v>
      </c>
    </row>
    <row r="156" spans="1:16" x14ac:dyDescent="0.4">
      <c r="A156">
        <f t="shared" si="2"/>
        <v>23</v>
      </c>
      <c r="B156" t="s">
        <v>885</v>
      </c>
      <c r="C156" t="s">
        <v>886</v>
      </c>
      <c r="D156" t="s">
        <v>192</v>
      </c>
      <c r="E156" t="s">
        <v>611</v>
      </c>
      <c r="F156" t="s">
        <v>749</v>
      </c>
      <c r="G156" t="s">
        <v>750</v>
      </c>
      <c r="H156" t="s">
        <v>751</v>
      </c>
      <c r="I156" t="s">
        <v>201</v>
      </c>
      <c r="J156" t="s">
        <v>175</v>
      </c>
      <c r="K156" s="30">
        <v>43060</v>
      </c>
      <c r="L156" s="8">
        <v>43059.263854166667</v>
      </c>
      <c r="M156" s="21">
        <f>LEN(ProjTextTable[[#This Row],[text]])</f>
        <v>1841</v>
      </c>
      <c r="N156" s="21">
        <f>LEN(TRIM(CLEAN(SUBSTITUTE(ProjTextTable[[#This Row],[text]],CHAR(10)," "))))+1 - LEN(SUBSTITUTE(CLEAN(SUBSTITUTE(ProjTextTable[[#This Row],[text]],CHAR(10)," "))," ",""))</f>
        <v>267</v>
      </c>
      <c r="O156" t="s">
        <v>196</v>
      </c>
      <c r="P156" t="s">
        <v>889</v>
      </c>
    </row>
    <row r="157" spans="1:16" x14ac:dyDescent="0.4">
      <c r="A157">
        <f t="shared" si="2"/>
        <v>23</v>
      </c>
      <c r="B157" t="s">
        <v>885</v>
      </c>
      <c r="C157" t="s">
        <v>886</v>
      </c>
      <c r="D157" t="s">
        <v>192</v>
      </c>
      <c r="E157" t="s">
        <v>611</v>
      </c>
      <c r="F157" t="s">
        <v>757</v>
      </c>
      <c r="G157" t="s">
        <v>758</v>
      </c>
      <c r="H157" t="s">
        <v>759</v>
      </c>
      <c r="I157" t="s">
        <v>201</v>
      </c>
      <c r="J157" t="s">
        <v>175</v>
      </c>
      <c r="K157" s="30">
        <v>43060</v>
      </c>
      <c r="L157" s="8">
        <v>43060.388043981482</v>
      </c>
      <c r="M157" s="21">
        <f>LEN(ProjTextTable[[#This Row],[text]])</f>
        <v>4900</v>
      </c>
      <c r="N157" s="21">
        <f>LEN(TRIM(CLEAN(SUBSTITUTE(ProjTextTable[[#This Row],[text]],CHAR(10)," "))))+1 - LEN(SUBSTITUTE(CLEAN(SUBSTITUTE(ProjTextTable[[#This Row],[text]],CHAR(10)," "))," ",""))</f>
        <v>756</v>
      </c>
      <c r="O157" t="s">
        <v>198</v>
      </c>
      <c r="P157" t="s">
        <v>890</v>
      </c>
    </row>
    <row r="158" spans="1:16" x14ac:dyDescent="0.4">
      <c r="A158">
        <f t="shared" si="2"/>
        <v>23</v>
      </c>
      <c r="B158" t="s">
        <v>885</v>
      </c>
      <c r="C158" t="s">
        <v>886</v>
      </c>
      <c r="D158" t="s">
        <v>192</v>
      </c>
      <c r="E158" t="s">
        <v>611</v>
      </c>
      <c r="F158" t="s">
        <v>891</v>
      </c>
      <c r="G158" t="s">
        <v>892</v>
      </c>
      <c r="H158" t="s">
        <v>893</v>
      </c>
      <c r="I158" t="s">
        <v>201</v>
      </c>
      <c r="J158" t="s">
        <v>175</v>
      </c>
      <c r="K158" s="30">
        <v>43060</v>
      </c>
      <c r="L158" s="8">
        <v>43060.566712962966</v>
      </c>
      <c r="M158" s="21">
        <f>LEN(ProjTextTable[[#This Row],[text]])</f>
        <v>4193</v>
      </c>
      <c r="N158" s="21">
        <f>LEN(TRIM(CLEAN(SUBSTITUTE(ProjTextTable[[#This Row],[text]],CHAR(10)," "))))+1 - LEN(SUBSTITUTE(CLEAN(SUBSTITUTE(ProjTextTable[[#This Row],[text]],CHAR(10)," "))," ",""))</f>
        <v>646</v>
      </c>
      <c r="O158" t="s">
        <v>229</v>
      </c>
      <c r="P158" t="s">
        <v>894</v>
      </c>
    </row>
    <row r="159" spans="1:16" x14ac:dyDescent="0.4">
      <c r="A159">
        <f t="shared" si="2"/>
        <v>23</v>
      </c>
      <c r="B159" t="s">
        <v>885</v>
      </c>
      <c r="C159" t="s">
        <v>886</v>
      </c>
      <c r="D159" t="s">
        <v>194</v>
      </c>
      <c r="E159" t="s">
        <v>611</v>
      </c>
      <c r="F159" t="s">
        <v>13</v>
      </c>
      <c r="G159" t="s">
        <v>13</v>
      </c>
      <c r="H159" t="s">
        <v>13</v>
      </c>
      <c r="K159" s="30"/>
      <c r="L159" s="8">
        <v>42936.043368055558</v>
      </c>
      <c r="M159" s="21">
        <f>LEN(ProjTextTable[[#This Row],[text]])</f>
        <v>4057</v>
      </c>
      <c r="N159" s="21">
        <f>LEN(TRIM(CLEAN(SUBSTITUTE(ProjTextTable[[#This Row],[text]],CHAR(10)," "))))+1 - LEN(SUBSTITUTE(CLEAN(SUBSTITUTE(ProjTextTable[[#This Row],[text]],CHAR(10)," "))," ",""))</f>
        <v>597</v>
      </c>
      <c r="O159" t="s">
        <v>13</v>
      </c>
      <c r="P159" t="s">
        <v>895</v>
      </c>
    </row>
    <row r="160" spans="1:16" x14ac:dyDescent="0.4">
      <c r="A160">
        <f t="shared" si="2"/>
        <v>24</v>
      </c>
      <c r="B160" t="s">
        <v>896</v>
      </c>
      <c r="C160" t="s">
        <v>897</v>
      </c>
      <c r="D160" t="s">
        <v>533</v>
      </c>
      <c r="E160" t="s">
        <v>611</v>
      </c>
      <c r="F160" t="s">
        <v>714</v>
      </c>
      <c r="G160" t="s">
        <v>715</v>
      </c>
      <c r="H160" t="s">
        <v>539</v>
      </c>
      <c r="I160" t="s">
        <v>535</v>
      </c>
      <c r="J160" t="s">
        <v>538</v>
      </c>
      <c r="K160" s="30">
        <v>43059</v>
      </c>
      <c r="L160" s="8">
        <v>43060.604675925926</v>
      </c>
      <c r="M160" s="21">
        <f>LEN(ProjTextTable[[#This Row],[text]])</f>
        <v>2023</v>
      </c>
      <c r="N160" s="21">
        <f>LEN(TRIM(CLEAN(SUBSTITUTE(ProjTextTable[[#This Row],[text]],CHAR(10)," "))))+1 - LEN(SUBSTITUTE(CLEAN(SUBSTITUTE(ProjTextTable[[#This Row],[text]],CHAR(10)," "))," ",""))</f>
        <v>298</v>
      </c>
      <c r="O160" t="s">
        <v>540</v>
      </c>
      <c r="P160" t="s">
        <v>898</v>
      </c>
    </row>
    <row r="161" spans="1:16" x14ac:dyDescent="0.4">
      <c r="A161">
        <f t="shared" si="2"/>
        <v>24</v>
      </c>
      <c r="B161" t="s">
        <v>896</v>
      </c>
      <c r="C161" t="s">
        <v>897</v>
      </c>
      <c r="D161" t="s">
        <v>533</v>
      </c>
      <c r="E161" t="s">
        <v>611</v>
      </c>
      <c r="F161" t="s">
        <v>899</v>
      </c>
      <c r="G161" t="s">
        <v>900</v>
      </c>
      <c r="H161" t="s">
        <v>541</v>
      </c>
      <c r="I161" t="s">
        <v>536</v>
      </c>
      <c r="J161" t="s">
        <v>355</v>
      </c>
      <c r="K161" s="30">
        <v>43045</v>
      </c>
      <c r="L161" s="8">
        <v>43065.482268518521</v>
      </c>
      <c r="M161" s="21">
        <f>LEN(ProjTextTable[[#This Row],[text]])</f>
        <v>2544</v>
      </c>
      <c r="N161" s="21">
        <f>LEN(TRIM(CLEAN(SUBSTITUTE(ProjTextTable[[#This Row],[text]],CHAR(10)," "))))+1 - LEN(SUBSTITUTE(CLEAN(SUBSTITUTE(ProjTextTable[[#This Row],[text]],CHAR(10)," "))," ",""))</f>
        <v>374</v>
      </c>
      <c r="O161" t="s">
        <v>542</v>
      </c>
      <c r="P161" t="s">
        <v>901</v>
      </c>
    </row>
    <row r="162" spans="1:16" x14ac:dyDescent="0.4">
      <c r="A162">
        <f t="shared" si="2"/>
        <v>24</v>
      </c>
      <c r="B162" t="s">
        <v>896</v>
      </c>
      <c r="C162" t="s">
        <v>897</v>
      </c>
      <c r="D162" t="s">
        <v>192</v>
      </c>
      <c r="E162" t="s">
        <v>611</v>
      </c>
      <c r="F162" t="s">
        <v>902</v>
      </c>
      <c r="G162" t="s">
        <v>903</v>
      </c>
      <c r="H162" t="s">
        <v>904</v>
      </c>
      <c r="I162" t="s">
        <v>201</v>
      </c>
      <c r="J162" t="s">
        <v>175</v>
      </c>
      <c r="K162" s="30">
        <v>43046</v>
      </c>
      <c r="L162" s="8">
        <v>43039.371203703704</v>
      </c>
      <c r="M162" s="21">
        <f>LEN(ProjTextTable[[#This Row],[text]])</f>
        <v>2609</v>
      </c>
      <c r="N162" s="21">
        <f>LEN(TRIM(CLEAN(SUBSTITUTE(ProjTextTable[[#This Row],[text]],CHAR(10)," "))))+1 - LEN(SUBSTITUTE(CLEAN(SUBSTITUTE(ProjTextTable[[#This Row],[text]],CHAR(10)," "))," ",""))</f>
        <v>396</v>
      </c>
      <c r="O162" t="s">
        <v>193</v>
      </c>
      <c r="P162" t="s">
        <v>905</v>
      </c>
    </row>
    <row r="163" spans="1:16" x14ac:dyDescent="0.4">
      <c r="A163">
        <f t="shared" si="2"/>
        <v>24</v>
      </c>
      <c r="B163" t="s">
        <v>896</v>
      </c>
      <c r="C163" t="s">
        <v>897</v>
      </c>
      <c r="D163" t="s">
        <v>192</v>
      </c>
      <c r="E163" t="s">
        <v>611</v>
      </c>
      <c r="F163" t="s">
        <v>906</v>
      </c>
      <c r="G163" t="s">
        <v>907</v>
      </c>
      <c r="H163" t="s">
        <v>908</v>
      </c>
      <c r="I163" t="s">
        <v>201</v>
      </c>
      <c r="J163" t="s">
        <v>175</v>
      </c>
      <c r="K163" s="30">
        <v>43046</v>
      </c>
      <c r="L163" s="8">
        <v>43045.334178240744</v>
      </c>
      <c r="M163" s="21">
        <f>LEN(ProjTextTable[[#This Row],[text]])</f>
        <v>3283</v>
      </c>
      <c r="N163" s="21">
        <f>LEN(TRIM(CLEAN(SUBSTITUTE(ProjTextTable[[#This Row],[text]],CHAR(10)," "))))+1 - LEN(SUBSTITUTE(CLEAN(SUBSTITUTE(ProjTextTable[[#This Row],[text]],CHAR(10)," "))," ",""))</f>
        <v>503</v>
      </c>
      <c r="O163" t="s">
        <v>198</v>
      </c>
      <c r="P163" t="s">
        <v>909</v>
      </c>
    </row>
    <row r="164" spans="1:16" x14ac:dyDescent="0.4">
      <c r="A164">
        <f t="shared" si="2"/>
        <v>24</v>
      </c>
      <c r="B164" t="s">
        <v>896</v>
      </c>
      <c r="C164" t="s">
        <v>897</v>
      </c>
      <c r="D164" t="s">
        <v>192</v>
      </c>
      <c r="E164" t="s">
        <v>611</v>
      </c>
      <c r="F164" t="s">
        <v>910</v>
      </c>
      <c r="G164" t="s">
        <v>911</v>
      </c>
      <c r="H164" t="s">
        <v>912</v>
      </c>
      <c r="I164" t="s">
        <v>201</v>
      </c>
      <c r="J164" t="s">
        <v>175</v>
      </c>
      <c r="K164" s="30">
        <v>43046</v>
      </c>
      <c r="L164" s="8">
        <v>43045.366435185184</v>
      </c>
      <c r="M164" s="21">
        <f>LEN(ProjTextTable[[#This Row],[text]])</f>
        <v>1887</v>
      </c>
      <c r="N164" s="21">
        <f>LEN(TRIM(CLEAN(SUBSTITUTE(ProjTextTable[[#This Row],[text]],CHAR(10)," "))))+1 - LEN(SUBSTITUTE(CLEAN(SUBSTITUTE(ProjTextTable[[#This Row],[text]],CHAR(10)," "))," ",""))</f>
        <v>287</v>
      </c>
      <c r="O164" t="s">
        <v>193</v>
      </c>
      <c r="P164" t="s">
        <v>913</v>
      </c>
    </row>
    <row r="165" spans="1:16" x14ac:dyDescent="0.4">
      <c r="A165">
        <f t="shared" si="2"/>
        <v>24</v>
      </c>
      <c r="B165" t="s">
        <v>896</v>
      </c>
      <c r="C165" t="s">
        <v>897</v>
      </c>
      <c r="D165" t="s">
        <v>192</v>
      </c>
      <c r="E165" t="s">
        <v>611</v>
      </c>
      <c r="F165" t="s">
        <v>914</v>
      </c>
      <c r="G165" t="s">
        <v>915</v>
      </c>
      <c r="H165" t="s">
        <v>916</v>
      </c>
      <c r="I165" t="s">
        <v>201</v>
      </c>
      <c r="J165" t="s">
        <v>175</v>
      </c>
      <c r="K165" s="30">
        <v>43046</v>
      </c>
      <c r="L165" s="8">
        <v>43045.65662037037</v>
      </c>
      <c r="M165" s="21">
        <f>LEN(ProjTextTable[[#This Row],[text]])</f>
        <v>2392</v>
      </c>
      <c r="N165" s="21">
        <f>LEN(TRIM(CLEAN(SUBSTITUTE(ProjTextTable[[#This Row],[text]],CHAR(10)," "))))+1 - LEN(SUBSTITUTE(CLEAN(SUBSTITUTE(ProjTextTable[[#This Row],[text]],CHAR(10)," "))," ",""))</f>
        <v>342</v>
      </c>
      <c r="O165" t="s">
        <v>193</v>
      </c>
      <c r="P165" t="s">
        <v>917</v>
      </c>
    </row>
    <row r="166" spans="1:16" x14ac:dyDescent="0.4">
      <c r="A166">
        <f t="shared" si="2"/>
        <v>24</v>
      </c>
      <c r="B166" t="s">
        <v>896</v>
      </c>
      <c r="C166" t="s">
        <v>897</v>
      </c>
      <c r="D166" t="s">
        <v>192</v>
      </c>
      <c r="E166" t="s">
        <v>611</v>
      </c>
      <c r="F166" t="s">
        <v>717</v>
      </c>
      <c r="G166" t="s">
        <v>718</v>
      </c>
      <c r="H166" t="s">
        <v>719</v>
      </c>
      <c r="I166" t="s">
        <v>201</v>
      </c>
      <c r="J166" t="s">
        <v>175</v>
      </c>
      <c r="K166" s="30">
        <v>43060</v>
      </c>
      <c r="L166" s="8">
        <v>43058.898796296293</v>
      </c>
      <c r="M166" s="21">
        <f>LEN(ProjTextTable[[#This Row],[text]])</f>
        <v>3537</v>
      </c>
      <c r="N166" s="21">
        <f>LEN(TRIM(CLEAN(SUBSTITUTE(ProjTextTable[[#This Row],[text]],CHAR(10)," "))))+1 - LEN(SUBSTITUTE(CLEAN(SUBSTITUTE(ProjTextTable[[#This Row],[text]],CHAR(10)," "))," ",""))</f>
        <v>508</v>
      </c>
      <c r="O166" t="s">
        <v>196</v>
      </c>
      <c r="P166" t="s">
        <v>918</v>
      </c>
    </row>
    <row r="167" spans="1:16" x14ac:dyDescent="0.4">
      <c r="A167">
        <f t="shared" si="2"/>
        <v>24</v>
      </c>
      <c r="B167" t="s">
        <v>896</v>
      </c>
      <c r="C167" t="s">
        <v>897</v>
      </c>
      <c r="D167" t="s">
        <v>192</v>
      </c>
      <c r="E167" t="s">
        <v>611</v>
      </c>
      <c r="F167" t="s">
        <v>725</v>
      </c>
      <c r="G167" t="s">
        <v>726</v>
      </c>
      <c r="H167" t="s">
        <v>727</v>
      </c>
      <c r="I167" t="s">
        <v>201</v>
      </c>
      <c r="J167" t="s">
        <v>175</v>
      </c>
      <c r="K167" s="30">
        <v>43060</v>
      </c>
      <c r="L167" s="8">
        <v>43059.575960648152</v>
      </c>
      <c r="M167" s="21">
        <f>LEN(ProjTextTable[[#This Row],[text]])</f>
        <v>1643</v>
      </c>
      <c r="N167" s="21">
        <f>LEN(TRIM(CLEAN(SUBSTITUTE(ProjTextTable[[#This Row],[text]],CHAR(10)," "))))+1 - LEN(SUBSTITUTE(CLEAN(SUBSTITUTE(ProjTextTable[[#This Row],[text]],CHAR(10)," "))," ",""))</f>
        <v>246</v>
      </c>
      <c r="O167" t="s">
        <v>229</v>
      </c>
      <c r="P167" t="s">
        <v>919</v>
      </c>
    </row>
    <row r="168" spans="1:16" x14ac:dyDescent="0.4">
      <c r="A168">
        <f t="shared" si="2"/>
        <v>24</v>
      </c>
      <c r="B168" t="s">
        <v>896</v>
      </c>
      <c r="C168" t="s">
        <v>897</v>
      </c>
      <c r="D168" t="s">
        <v>192</v>
      </c>
      <c r="E168" t="s">
        <v>611</v>
      </c>
      <c r="F168" t="s">
        <v>776</v>
      </c>
      <c r="G168" t="s">
        <v>777</v>
      </c>
      <c r="H168" t="s">
        <v>778</v>
      </c>
      <c r="I168" t="s">
        <v>201</v>
      </c>
      <c r="J168" t="s">
        <v>175</v>
      </c>
      <c r="K168" s="30">
        <v>43060</v>
      </c>
      <c r="L168" s="8">
        <v>43059.047349537039</v>
      </c>
      <c r="M168" s="21">
        <f>LEN(ProjTextTable[[#This Row],[text]])</f>
        <v>3020</v>
      </c>
      <c r="N168" s="21">
        <f>LEN(TRIM(CLEAN(SUBSTITUTE(ProjTextTable[[#This Row],[text]],CHAR(10)," "))))+1 - LEN(SUBSTITUTE(CLEAN(SUBSTITUTE(ProjTextTable[[#This Row],[text]],CHAR(10)," "))," ",""))</f>
        <v>470</v>
      </c>
      <c r="O168" t="s">
        <v>196</v>
      </c>
      <c r="P168" t="s">
        <v>920</v>
      </c>
    </row>
    <row r="169" spans="1:16" x14ac:dyDescent="0.4">
      <c r="A169">
        <f t="shared" si="2"/>
        <v>24</v>
      </c>
      <c r="B169" t="s">
        <v>896</v>
      </c>
      <c r="C169" t="s">
        <v>897</v>
      </c>
      <c r="D169" t="s">
        <v>192</v>
      </c>
      <c r="E169" t="s">
        <v>611</v>
      </c>
      <c r="F169" t="s">
        <v>921</v>
      </c>
      <c r="G169" t="s">
        <v>922</v>
      </c>
      <c r="H169" t="s">
        <v>923</v>
      </c>
      <c r="I169" t="s">
        <v>201</v>
      </c>
      <c r="J169" t="s">
        <v>175</v>
      </c>
      <c r="K169" s="30">
        <v>43046</v>
      </c>
      <c r="L169" s="8">
        <v>43046.353425925925</v>
      </c>
      <c r="M169" s="21">
        <f>LEN(ProjTextTable[[#This Row],[text]])</f>
        <v>2701</v>
      </c>
      <c r="N169" s="21">
        <f>LEN(TRIM(CLEAN(SUBSTITUTE(ProjTextTable[[#This Row],[text]],CHAR(10)," "))))+1 - LEN(SUBSTITUTE(CLEAN(SUBSTITUTE(ProjTextTable[[#This Row],[text]],CHAR(10)," "))," ",""))</f>
        <v>410</v>
      </c>
      <c r="O169" t="s">
        <v>193</v>
      </c>
      <c r="P169" t="s">
        <v>924</v>
      </c>
    </row>
    <row r="170" spans="1:16" x14ac:dyDescent="0.4">
      <c r="A170">
        <f t="shared" si="2"/>
        <v>24</v>
      </c>
      <c r="B170" t="s">
        <v>896</v>
      </c>
      <c r="C170" t="s">
        <v>897</v>
      </c>
      <c r="D170" t="s">
        <v>192</v>
      </c>
      <c r="E170" t="s">
        <v>611</v>
      </c>
      <c r="F170" t="s">
        <v>729</v>
      </c>
      <c r="G170" t="s">
        <v>730</v>
      </c>
      <c r="H170" t="s">
        <v>731</v>
      </c>
      <c r="I170" t="s">
        <v>201</v>
      </c>
      <c r="J170" t="s">
        <v>175</v>
      </c>
      <c r="K170" s="30">
        <v>43060</v>
      </c>
      <c r="L170" s="8">
        <v>43056.620196759257</v>
      </c>
      <c r="M170" s="21">
        <f>LEN(ProjTextTable[[#This Row],[text]])</f>
        <v>1195</v>
      </c>
      <c r="N170" s="21">
        <f>LEN(TRIM(CLEAN(SUBSTITUTE(ProjTextTable[[#This Row],[text]],CHAR(10)," "))))+1 - LEN(SUBSTITUTE(CLEAN(SUBSTITUTE(ProjTextTable[[#This Row],[text]],CHAR(10)," "))," ",""))</f>
        <v>174</v>
      </c>
      <c r="O170" t="s">
        <v>196</v>
      </c>
      <c r="P170" t="s">
        <v>925</v>
      </c>
    </row>
    <row r="171" spans="1:16" x14ac:dyDescent="0.4">
      <c r="A171">
        <f t="shared" si="2"/>
        <v>24</v>
      </c>
      <c r="B171" t="s">
        <v>896</v>
      </c>
      <c r="C171" t="s">
        <v>897</v>
      </c>
      <c r="D171" t="s">
        <v>194</v>
      </c>
      <c r="E171" t="s">
        <v>611</v>
      </c>
      <c r="F171" t="s">
        <v>13</v>
      </c>
      <c r="G171" t="s">
        <v>13</v>
      </c>
      <c r="H171" t="s">
        <v>13</v>
      </c>
      <c r="K171" s="30"/>
      <c r="L171" s="8">
        <v>42936.043391203704</v>
      </c>
      <c r="M171" s="21">
        <f>LEN(ProjTextTable[[#This Row],[text]])</f>
        <v>3483</v>
      </c>
      <c r="N171" s="21">
        <f>LEN(TRIM(CLEAN(SUBSTITUTE(ProjTextTable[[#This Row],[text]],CHAR(10)," "))))+1 - LEN(SUBSTITUTE(CLEAN(SUBSTITUTE(ProjTextTable[[#This Row],[text]],CHAR(10)," "))," ",""))</f>
        <v>486</v>
      </c>
      <c r="O171" t="s">
        <v>13</v>
      </c>
      <c r="P171" t="s">
        <v>926</v>
      </c>
    </row>
    <row r="172" spans="1:16" x14ac:dyDescent="0.4">
      <c r="A172">
        <f t="shared" si="2"/>
        <v>25</v>
      </c>
      <c r="B172" t="s">
        <v>927</v>
      </c>
      <c r="C172" t="s">
        <v>928</v>
      </c>
      <c r="D172" t="s">
        <v>533</v>
      </c>
      <c r="E172" t="s">
        <v>654</v>
      </c>
      <c r="F172" t="s">
        <v>605</v>
      </c>
      <c r="G172" t="s">
        <v>606</v>
      </c>
      <c r="H172" t="s">
        <v>541</v>
      </c>
      <c r="I172" t="s">
        <v>536</v>
      </c>
      <c r="J172" t="s">
        <v>632</v>
      </c>
      <c r="K172" s="30">
        <v>43031</v>
      </c>
      <c r="L172" s="8">
        <v>43032.629641203705</v>
      </c>
      <c r="M172" s="21">
        <f>LEN(ProjTextTable[[#This Row],[text]])</f>
        <v>3384</v>
      </c>
      <c r="N172" s="21">
        <f>LEN(TRIM(CLEAN(SUBSTITUTE(ProjTextTable[[#This Row],[text]],CHAR(10)," "))))+1 - LEN(SUBSTITUTE(CLEAN(SUBSTITUTE(ProjTextTable[[#This Row],[text]],CHAR(10)," "))," ",""))</f>
        <v>497</v>
      </c>
      <c r="O172" t="s">
        <v>542</v>
      </c>
      <c r="P172" t="s">
        <v>929</v>
      </c>
    </row>
    <row r="173" spans="1:16" x14ac:dyDescent="0.4">
      <c r="A173">
        <f t="shared" si="2"/>
        <v>25</v>
      </c>
      <c r="B173" t="s">
        <v>927</v>
      </c>
      <c r="C173" t="s">
        <v>928</v>
      </c>
      <c r="D173" t="s">
        <v>2</v>
      </c>
      <c r="E173" t="s">
        <v>654</v>
      </c>
      <c r="F173" t="s">
        <v>13</v>
      </c>
      <c r="G173" t="s">
        <v>609</v>
      </c>
      <c r="H173" t="s">
        <v>13</v>
      </c>
      <c r="I173" t="s">
        <v>13</v>
      </c>
      <c r="K173" s="30"/>
      <c r="L173" s="8">
        <v>43082.668912037036</v>
      </c>
      <c r="M173" s="21">
        <f>LEN(ProjTextTable[[#This Row],[text]])</f>
        <v>1959</v>
      </c>
      <c r="N173" s="21">
        <f>LEN(TRIM(CLEAN(SUBSTITUTE(ProjTextTable[[#This Row],[text]],CHAR(10)," "))))+1 - LEN(SUBSTITUTE(CLEAN(SUBSTITUTE(ProjTextTable[[#This Row],[text]],CHAR(10)," "))," ",""))</f>
        <v>290</v>
      </c>
      <c r="O173" t="s">
        <v>13</v>
      </c>
      <c r="P173" t="s">
        <v>930</v>
      </c>
    </row>
    <row r="174" spans="1:16" x14ac:dyDescent="0.4">
      <c r="A174">
        <f t="shared" si="2"/>
        <v>25</v>
      </c>
      <c r="B174" t="s">
        <v>927</v>
      </c>
      <c r="C174" t="s">
        <v>928</v>
      </c>
      <c r="D174" t="s">
        <v>192</v>
      </c>
      <c r="E174" t="s">
        <v>611</v>
      </c>
      <c r="F174" t="s">
        <v>688</v>
      </c>
      <c r="G174" t="s">
        <v>689</v>
      </c>
      <c r="H174" t="s">
        <v>690</v>
      </c>
      <c r="I174" t="s">
        <v>201</v>
      </c>
      <c r="J174" t="s">
        <v>175</v>
      </c>
      <c r="K174" s="30">
        <v>43032</v>
      </c>
      <c r="L174" s="8">
        <v>43030.881342592591</v>
      </c>
      <c r="M174" s="21">
        <f>LEN(ProjTextTable[[#This Row],[text]])</f>
        <v>2806</v>
      </c>
      <c r="N174" s="21">
        <f>LEN(TRIM(CLEAN(SUBSTITUTE(ProjTextTable[[#This Row],[text]],CHAR(10)," "))))+1 - LEN(SUBSTITUTE(CLEAN(SUBSTITUTE(ProjTextTable[[#This Row],[text]],CHAR(10)," "))," ",""))</f>
        <v>425</v>
      </c>
      <c r="O174" t="s">
        <v>196</v>
      </c>
      <c r="P174" t="s">
        <v>931</v>
      </c>
    </row>
    <row r="175" spans="1:16" x14ac:dyDescent="0.4">
      <c r="A175">
        <f t="shared" si="2"/>
        <v>25</v>
      </c>
      <c r="B175" t="s">
        <v>927</v>
      </c>
      <c r="C175" t="s">
        <v>928</v>
      </c>
      <c r="D175" t="s">
        <v>192</v>
      </c>
      <c r="E175" t="s">
        <v>611</v>
      </c>
      <c r="F175" t="s">
        <v>612</v>
      </c>
      <c r="G175" t="s">
        <v>613</v>
      </c>
      <c r="H175" t="s">
        <v>614</v>
      </c>
      <c r="I175" t="s">
        <v>201</v>
      </c>
      <c r="J175" t="s">
        <v>175</v>
      </c>
      <c r="K175" s="30">
        <v>43032</v>
      </c>
      <c r="L175" s="8">
        <v>43031.585636574076</v>
      </c>
      <c r="M175" s="21">
        <f>LEN(ProjTextTable[[#This Row],[text]])</f>
        <v>3764</v>
      </c>
      <c r="N175" s="21">
        <f>LEN(TRIM(CLEAN(SUBSTITUTE(ProjTextTable[[#This Row],[text]],CHAR(10)," "))))+1 - LEN(SUBSTITUTE(CLEAN(SUBSTITUTE(ProjTextTable[[#This Row],[text]],CHAR(10)," "))," ",""))</f>
        <v>592</v>
      </c>
      <c r="O175" t="s">
        <v>198</v>
      </c>
      <c r="P175" t="s">
        <v>932</v>
      </c>
    </row>
    <row r="176" spans="1:16" x14ac:dyDescent="0.4">
      <c r="A176">
        <f t="shared" si="2"/>
        <v>25</v>
      </c>
      <c r="B176" t="s">
        <v>927</v>
      </c>
      <c r="C176" t="s">
        <v>928</v>
      </c>
      <c r="D176" t="s">
        <v>192</v>
      </c>
      <c r="E176" t="s">
        <v>611</v>
      </c>
      <c r="F176" t="s">
        <v>621</v>
      </c>
      <c r="G176" t="s">
        <v>622</v>
      </c>
      <c r="H176" t="s">
        <v>623</v>
      </c>
      <c r="I176" t="s">
        <v>201</v>
      </c>
      <c r="J176" t="s">
        <v>175</v>
      </c>
      <c r="K176" s="30">
        <v>43032</v>
      </c>
      <c r="L176" s="8">
        <v>43030.737314814818</v>
      </c>
      <c r="M176" s="21">
        <f>LEN(ProjTextTable[[#This Row],[text]])</f>
        <v>2838</v>
      </c>
      <c r="N176" s="21">
        <f>LEN(TRIM(CLEAN(SUBSTITUTE(ProjTextTable[[#This Row],[text]],CHAR(10)," "))))+1 - LEN(SUBSTITUTE(CLEAN(SUBSTITUTE(ProjTextTable[[#This Row],[text]],CHAR(10)," "))," ",""))</f>
        <v>429</v>
      </c>
      <c r="O176" t="s">
        <v>195</v>
      </c>
      <c r="P176" t="s">
        <v>933</v>
      </c>
    </row>
    <row r="177" spans="1:16" x14ac:dyDescent="0.4">
      <c r="A177">
        <f t="shared" si="2"/>
        <v>25</v>
      </c>
      <c r="B177" t="s">
        <v>927</v>
      </c>
      <c r="C177" t="s">
        <v>928</v>
      </c>
      <c r="D177" t="s">
        <v>192</v>
      </c>
      <c r="E177" t="s">
        <v>611</v>
      </c>
      <c r="F177" t="s">
        <v>664</v>
      </c>
      <c r="G177" t="s">
        <v>665</v>
      </c>
      <c r="H177" t="s">
        <v>666</v>
      </c>
      <c r="I177" t="s">
        <v>201</v>
      </c>
      <c r="J177" t="s">
        <v>175</v>
      </c>
      <c r="K177" s="30">
        <v>43032</v>
      </c>
      <c r="L177" s="8">
        <v>43032.487256944441</v>
      </c>
      <c r="M177" s="21">
        <f>LEN(ProjTextTable[[#This Row],[text]])</f>
        <v>1564</v>
      </c>
      <c r="N177" s="21">
        <f>LEN(TRIM(CLEAN(SUBSTITUTE(ProjTextTable[[#This Row],[text]],CHAR(10)," "))))+1 - LEN(SUBSTITUTE(CLEAN(SUBSTITUTE(ProjTextTable[[#This Row],[text]],CHAR(10)," "))," ",""))</f>
        <v>236</v>
      </c>
      <c r="O177" t="s">
        <v>193</v>
      </c>
      <c r="P177" t="s">
        <v>934</v>
      </c>
    </row>
    <row r="178" spans="1:16" x14ac:dyDescent="0.4">
      <c r="A178">
        <f t="shared" si="2"/>
        <v>25</v>
      </c>
      <c r="B178" t="s">
        <v>927</v>
      </c>
      <c r="C178" t="s">
        <v>928</v>
      </c>
      <c r="D178" t="s">
        <v>194</v>
      </c>
      <c r="E178" t="s">
        <v>654</v>
      </c>
      <c r="F178" t="s">
        <v>13</v>
      </c>
      <c r="G178" t="s">
        <v>13</v>
      </c>
      <c r="H178" t="s">
        <v>13</v>
      </c>
      <c r="K178" s="30"/>
      <c r="L178" s="8">
        <v>42936.043437499997</v>
      </c>
      <c r="M178" s="21">
        <f>LEN(ProjTextTable[[#This Row],[text]])</f>
        <v>3137</v>
      </c>
      <c r="N178" s="21">
        <f>LEN(TRIM(CLEAN(SUBSTITUTE(ProjTextTable[[#This Row],[text]],CHAR(10)," "))))+1 - LEN(SUBSTITUTE(CLEAN(SUBSTITUTE(ProjTextTable[[#This Row],[text]],CHAR(10)," "))," ",""))</f>
        <v>455</v>
      </c>
      <c r="O178" t="s">
        <v>13</v>
      </c>
      <c r="P178" t="s">
        <v>935</v>
      </c>
    </row>
    <row r="179" spans="1:16" x14ac:dyDescent="0.4">
      <c r="A179">
        <f t="shared" si="2"/>
        <v>26</v>
      </c>
      <c r="B179" t="s">
        <v>936</v>
      </c>
      <c r="C179" t="s">
        <v>937</v>
      </c>
      <c r="D179" t="s">
        <v>533</v>
      </c>
      <c r="E179" t="s">
        <v>611</v>
      </c>
      <c r="F179" t="s">
        <v>714</v>
      </c>
      <c r="G179" t="s">
        <v>715</v>
      </c>
      <c r="H179" t="s">
        <v>543</v>
      </c>
      <c r="I179" t="s">
        <v>537</v>
      </c>
      <c r="J179" t="s">
        <v>537</v>
      </c>
      <c r="K179" s="30">
        <v>43059</v>
      </c>
      <c r="L179" s="8">
        <v>43060.652418981481</v>
      </c>
      <c r="M179" s="21">
        <f>LEN(ProjTextTable[[#This Row],[text]])</f>
        <v>3120</v>
      </c>
      <c r="N179" s="21">
        <f>LEN(TRIM(CLEAN(SUBSTITUTE(ProjTextTable[[#This Row],[text]],CHAR(10)," "))))+1 - LEN(SUBSTITUTE(CLEAN(SUBSTITUTE(ProjTextTable[[#This Row],[text]],CHAR(10)," "))," ",""))</f>
        <v>431</v>
      </c>
      <c r="O179" t="s">
        <v>544</v>
      </c>
      <c r="P179" t="s">
        <v>938</v>
      </c>
    </row>
    <row r="180" spans="1:16" x14ac:dyDescent="0.4">
      <c r="A180">
        <f t="shared" si="2"/>
        <v>26</v>
      </c>
      <c r="B180" t="s">
        <v>936</v>
      </c>
      <c r="C180" t="s">
        <v>937</v>
      </c>
      <c r="D180" t="s">
        <v>192</v>
      </c>
      <c r="E180" t="s">
        <v>611</v>
      </c>
      <c r="F180" t="s">
        <v>745</v>
      </c>
      <c r="G180" t="s">
        <v>746</v>
      </c>
      <c r="H180" t="s">
        <v>747</v>
      </c>
      <c r="I180" t="s">
        <v>201</v>
      </c>
      <c r="J180" t="s">
        <v>175</v>
      </c>
      <c r="K180" s="30">
        <v>43060</v>
      </c>
      <c r="L180" s="8">
        <v>43057.820625</v>
      </c>
      <c r="M180" s="21">
        <f>LEN(ProjTextTable[[#This Row],[text]])</f>
        <v>1894</v>
      </c>
      <c r="N180" s="21">
        <f>LEN(TRIM(CLEAN(SUBSTITUTE(ProjTextTable[[#This Row],[text]],CHAR(10)," "))))+1 - LEN(SUBSTITUTE(CLEAN(SUBSTITUTE(ProjTextTable[[#This Row],[text]],CHAR(10)," "))," ",""))</f>
        <v>277</v>
      </c>
      <c r="O180" t="s">
        <v>229</v>
      </c>
      <c r="P180" t="s">
        <v>939</v>
      </c>
    </row>
    <row r="181" spans="1:16" x14ac:dyDescent="0.4">
      <c r="A181">
        <f t="shared" si="2"/>
        <v>26</v>
      </c>
      <c r="B181" t="s">
        <v>936</v>
      </c>
      <c r="C181" t="s">
        <v>937</v>
      </c>
      <c r="D181" t="s">
        <v>192</v>
      </c>
      <c r="E181" t="s">
        <v>611</v>
      </c>
      <c r="F181" t="s">
        <v>749</v>
      </c>
      <c r="G181" t="s">
        <v>750</v>
      </c>
      <c r="H181" t="s">
        <v>751</v>
      </c>
      <c r="I181" t="s">
        <v>201</v>
      </c>
      <c r="J181" t="s">
        <v>175</v>
      </c>
      <c r="K181" s="30">
        <v>43060</v>
      </c>
      <c r="L181" s="8">
        <v>43059.226273148146</v>
      </c>
      <c r="M181" s="21">
        <f>LEN(ProjTextTable[[#This Row],[text]])</f>
        <v>1618</v>
      </c>
      <c r="N181" s="21">
        <f>LEN(TRIM(CLEAN(SUBSTITUTE(ProjTextTable[[#This Row],[text]],CHAR(10)," "))))+1 - LEN(SUBSTITUTE(CLEAN(SUBSTITUTE(ProjTextTable[[#This Row],[text]],CHAR(10)," "))," ",""))</f>
        <v>230</v>
      </c>
      <c r="O181" t="s">
        <v>229</v>
      </c>
      <c r="P181" t="s">
        <v>940</v>
      </c>
    </row>
    <row r="182" spans="1:16" x14ac:dyDescent="0.4">
      <c r="A182">
        <f t="shared" si="2"/>
        <v>26</v>
      </c>
      <c r="B182" t="s">
        <v>936</v>
      </c>
      <c r="C182" t="s">
        <v>937</v>
      </c>
      <c r="D182" t="s">
        <v>192</v>
      </c>
      <c r="E182" t="s">
        <v>611</v>
      </c>
      <c r="F182" t="s">
        <v>753</v>
      </c>
      <c r="G182" t="s">
        <v>754</v>
      </c>
      <c r="H182" t="s">
        <v>755</v>
      </c>
      <c r="I182" t="s">
        <v>201</v>
      </c>
      <c r="J182" t="s">
        <v>175</v>
      </c>
      <c r="K182" s="30">
        <v>43060</v>
      </c>
      <c r="L182" s="8">
        <v>43056.434490740743</v>
      </c>
      <c r="M182" s="21">
        <f>LEN(ProjTextTable[[#This Row],[text]])</f>
        <v>3602</v>
      </c>
      <c r="N182" s="21">
        <f>LEN(TRIM(CLEAN(SUBSTITUTE(ProjTextTable[[#This Row],[text]],CHAR(10)," "))))+1 - LEN(SUBSTITUTE(CLEAN(SUBSTITUTE(ProjTextTable[[#This Row],[text]],CHAR(10)," "))," ",""))</f>
        <v>533</v>
      </c>
      <c r="O182" t="s">
        <v>195</v>
      </c>
      <c r="P182" t="s">
        <v>941</v>
      </c>
    </row>
    <row r="183" spans="1:16" x14ac:dyDescent="0.4">
      <c r="A183">
        <f t="shared" si="2"/>
        <v>26</v>
      </c>
      <c r="B183" t="s">
        <v>936</v>
      </c>
      <c r="C183" t="s">
        <v>937</v>
      </c>
      <c r="D183" t="s">
        <v>192</v>
      </c>
      <c r="E183" t="s">
        <v>611</v>
      </c>
      <c r="F183" t="s">
        <v>729</v>
      </c>
      <c r="G183" t="s">
        <v>730</v>
      </c>
      <c r="H183" t="s">
        <v>731</v>
      </c>
      <c r="I183" t="s">
        <v>201</v>
      </c>
      <c r="J183" t="s">
        <v>175</v>
      </c>
      <c r="K183" s="30">
        <v>43060</v>
      </c>
      <c r="L183" s="8">
        <v>43059.786053240743</v>
      </c>
      <c r="M183" s="21">
        <f>LEN(ProjTextTable[[#This Row],[text]])</f>
        <v>1418</v>
      </c>
      <c r="N183" s="21">
        <f>LEN(TRIM(CLEAN(SUBSTITUTE(ProjTextTable[[#This Row],[text]],CHAR(10)," "))))+1 - LEN(SUBSTITUTE(CLEAN(SUBSTITUTE(ProjTextTable[[#This Row],[text]],CHAR(10)," "))," ",""))</f>
        <v>216</v>
      </c>
      <c r="O183" t="s">
        <v>229</v>
      </c>
      <c r="P183" t="s">
        <v>942</v>
      </c>
    </row>
    <row r="184" spans="1:16" x14ac:dyDescent="0.4">
      <c r="A184">
        <f t="shared" si="2"/>
        <v>26</v>
      </c>
      <c r="B184" t="s">
        <v>936</v>
      </c>
      <c r="C184" t="s">
        <v>937</v>
      </c>
      <c r="D184" t="s">
        <v>194</v>
      </c>
      <c r="E184" t="s">
        <v>611</v>
      </c>
      <c r="F184" t="s">
        <v>13</v>
      </c>
      <c r="G184" t="s">
        <v>13</v>
      </c>
      <c r="H184" t="s">
        <v>13</v>
      </c>
      <c r="K184" s="30"/>
      <c r="L184" s="8">
        <v>42936.043680555558</v>
      </c>
      <c r="M184" s="21">
        <f>LEN(ProjTextTable[[#This Row],[text]])</f>
        <v>3396</v>
      </c>
      <c r="N184" s="21">
        <f>LEN(TRIM(CLEAN(SUBSTITUTE(ProjTextTable[[#This Row],[text]],CHAR(10)," "))))+1 - LEN(SUBSTITUTE(CLEAN(SUBSTITUTE(ProjTextTable[[#This Row],[text]],CHAR(10)," "))," ",""))</f>
        <v>495</v>
      </c>
      <c r="O184" t="s">
        <v>13</v>
      </c>
      <c r="P184" t="s">
        <v>943</v>
      </c>
    </row>
    <row r="185" spans="1:16" x14ac:dyDescent="0.4">
      <c r="A185">
        <f t="shared" si="2"/>
        <v>27</v>
      </c>
      <c r="B185" t="s">
        <v>944</v>
      </c>
      <c r="C185" t="s">
        <v>945</v>
      </c>
      <c r="D185" t="s">
        <v>533</v>
      </c>
      <c r="E185" t="s">
        <v>611</v>
      </c>
      <c r="F185" t="s">
        <v>714</v>
      </c>
      <c r="G185" t="s">
        <v>715</v>
      </c>
      <c r="H185" t="s">
        <v>543</v>
      </c>
      <c r="I185" t="s">
        <v>537</v>
      </c>
      <c r="J185" t="s">
        <v>535</v>
      </c>
      <c r="K185" s="30">
        <v>43059</v>
      </c>
      <c r="L185" s="8">
        <v>43060.652314814812</v>
      </c>
      <c r="M185" s="21">
        <f>LEN(ProjTextTable[[#This Row],[text]])</f>
        <v>2576</v>
      </c>
      <c r="N185" s="21">
        <f>LEN(TRIM(CLEAN(SUBSTITUTE(ProjTextTable[[#This Row],[text]],CHAR(10)," "))))+1 - LEN(SUBSTITUTE(CLEAN(SUBSTITUTE(ProjTextTable[[#This Row],[text]],CHAR(10)," "))," ",""))</f>
        <v>356</v>
      </c>
      <c r="O185" t="s">
        <v>544</v>
      </c>
      <c r="P185" t="s">
        <v>946</v>
      </c>
    </row>
    <row r="186" spans="1:16" x14ac:dyDescent="0.4">
      <c r="A186">
        <f t="shared" si="2"/>
        <v>27</v>
      </c>
      <c r="B186" t="s">
        <v>944</v>
      </c>
      <c r="C186" t="s">
        <v>945</v>
      </c>
      <c r="D186" t="s">
        <v>192</v>
      </c>
      <c r="E186" t="s">
        <v>611</v>
      </c>
      <c r="F186" t="s">
        <v>749</v>
      </c>
      <c r="G186" t="s">
        <v>750</v>
      </c>
      <c r="H186" t="s">
        <v>751</v>
      </c>
      <c r="I186" t="s">
        <v>201</v>
      </c>
      <c r="J186" t="s">
        <v>175</v>
      </c>
      <c r="K186" s="30">
        <v>43060</v>
      </c>
      <c r="L186" s="8">
        <v>43059.227268518516</v>
      </c>
      <c r="M186" s="21">
        <f>LEN(ProjTextTable[[#This Row],[text]])</f>
        <v>2740</v>
      </c>
      <c r="N186" s="21">
        <f>LEN(TRIM(CLEAN(SUBSTITUTE(ProjTextTable[[#This Row],[text]],CHAR(10)," "))))+1 - LEN(SUBSTITUTE(CLEAN(SUBSTITUTE(ProjTextTable[[#This Row],[text]],CHAR(10)," "))," ",""))</f>
        <v>381</v>
      </c>
      <c r="O186" t="s">
        <v>229</v>
      </c>
      <c r="P186" t="s">
        <v>947</v>
      </c>
    </row>
    <row r="187" spans="1:16" x14ac:dyDescent="0.4">
      <c r="A187">
        <f t="shared" si="2"/>
        <v>27</v>
      </c>
      <c r="B187" t="s">
        <v>944</v>
      </c>
      <c r="C187" t="s">
        <v>945</v>
      </c>
      <c r="D187" t="s">
        <v>192</v>
      </c>
      <c r="E187" t="s">
        <v>611</v>
      </c>
      <c r="F187" t="s">
        <v>753</v>
      </c>
      <c r="G187" t="s">
        <v>754</v>
      </c>
      <c r="H187" t="s">
        <v>755</v>
      </c>
      <c r="I187" t="s">
        <v>201</v>
      </c>
      <c r="J187" t="s">
        <v>175</v>
      </c>
      <c r="K187" s="30">
        <v>43060</v>
      </c>
      <c r="L187" s="8">
        <v>43058.459224537037</v>
      </c>
      <c r="M187" s="21">
        <f>LEN(ProjTextTable[[#This Row],[text]])</f>
        <v>2343</v>
      </c>
      <c r="N187" s="21">
        <f>LEN(TRIM(CLEAN(SUBSTITUTE(ProjTextTable[[#This Row],[text]],CHAR(10)," "))))+1 - LEN(SUBSTITUTE(CLEAN(SUBSTITUTE(ProjTextTable[[#This Row],[text]],CHAR(10)," "))," ",""))</f>
        <v>347</v>
      </c>
      <c r="O187" t="s">
        <v>195</v>
      </c>
      <c r="P187" t="s">
        <v>948</v>
      </c>
    </row>
    <row r="188" spans="1:16" x14ac:dyDescent="0.4">
      <c r="A188">
        <f t="shared" si="2"/>
        <v>27</v>
      </c>
      <c r="B188" t="s">
        <v>944</v>
      </c>
      <c r="C188" t="s">
        <v>945</v>
      </c>
      <c r="D188" t="s">
        <v>192</v>
      </c>
      <c r="E188" t="s">
        <v>611</v>
      </c>
      <c r="F188" t="s">
        <v>717</v>
      </c>
      <c r="G188" t="s">
        <v>718</v>
      </c>
      <c r="H188" t="s">
        <v>719</v>
      </c>
      <c r="I188" t="s">
        <v>201</v>
      </c>
      <c r="J188" t="s">
        <v>175</v>
      </c>
      <c r="K188" s="30">
        <v>43060</v>
      </c>
      <c r="L188" s="8">
        <v>43058.922615740739</v>
      </c>
      <c r="M188" s="21">
        <f>LEN(ProjTextTable[[#This Row],[text]])</f>
        <v>2749</v>
      </c>
      <c r="N188" s="21">
        <f>LEN(TRIM(CLEAN(SUBSTITUTE(ProjTextTable[[#This Row],[text]],CHAR(10)," "))))+1 - LEN(SUBSTITUTE(CLEAN(SUBSTITUTE(ProjTextTable[[#This Row],[text]],CHAR(10)," "))," ",""))</f>
        <v>394</v>
      </c>
      <c r="O188" t="s">
        <v>229</v>
      </c>
      <c r="P188" t="s">
        <v>949</v>
      </c>
    </row>
    <row r="189" spans="1:16" x14ac:dyDescent="0.4">
      <c r="A189">
        <f t="shared" si="2"/>
        <v>27</v>
      </c>
      <c r="B189" t="s">
        <v>944</v>
      </c>
      <c r="C189" t="s">
        <v>945</v>
      </c>
      <c r="D189" t="s">
        <v>192</v>
      </c>
      <c r="E189" t="s">
        <v>611</v>
      </c>
      <c r="F189" t="s">
        <v>891</v>
      </c>
      <c r="G189" t="s">
        <v>892</v>
      </c>
      <c r="H189" t="s">
        <v>893</v>
      </c>
      <c r="I189" t="s">
        <v>201</v>
      </c>
      <c r="J189" t="s">
        <v>175</v>
      </c>
      <c r="K189" s="30">
        <v>43060</v>
      </c>
      <c r="L189" s="8">
        <v>43058.974108796298</v>
      </c>
      <c r="M189" s="21">
        <f>LEN(ProjTextTable[[#This Row],[text]])</f>
        <v>3220</v>
      </c>
      <c r="N189" s="21">
        <f>LEN(TRIM(CLEAN(SUBSTITUTE(ProjTextTable[[#This Row],[text]],CHAR(10)," "))))+1 - LEN(SUBSTITUTE(CLEAN(SUBSTITUTE(ProjTextTable[[#This Row],[text]],CHAR(10)," "))," ",""))</f>
        <v>500</v>
      </c>
      <c r="O189" t="s">
        <v>195</v>
      </c>
      <c r="P189" t="s">
        <v>950</v>
      </c>
    </row>
    <row r="190" spans="1:16" x14ac:dyDescent="0.4">
      <c r="A190">
        <f t="shared" si="2"/>
        <v>27</v>
      </c>
      <c r="B190" t="s">
        <v>944</v>
      </c>
      <c r="C190" t="s">
        <v>945</v>
      </c>
      <c r="D190" t="s">
        <v>194</v>
      </c>
      <c r="E190" t="s">
        <v>611</v>
      </c>
      <c r="F190" t="s">
        <v>13</v>
      </c>
      <c r="G190" t="s">
        <v>13</v>
      </c>
      <c r="H190" t="s">
        <v>13</v>
      </c>
      <c r="K190" s="30"/>
      <c r="L190" s="8">
        <v>42936.043912037036</v>
      </c>
      <c r="M190" s="21">
        <f>LEN(ProjTextTable[[#This Row],[text]])</f>
        <v>4427</v>
      </c>
      <c r="N190" s="21">
        <f>LEN(TRIM(CLEAN(SUBSTITUTE(ProjTextTable[[#This Row],[text]],CHAR(10)," "))))+1 - LEN(SUBSTITUTE(CLEAN(SUBSTITUTE(ProjTextTable[[#This Row],[text]],CHAR(10)," "))," ",""))</f>
        <v>651</v>
      </c>
      <c r="O190" t="s">
        <v>13</v>
      </c>
      <c r="P190" t="s">
        <v>951</v>
      </c>
    </row>
    <row r="191" spans="1:16" x14ac:dyDescent="0.4">
      <c r="A191">
        <f t="shared" si="2"/>
        <v>28</v>
      </c>
      <c r="B191" t="s">
        <v>952</v>
      </c>
      <c r="C191" t="s">
        <v>953</v>
      </c>
      <c r="D191" t="s">
        <v>533</v>
      </c>
      <c r="E191" t="s">
        <v>611</v>
      </c>
      <c r="F191" t="s">
        <v>714</v>
      </c>
      <c r="G191" t="s">
        <v>715</v>
      </c>
      <c r="H191" t="s">
        <v>541</v>
      </c>
      <c r="I191" t="s">
        <v>536</v>
      </c>
      <c r="J191" t="s">
        <v>877</v>
      </c>
      <c r="K191" s="30">
        <v>43059</v>
      </c>
      <c r="L191" s="8">
        <v>43060.637789351851</v>
      </c>
      <c r="M191" s="21">
        <f>LEN(ProjTextTable[[#This Row],[text]])</f>
        <v>4360</v>
      </c>
      <c r="N191" s="21">
        <f>LEN(TRIM(CLEAN(SUBSTITUTE(ProjTextTable[[#This Row],[text]],CHAR(10)," "))))+1 - LEN(SUBSTITUTE(CLEAN(SUBSTITUTE(ProjTextTable[[#This Row],[text]],CHAR(10)," "))," ",""))</f>
        <v>633</v>
      </c>
      <c r="O191" t="s">
        <v>542</v>
      </c>
      <c r="P191" t="s">
        <v>954</v>
      </c>
    </row>
    <row r="192" spans="1:16" x14ac:dyDescent="0.4">
      <c r="A192">
        <f t="shared" si="2"/>
        <v>28</v>
      </c>
      <c r="B192" t="s">
        <v>952</v>
      </c>
      <c r="C192" t="s">
        <v>953</v>
      </c>
      <c r="D192" t="s">
        <v>2</v>
      </c>
      <c r="E192" t="s">
        <v>611</v>
      </c>
      <c r="F192" t="s">
        <v>13</v>
      </c>
      <c r="G192" t="s">
        <v>609</v>
      </c>
      <c r="H192" t="s">
        <v>13</v>
      </c>
      <c r="I192" t="s">
        <v>13</v>
      </c>
      <c r="K192" s="30"/>
      <c r="L192" s="8">
        <v>43082.663194444445</v>
      </c>
      <c r="M192" s="21">
        <f>LEN(ProjTextTable[[#This Row],[text]])</f>
        <v>1975</v>
      </c>
      <c r="N192" s="21">
        <f>LEN(TRIM(CLEAN(SUBSTITUTE(ProjTextTable[[#This Row],[text]],CHAR(10)," "))))+1 - LEN(SUBSTITUTE(CLEAN(SUBSTITUTE(ProjTextTable[[#This Row],[text]],CHAR(10)," "))," ",""))</f>
        <v>290</v>
      </c>
      <c r="O192" t="s">
        <v>13</v>
      </c>
      <c r="P192" t="s">
        <v>955</v>
      </c>
    </row>
    <row r="193" spans="1:16" x14ac:dyDescent="0.4">
      <c r="A193">
        <f t="shared" si="2"/>
        <v>28</v>
      </c>
      <c r="B193" t="s">
        <v>952</v>
      </c>
      <c r="C193" t="s">
        <v>953</v>
      </c>
      <c r="D193" t="s">
        <v>192</v>
      </c>
      <c r="E193" t="s">
        <v>611</v>
      </c>
      <c r="F193" t="s">
        <v>717</v>
      </c>
      <c r="G193" t="s">
        <v>718</v>
      </c>
      <c r="H193" t="s">
        <v>719</v>
      </c>
      <c r="I193" t="s">
        <v>201</v>
      </c>
      <c r="J193" t="s">
        <v>175</v>
      </c>
      <c r="K193" s="30">
        <v>43060</v>
      </c>
      <c r="L193" s="8">
        <v>43059.302187499998</v>
      </c>
      <c r="M193" s="21">
        <f>LEN(ProjTextTable[[#This Row],[text]])</f>
        <v>3398</v>
      </c>
      <c r="N193" s="21">
        <f>LEN(TRIM(CLEAN(SUBSTITUTE(ProjTextTable[[#This Row],[text]],CHAR(10)," "))))+1 - LEN(SUBSTITUTE(CLEAN(SUBSTITUTE(ProjTextTable[[#This Row],[text]],CHAR(10)," "))," ",""))</f>
        <v>486</v>
      </c>
      <c r="O193" t="s">
        <v>196</v>
      </c>
      <c r="P193" t="s">
        <v>956</v>
      </c>
    </row>
    <row r="194" spans="1:16" x14ac:dyDescent="0.4">
      <c r="A194">
        <f t="shared" ref="A194:A257" si="3">A193+(B194&lt;&gt;B193)</f>
        <v>28</v>
      </c>
      <c r="B194" t="s">
        <v>952</v>
      </c>
      <c r="C194" t="s">
        <v>953</v>
      </c>
      <c r="D194" t="s">
        <v>192</v>
      </c>
      <c r="E194" t="s">
        <v>611</v>
      </c>
      <c r="F194" t="s">
        <v>725</v>
      </c>
      <c r="G194" t="s">
        <v>726</v>
      </c>
      <c r="H194" t="s">
        <v>727</v>
      </c>
      <c r="I194" t="s">
        <v>201</v>
      </c>
      <c r="J194" t="s">
        <v>175</v>
      </c>
      <c r="K194" s="30">
        <v>43060</v>
      </c>
      <c r="L194" s="8">
        <v>43058.963819444441</v>
      </c>
      <c r="M194" s="21">
        <f>LEN(ProjTextTable[[#This Row],[text]])</f>
        <v>1074</v>
      </c>
      <c r="N194" s="21">
        <f>LEN(TRIM(CLEAN(SUBSTITUTE(ProjTextTable[[#This Row],[text]],CHAR(10)," "))))+1 - LEN(SUBSTITUTE(CLEAN(SUBSTITUTE(ProjTextTable[[#This Row],[text]],CHAR(10)," "))," ",""))</f>
        <v>154</v>
      </c>
      <c r="O194" t="s">
        <v>193</v>
      </c>
      <c r="P194" t="s">
        <v>957</v>
      </c>
    </row>
    <row r="195" spans="1:16" x14ac:dyDescent="0.4">
      <c r="A195">
        <f t="shared" si="3"/>
        <v>28</v>
      </c>
      <c r="B195" t="s">
        <v>952</v>
      </c>
      <c r="C195" t="s">
        <v>953</v>
      </c>
      <c r="D195" t="s">
        <v>192</v>
      </c>
      <c r="E195" t="s">
        <v>611</v>
      </c>
      <c r="F195" t="s">
        <v>776</v>
      </c>
      <c r="G195" t="s">
        <v>777</v>
      </c>
      <c r="H195" t="s">
        <v>778</v>
      </c>
      <c r="I195" t="s">
        <v>201</v>
      </c>
      <c r="J195" t="s">
        <v>175</v>
      </c>
      <c r="K195" s="30">
        <v>43060</v>
      </c>
      <c r="L195" s="8">
        <v>43060.010879629626</v>
      </c>
      <c r="M195" s="21">
        <f>LEN(ProjTextTable[[#This Row],[text]])</f>
        <v>2488</v>
      </c>
      <c r="N195" s="21">
        <f>LEN(TRIM(CLEAN(SUBSTITUTE(ProjTextTable[[#This Row],[text]],CHAR(10)," "))))+1 - LEN(SUBSTITUTE(CLEAN(SUBSTITUTE(ProjTextTable[[#This Row],[text]],CHAR(10)," "))," ",""))</f>
        <v>366</v>
      </c>
      <c r="O195" t="s">
        <v>193</v>
      </c>
      <c r="P195" t="s">
        <v>958</v>
      </c>
    </row>
    <row r="196" spans="1:16" x14ac:dyDescent="0.4">
      <c r="A196">
        <f t="shared" si="3"/>
        <v>28</v>
      </c>
      <c r="B196" t="s">
        <v>952</v>
      </c>
      <c r="C196" t="s">
        <v>953</v>
      </c>
      <c r="D196" t="s">
        <v>192</v>
      </c>
      <c r="E196" t="s">
        <v>611</v>
      </c>
      <c r="F196" t="s">
        <v>729</v>
      </c>
      <c r="G196" t="s">
        <v>730</v>
      </c>
      <c r="H196" t="s">
        <v>731</v>
      </c>
      <c r="I196" t="s">
        <v>201</v>
      </c>
      <c r="J196" t="s">
        <v>175</v>
      </c>
      <c r="K196" s="30">
        <v>43060</v>
      </c>
      <c r="L196" s="8">
        <v>43056.614120370374</v>
      </c>
      <c r="M196" s="21">
        <f>LEN(ProjTextTable[[#This Row],[text]])</f>
        <v>1323</v>
      </c>
      <c r="N196" s="21">
        <f>LEN(TRIM(CLEAN(SUBSTITUTE(ProjTextTable[[#This Row],[text]],CHAR(10)," "))))+1 - LEN(SUBSTITUTE(CLEAN(SUBSTITUTE(ProjTextTable[[#This Row],[text]],CHAR(10)," "))," ",""))</f>
        <v>199</v>
      </c>
      <c r="O196" t="s">
        <v>193</v>
      </c>
      <c r="P196" t="s">
        <v>959</v>
      </c>
    </row>
    <row r="197" spans="1:16" x14ac:dyDescent="0.4">
      <c r="A197">
        <f t="shared" si="3"/>
        <v>28</v>
      </c>
      <c r="B197" t="s">
        <v>952</v>
      </c>
      <c r="C197" t="s">
        <v>953</v>
      </c>
      <c r="D197" t="s">
        <v>194</v>
      </c>
      <c r="E197" t="s">
        <v>611</v>
      </c>
      <c r="F197" t="s">
        <v>13</v>
      </c>
      <c r="G197" t="s">
        <v>13</v>
      </c>
      <c r="H197" t="s">
        <v>13</v>
      </c>
      <c r="K197" s="30"/>
      <c r="L197" s="8">
        <v>42936.043935185182</v>
      </c>
      <c r="M197" s="21">
        <f>LEN(ProjTextTable[[#This Row],[text]])</f>
        <v>2872</v>
      </c>
      <c r="N197" s="21">
        <f>LEN(TRIM(CLEAN(SUBSTITUTE(ProjTextTable[[#This Row],[text]],CHAR(10)," "))))+1 - LEN(SUBSTITUTE(CLEAN(SUBSTITUTE(ProjTextTable[[#This Row],[text]],CHAR(10)," "))," ",""))</f>
        <v>426</v>
      </c>
      <c r="O197" t="s">
        <v>13</v>
      </c>
      <c r="P197" t="s">
        <v>960</v>
      </c>
    </row>
    <row r="198" spans="1:16" x14ac:dyDescent="0.4">
      <c r="A198">
        <f t="shared" si="3"/>
        <v>29</v>
      </c>
      <c r="B198" t="s">
        <v>961</v>
      </c>
      <c r="C198" t="s">
        <v>489</v>
      </c>
      <c r="D198" t="s">
        <v>533</v>
      </c>
      <c r="E198" t="s">
        <v>654</v>
      </c>
      <c r="F198" t="s">
        <v>714</v>
      </c>
      <c r="G198" t="s">
        <v>715</v>
      </c>
      <c r="H198" t="s">
        <v>543</v>
      </c>
      <c r="I198" t="s">
        <v>537</v>
      </c>
      <c r="J198" t="s">
        <v>535</v>
      </c>
      <c r="K198" s="30">
        <v>43059</v>
      </c>
      <c r="L198" s="8">
        <v>43060.61409722222</v>
      </c>
      <c r="M198" s="21">
        <f>LEN(ProjTextTable[[#This Row],[text]])</f>
        <v>3155</v>
      </c>
      <c r="N198" s="21">
        <f>LEN(TRIM(CLEAN(SUBSTITUTE(ProjTextTable[[#This Row],[text]],CHAR(10)," "))))+1 - LEN(SUBSTITUTE(CLEAN(SUBSTITUTE(ProjTextTable[[#This Row],[text]],CHAR(10)," "))," ",""))</f>
        <v>456</v>
      </c>
      <c r="O198" t="s">
        <v>544</v>
      </c>
      <c r="P198" t="s">
        <v>962</v>
      </c>
    </row>
    <row r="199" spans="1:16" x14ac:dyDescent="0.4">
      <c r="A199">
        <f t="shared" si="3"/>
        <v>29</v>
      </c>
      <c r="B199" t="s">
        <v>961</v>
      </c>
      <c r="C199" t="s">
        <v>489</v>
      </c>
      <c r="D199" t="s">
        <v>192</v>
      </c>
      <c r="E199" t="s">
        <v>654</v>
      </c>
      <c r="F199" t="s">
        <v>753</v>
      </c>
      <c r="G199" t="s">
        <v>754</v>
      </c>
      <c r="H199" t="s">
        <v>755</v>
      </c>
      <c r="I199" t="s">
        <v>201</v>
      </c>
      <c r="J199" t="s">
        <v>175</v>
      </c>
      <c r="K199" s="30">
        <v>43060</v>
      </c>
      <c r="L199" s="8">
        <v>43059.471666666665</v>
      </c>
      <c r="M199" s="21">
        <f>LEN(ProjTextTable[[#This Row],[text]])</f>
        <v>1800</v>
      </c>
      <c r="N199" s="21">
        <f>LEN(TRIM(CLEAN(SUBSTITUTE(ProjTextTable[[#This Row],[text]],CHAR(10)," "))))+1 - LEN(SUBSTITUTE(CLEAN(SUBSTITUTE(ProjTextTable[[#This Row],[text]],CHAR(10)," "))," ",""))</f>
        <v>267</v>
      </c>
      <c r="O199" t="s">
        <v>198</v>
      </c>
      <c r="P199" t="s">
        <v>963</v>
      </c>
    </row>
    <row r="200" spans="1:16" x14ac:dyDescent="0.4">
      <c r="A200">
        <f t="shared" si="3"/>
        <v>29</v>
      </c>
      <c r="B200" t="s">
        <v>961</v>
      </c>
      <c r="C200" t="s">
        <v>489</v>
      </c>
      <c r="D200" t="s">
        <v>192</v>
      </c>
      <c r="E200" t="s">
        <v>654</v>
      </c>
      <c r="F200" t="s">
        <v>964</v>
      </c>
      <c r="G200" t="s">
        <v>965</v>
      </c>
      <c r="H200" t="s">
        <v>966</v>
      </c>
      <c r="I200" t="s">
        <v>201</v>
      </c>
      <c r="J200" t="s">
        <v>175</v>
      </c>
      <c r="K200" s="30">
        <v>43060</v>
      </c>
      <c r="L200" s="8">
        <v>43054.57371527778</v>
      </c>
      <c r="M200" s="21">
        <f>LEN(ProjTextTable[[#This Row],[text]])</f>
        <v>2065</v>
      </c>
      <c r="N200" s="21">
        <f>LEN(TRIM(CLEAN(SUBSTITUTE(ProjTextTable[[#This Row],[text]],CHAR(10)," "))))+1 - LEN(SUBSTITUTE(CLEAN(SUBSTITUTE(ProjTextTable[[#This Row],[text]],CHAR(10)," "))," ",""))</f>
        <v>297</v>
      </c>
      <c r="O200" t="s">
        <v>195</v>
      </c>
      <c r="P200" t="s">
        <v>967</v>
      </c>
    </row>
    <row r="201" spans="1:16" x14ac:dyDescent="0.4">
      <c r="A201">
        <f t="shared" si="3"/>
        <v>29</v>
      </c>
      <c r="B201" t="s">
        <v>961</v>
      </c>
      <c r="C201" t="s">
        <v>489</v>
      </c>
      <c r="D201" t="s">
        <v>192</v>
      </c>
      <c r="E201" t="s">
        <v>611</v>
      </c>
      <c r="F201" t="s">
        <v>717</v>
      </c>
      <c r="G201" t="s">
        <v>718</v>
      </c>
      <c r="H201" t="s">
        <v>719</v>
      </c>
      <c r="I201" t="s">
        <v>201</v>
      </c>
      <c r="J201" t="s">
        <v>175</v>
      </c>
      <c r="K201" s="30">
        <v>43060</v>
      </c>
      <c r="L201" s="8">
        <v>43058.888726851852</v>
      </c>
      <c r="M201" s="21">
        <f>LEN(ProjTextTable[[#This Row],[text]])</f>
        <v>3067</v>
      </c>
      <c r="N201" s="21">
        <f>LEN(TRIM(CLEAN(SUBSTITUTE(ProjTextTable[[#This Row],[text]],CHAR(10)," "))))+1 - LEN(SUBSTITUTE(CLEAN(SUBSTITUTE(ProjTextTable[[#This Row],[text]],CHAR(10)," "))," ",""))</f>
        <v>441</v>
      </c>
      <c r="O201" t="s">
        <v>229</v>
      </c>
      <c r="P201" t="s">
        <v>968</v>
      </c>
    </row>
    <row r="202" spans="1:16" x14ac:dyDescent="0.4">
      <c r="A202">
        <f t="shared" si="3"/>
        <v>29</v>
      </c>
      <c r="B202" t="s">
        <v>961</v>
      </c>
      <c r="C202" t="s">
        <v>489</v>
      </c>
      <c r="D202" t="s">
        <v>192</v>
      </c>
      <c r="E202" t="s">
        <v>611</v>
      </c>
      <c r="F202" t="s">
        <v>725</v>
      </c>
      <c r="G202" t="s">
        <v>726</v>
      </c>
      <c r="H202" t="s">
        <v>727</v>
      </c>
      <c r="I202" t="s">
        <v>201</v>
      </c>
      <c r="J202" t="s">
        <v>175</v>
      </c>
      <c r="K202" s="30">
        <v>43060</v>
      </c>
      <c r="L202" s="8">
        <v>43059.9296875</v>
      </c>
      <c r="M202" s="21">
        <f>LEN(ProjTextTable[[#This Row],[text]])</f>
        <v>1289</v>
      </c>
      <c r="N202" s="21">
        <f>LEN(TRIM(CLEAN(SUBSTITUTE(ProjTextTable[[#This Row],[text]],CHAR(10)," "))))+1 - LEN(SUBSTITUTE(CLEAN(SUBSTITUTE(ProjTextTable[[#This Row],[text]],CHAR(10)," "))," ",""))</f>
        <v>187</v>
      </c>
      <c r="O202" t="s">
        <v>196</v>
      </c>
      <c r="P202" t="s">
        <v>969</v>
      </c>
    </row>
    <row r="203" spans="1:16" x14ac:dyDescent="0.4">
      <c r="A203">
        <f t="shared" si="3"/>
        <v>29</v>
      </c>
      <c r="B203" t="s">
        <v>961</v>
      </c>
      <c r="C203" t="s">
        <v>489</v>
      </c>
      <c r="D203" t="s">
        <v>194</v>
      </c>
      <c r="E203" t="s">
        <v>654</v>
      </c>
      <c r="F203" t="s">
        <v>13</v>
      </c>
      <c r="G203" t="s">
        <v>13</v>
      </c>
      <c r="H203" t="s">
        <v>13</v>
      </c>
      <c r="K203" s="30"/>
      <c r="L203" s="8">
        <v>42936.044108796297</v>
      </c>
      <c r="M203" s="21">
        <f>LEN(ProjTextTable[[#This Row],[text]])</f>
        <v>3733</v>
      </c>
      <c r="N203" s="21">
        <f>LEN(TRIM(CLEAN(SUBSTITUTE(ProjTextTable[[#This Row],[text]],CHAR(10)," "))))+1 - LEN(SUBSTITUTE(CLEAN(SUBSTITUTE(ProjTextTable[[#This Row],[text]],CHAR(10)," "))," ",""))</f>
        <v>526</v>
      </c>
      <c r="O203" t="s">
        <v>13</v>
      </c>
      <c r="P203" t="s">
        <v>970</v>
      </c>
    </row>
    <row r="204" spans="1:16" x14ac:dyDescent="0.4">
      <c r="A204">
        <f t="shared" si="3"/>
        <v>30</v>
      </c>
      <c r="B204" t="s">
        <v>971</v>
      </c>
      <c r="C204" t="s">
        <v>972</v>
      </c>
      <c r="D204" t="s">
        <v>533</v>
      </c>
      <c r="E204" t="s">
        <v>604</v>
      </c>
      <c r="F204" t="s">
        <v>605</v>
      </c>
      <c r="G204" t="s">
        <v>606</v>
      </c>
      <c r="H204" t="s">
        <v>539</v>
      </c>
      <c r="I204" t="s">
        <v>535</v>
      </c>
      <c r="J204" t="s">
        <v>545</v>
      </c>
      <c r="K204" s="30">
        <v>43031</v>
      </c>
      <c r="L204" s="8">
        <v>43032.659212962964</v>
      </c>
      <c r="M204" s="21">
        <f>LEN(ProjTextTable[[#This Row],[text]])</f>
        <v>2012</v>
      </c>
      <c r="N204" s="21">
        <f>LEN(TRIM(CLEAN(SUBSTITUTE(ProjTextTable[[#This Row],[text]],CHAR(10)," "))))+1 - LEN(SUBSTITUTE(CLEAN(SUBSTITUTE(ProjTextTable[[#This Row],[text]],CHAR(10)," "))," ",""))</f>
        <v>277</v>
      </c>
      <c r="O204" t="s">
        <v>540</v>
      </c>
      <c r="P204" t="s">
        <v>973</v>
      </c>
    </row>
    <row r="205" spans="1:16" x14ac:dyDescent="0.4">
      <c r="A205">
        <f t="shared" si="3"/>
        <v>30</v>
      </c>
      <c r="B205" t="s">
        <v>971</v>
      </c>
      <c r="C205" t="s">
        <v>972</v>
      </c>
      <c r="D205" t="s">
        <v>192</v>
      </c>
      <c r="E205" t="s">
        <v>611</v>
      </c>
      <c r="F205" t="s">
        <v>635</v>
      </c>
      <c r="G205" t="s">
        <v>636</v>
      </c>
      <c r="H205" t="s">
        <v>637</v>
      </c>
      <c r="I205" t="s">
        <v>201</v>
      </c>
      <c r="J205" t="s">
        <v>175</v>
      </c>
      <c r="K205" s="30">
        <v>43032</v>
      </c>
      <c r="L205" s="8">
        <v>43022.977719907409</v>
      </c>
      <c r="M205" s="21">
        <f>LEN(ProjTextTable[[#This Row],[text]])</f>
        <v>2991</v>
      </c>
      <c r="N205" s="21">
        <f>LEN(TRIM(CLEAN(SUBSTITUTE(ProjTextTable[[#This Row],[text]],CHAR(10)," "))))+1 - LEN(SUBSTITUTE(CLEAN(SUBSTITUTE(ProjTextTable[[#This Row],[text]],CHAR(10)," "))," ",""))</f>
        <v>467</v>
      </c>
      <c r="O205" t="s">
        <v>196</v>
      </c>
      <c r="P205" t="s">
        <v>974</v>
      </c>
    </row>
    <row r="206" spans="1:16" x14ac:dyDescent="0.4">
      <c r="A206">
        <f t="shared" si="3"/>
        <v>30</v>
      </c>
      <c r="B206" t="s">
        <v>971</v>
      </c>
      <c r="C206" t="s">
        <v>972</v>
      </c>
      <c r="D206" t="s">
        <v>192</v>
      </c>
      <c r="E206" t="s">
        <v>604</v>
      </c>
      <c r="F206" t="s">
        <v>639</v>
      </c>
      <c r="G206" t="s">
        <v>640</v>
      </c>
      <c r="H206" t="s">
        <v>641</v>
      </c>
      <c r="I206" t="s">
        <v>201</v>
      </c>
      <c r="J206" t="s">
        <v>175</v>
      </c>
      <c r="K206" s="30">
        <v>43032</v>
      </c>
      <c r="L206" s="8">
        <v>43030.18167824074</v>
      </c>
      <c r="M206" s="21">
        <f>LEN(ProjTextTable[[#This Row],[text]])</f>
        <v>2066</v>
      </c>
      <c r="N206" s="21">
        <f>LEN(TRIM(CLEAN(SUBSTITUTE(ProjTextTable[[#This Row],[text]],CHAR(10)," "))))+1 - LEN(SUBSTITUTE(CLEAN(SUBSTITUTE(ProjTextTable[[#This Row],[text]],CHAR(10)," "))," ",""))</f>
        <v>295</v>
      </c>
      <c r="O206" t="s">
        <v>196</v>
      </c>
      <c r="P206" t="s">
        <v>975</v>
      </c>
    </row>
    <row r="207" spans="1:16" x14ac:dyDescent="0.4">
      <c r="A207">
        <f t="shared" si="3"/>
        <v>30</v>
      </c>
      <c r="B207" t="s">
        <v>971</v>
      </c>
      <c r="C207" t="s">
        <v>972</v>
      </c>
      <c r="D207" t="s">
        <v>192</v>
      </c>
      <c r="E207" t="s">
        <v>611</v>
      </c>
      <c r="F207" t="s">
        <v>643</v>
      </c>
      <c r="G207" t="s">
        <v>644</v>
      </c>
      <c r="H207" t="s">
        <v>645</v>
      </c>
      <c r="I207" t="s">
        <v>201</v>
      </c>
      <c r="J207" t="s">
        <v>175</v>
      </c>
      <c r="K207" s="30">
        <v>43032</v>
      </c>
      <c r="L207" s="8">
        <v>43028.861875000002</v>
      </c>
      <c r="M207" s="21">
        <f>LEN(ProjTextTable[[#This Row],[text]])</f>
        <v>2452</v>
      </c>
      <c r="N207" s="21">
        <f>LEN(TRIM(CLEAN(SUBSTITUTE(ProjTextTable[[#This Row],[text]],CHAR(10)," "))))+1 - LEN(SUBSTITUTE(CLEAN(SUBSTITUTE(ProjTextTable[[#This Row],[text]],CHAR(10)," "))," ",""))</f>
        <v>365</v>
      </c>
      <c r="O207" t="s">
        <v>196</v>
      </c>
      <c r="P207" t="s">
        <v>976</v>
      </c>
    </row>
    <row r="208" spans="1:16" x14ac:dyDescent="0.4">
      <c r="A208">
        <f t="shared" si="3"/>
        <v>30</v>
      </c>
      <c r="B208" t="s">
        <v>971</v>
      </c>
      <c r="C208" t="s">
        <v>972</v>
      </c>
      <c r="D208" t="s">
        <v>192</v>
      </c>
      <c r="E208" t="s">
        <v>611</v>
      </c>
      <c r="F208" t="s">
        <v>692</v>
      </c>
      <c r="G208" t="s">
        <v>693</v>
      </c>
      <c r="H208" t="s">
        <v>694</v>
      </c>
      <c r="I208" t="s">
        <v>201</v>
      </c>
      <c r="J208" t="s">
        <v>175</v>
      </c>
      <c r="K208" s="30">
        <v>43032</v>
      </c>
      <c r="L208" s="8">
        <v>43027.663506944446</v>
      </c>
      <c r="M208" s="21">
        <f>LEN(ProjTextTable[[#This Row],[text]])</f>
        <v>2625</v>
      </c>
      <c r="N208" s="21">
        <f>LEN(TRIM(CLEAN(SUBSTITUTE(ProjTextTable[[#This Row],[text]],CHAR(10)," "))))+1 - LEN(SUBSTITUTE(CLEAN(SUBSTITUTE(ProjTextTable[[#This Row],[text]],CHAR(10)," "))," ",""))</f>
        <v>399</v>
      </c>
      <c r="O208" t="s">
        <v>229</v>
      </c>
      <c r="P208" t="s">
        <v>977</v>
      </c>
    </row>
    <row r="209" spans="1:16" x14ac:dyDescent="0.4">
      <c r="A209">
        <f t="shared" si="3"/>
        <v>30</v>
      </c>
      <c r="B209" t="s">
        <v>971</v>
      </c>
      <c r="C209" t="s">
        <v>972</v>
      </c>
      <c r="D209" t="s">
        <v>194</v>
      </c>
      <c r="E209" t="s">
        <v>604</v>
      </c>
      <c r="F209" t="s">
        <v>13</v>
      </c>
      <c r="G209" t="s">
        <v>13</v>
      </c>
      <c r="H209" t="s">
        <v>13</v>
      </c>
      <c r="K209" s="30"/>
      <c r="L209" s="8">
        <v>42936.044259259259</v>
      </c>
      <c r="M209" s="21">
        <f>LEN(ProjTextTable[[#This Row],[text]])</f>
        <v>4189</v>
      </c>
      <c r="N209" s="21">
        <f>LEN(TRIM(CLEAN(SUBSTITUTE(ProjTextTable[[#This Row],[text]],CHAR(10)," "))))+1 - LEN(SUBSTITUTE(CLEAN(SUBSTITUTE(ProjTextTable[[#This Row],[text]],CHAR(10)," "))," ",""))</f>
        <v>639</v>
      </c>
      <c r="O209" t="s">
        <v>13</v>
      </c>
      <c r="P209" t="s">
        <v>978</v>
      </c>
    </row>
    <row r="210" spans="1:16" x14ac:dyDescent="0.4">
      <c r="A210">
        <f t="shared" si="3"/>
        <v>31</v>
      </c>
      <c r="B210" t="s">
        <v>979</v>
      </c>
      <c r="C210" t="s">
        <v>980</v>
      </c>
      <c r="D210" t="s">
        <v>533</v>
      </c>
      <c r="E210" t="s">
        <v>654</v>
      </c>
      <c r="F210" t="s">
        <v>714</v>
      </c>
      <c r="G210" t="s">
        <v>715</v>
      </c>
      <c r="H210" t="s">
        <v>541</v>
      </c>
      <c r="I210" t="s">
        <v>536</v>
      </c>
      <c r="J210" t="s">
        <v>877</v>
      </c>
      <c r="K210" s="30">
        <v>43059</v>
      </c>
      <c r="L210" s="8">
        <v>43060.637881944444</v>
      </c>
      <c r="M210" s="21">
        <f>LEN(ProjTextTable[[#This Row],[text]])</f>
        <v>3385</v>
      </c>
      <c r="N210" s="21">
        <f>LEN(TRIM(CLEAN(SUBSTITUTE(ProjTextTable[[#This Row],[text]],CHAR(10)," "))))+1 - LEN(SUBSTITUTE(CLEAN(SUBSTITUTE(ProjTextTable[[#This Row],[text]],CHAR(10)," "))," ",""))</f>
        <v>490</v>
      </c>
      <c r="O210" t="s">
        <v>542</v>
      </c>
      <c r="P210" t="s">
        <v>981</v>
      </c>
    </row>
    <row r="211" spans="1:16" x14ac:dyDescent="0.4">
      <c r="A211">
        <f t="shared" si="3"/>
        <v>31</v>
      </c>
      <c r="B211" t="s">
        <v>979</v>
      </c>
      <c r="C211" t="s">
        <v>980</v>
      </c>
      <c r="D211" t="s">
        <v>533</v>
      </c>
      <c r="E211" t="s">
        <v>654</v>
      </c>
      <c r="F211" t="s">
        <v>899</v>
      </c>
      <c r="G211" t="s">
        <v>900</v>
      </c>
      <c r="H211" t="s">
        <v>543</v>
      </c>
      <c r="I211" t="s">
        <v>537</v>
      </c>
      <c r="J211" t="s">
        <v>537</v>
      </c>
      <c r="K211" s="30">
        <v>43045</v>
      </c>
      <c r="L211" s="8">
        <v>43065.482268518521</v>
      </c>
      <c r="M211" s="21">
        <f>LEN(ProjTextTable[[#This Row],[text]])</f>
        <v>2653</v>
      </c>
      <c r="N211" s="21">
        <f>LEN(TRIM(CLEAN(SUBSTITUTE(ProjTextTable[[#This Row],[text]],CHAR(10)," "))))+1 - LEN(SUBSTITUTE(CLEAN(SUBSTITUTE(ProjTextTable[[#This Row],[text]],CHAR(10)," "))," ",""))</f>
        <v>401</v>
      </c>
      <c r="O211" t="s">
        <v>544</v>
      </c>
      <c r="P211" t="s">
        <v>982</v>
      </c>
    </row>
    <row r="212" spans="1:16" x14ac:dyDescent="0.4">
      <c r="A212">
        <f t="shared" si="3"/>
        <v>31</v>
      </c>
      <c r="B212" t="s">
        <v>979</v>
      </c>
      <c r="C212" t="s">
        <v>980</v>
      </c>
      <c r="D212" t="s">
        <v>192</v>
      </c>
      <c r="E212" t="s">
        <v>611</v>
      </c>
      <c r="F212" t="s">
        <v>902</v>
      </c>
      <c r="G212" t="s">
        <v>903</v>
      </c>
      <c r="H212" t="s">
        <v>904</v>
      </c>
      <c r="I212" t="s">
        <v>201</v>
      </c>
      <c r="J212" t="s">
        <v>175</v>
      </c>
      <c r="K212" s="30">
        <v>43046</v>
      </c>
      <c r="L212" s="8">
        <v>43039.372476851851</v>
      </c>
      <c r="M212" s="21">
        <f>LEN(ProjTextTable[[#This Row],[text]])</f>
        <v>3841</v>
      </c>
      <c r="N212" s="21">
        <f>LEN(TRIM(CLEAN(SUBSTITUTE(ProjTextTable[[#This Row],[text]],CHAR(10)," "))))+1 - LEN(SUBSTITUTE(CLEAN(SUBSTITUTE(ProjTextTable[[#This Row],[text]],CHAR(10)," "))," ",""))</f>
        <v>550</v>
      </c>
      <c r="O212" t="s">
        <v>229</v>
      </c>
      <c r="P212" t="s">
        <v>983</v>
      </c>
    </row>
    <row r="213" spans="1:16" x14ac:dyDescent="0.4">
      <c r="A213">
        <f t="shared" si="3"/>
        <v>31</v>
      </c>
      <c r="B213" t="s">
        <v>979</v>
      </c>
      <c r="C213" t="s">
        <v>980</v>
      </c>
      <c r="D213" t="s">
        <v>192</v>
      </c>
      <c r="E213" t="s">
        <v>654</v>
      </c>
      <c r="F213" t="s">
        <v>964</v>
      </c>
      <c r="G213" t="s">
        <v>965</v>
      </c>
      <c r="H213" t="s">
        <v>966</v>
      </c>
      <c r="I213" t="s">
        <v>201</v>
      </c>
      <c r="J213" t="s">
        <v>175</v>
      </c>
      <c r="K213" s="30">
        <v>43060</v>
      </c>
      <c r="L213" s="8">
        <v>43054.596712962964</v>
      </c>
      <c r="M213" s="21">
        <f>LEN(ProjTextTable[[#This Row],[text]])</f>
        <v>1759</v>
      </c>
      <c r="N213" s="21">
        <f>LEN(TRIM(CLEAN(SUBSTITUTE(ProjTextTable[[#This Row],[text]],CHAR(10)," "))))+1 - LEN(SUBSTITUTE(CLEAN(SUBSTITUTE(ProjTextTable[[#This Row],[text]],CHAR(10)," "))," ",""))</f>
        <v>245</v>
      </c>
      <c r="O213" t="s">
        <v>195</v>
      </c>
      <c r="P213" t="s">
        <v>984</v>
      </c>
    </row>
    <row r="214" spans="1:16" x14ac:dyDescent="0.4">
      <c r="A214">
        <f t="shared" si="3"/>
        <v>31</v>
      </c>
      <c r="B214" t="s">
        <v>979</v>
      </c>
      <c r="C214" t="s">
        <v>980</v>
      </c>
      <c r="D214" t="s">
        <v>192</v>
      </c>
      <c r="E214" t="s">
        <v>611</v>
      </c>
      <c r="F214" t="s">
        <v>906</v>
      </c>
      <c r="G214" t="s">
        <v>907</v>
      </c>
      <c r="H214" t="s">
        <v>908</v>
      </c>
      <c r="I214" t="s">
        <v>201</v>
      </c>
      <c r="J214" t="s">
        <v>175</v>
      </c>
      <c r="K214" s="30">
        <v>43046</v>
      </c>
      <c r="L214" s="8">
        <v>43045.369837962964</v>
      </c>
      <c r="M214" s="21">
        <f>LEN(ProjTextTable[[#This Row],[text]])</f>
        <v>2876</v>
      </c>
      <c r="N214" s="21">
        <f>LEN(TRIM(CLEAN(SUBSTITUTE(ProjTextTable[[#This Row],[text]],CHAR(10)," "))))+1 - LEN(SUBSTITUTE(CLEAN(SUBSTITUTE(ProjTextTable[[#This Row],[text]],CHAR(10)," "))," ",""))</f>
        <v>432</v>
      </c>
      <c r="O214" t="s">
        <v>196</v>
      </c>
      <c r="P214" t="s">
        <v>985</v>
      </c>
    </row>
    <row r="215" spans="1:16" x14ac:dyDescent="0.4">
      <c r="A215">
        <f t="shared" si="3"/>
        <v>31</v>
      </c>
      <c r="B215" t="s">
        <v>979</v>
      </c>
      <c r="C215" t="s">
        <v>980</v>
      </c>
      <c r="D215" t="s">
        <v>192</v>
      </c>
      <c r="E215" t="s">
        <v>611</v>
      </c>
      <c r="F215" t="s">
        <v>910</v>
      </c>
      <c r="G215" t="s">
        <v>911</v>
      </c>
      <c r="H215" t="s">
        <v>912</v>
      </c>
      <c r="I215" t="s">
        <v>201</v>
      </c>
      <c r="J215" t="s">
        <v>175</v>
      </c>
      <c r="K215" s="30">
        <v>43046</v>
      </c>
      <c r="L215" s="8">
        <v>43045.456018518518</v>
      </c>
      <c r="M215" s="21">
        <f>LEN(ProjTextTable[[#This Row],[text]])</f>
        <v>3520</v>
      </c>
      <c r="N215" s="21">
        <f>LEN(TRIM(CLEAN(SUBSTITUTE(ProjTextTable[[#This Row],[text]],CHAR(10)," "))))+1 - LEN(SUBSTITUTE(CLEAN(SUBSTITUTE(ProjTextTable[[#This Row],[text]],CHAR(10)," "))," ",""))</f>
        <v>524</v>
      </c>
      <c r="O215" t="s">
        <v>196</v>
      </c>
      <c r="P215" t="s">
        <v>986</v>
      </c>
    </row>
    <row r="216" spans="1:16" x14ac:dyDescent="0.4">
      <c r="A216">
        <f t="shared" si="3"/>
        <v>31</v>
      </c>
      <c r="B216" t="s">
        <v>979</v>
      </c>
      <c r="C216" t="s">
        <v>980</v>
      </c>
      <c r="D216" t="s">
        <v>192</v>
      </c>
      <c r="E216" t="s">
        <v>611</v>
      </c>
      <c r="F216" t="s">
        <v>914</v>
      </c>
      <c r="G216" t="s">
        <v>915</v>
      </c>
      <c r="H216" t="s">
        <v>916</v>
      </c>
      <c r="I216" t="s">
        <v>201</v>
      </c>
      <c r="J216" t="s">
        <v>175</v>
      </c>
      <c r="K216" s="30">
        <v>43046</v>
      </c>
      <c r="L216" s="8">
        <v>43045.369942129626</v>
      </c>
      <c r="M216" s="21">
        <f>LEN(ProjTextTable[[#This Row],[text]])</f>
        <v>2671</v>
      </c>
      <c r="N216" s="21">
        <f>LEN(TRIM(CLEAN(SUBSTITUTE(ProjTextTable[[#This Row],[text]],CHAR(10)," "))))+1 - LEN(SUBSTITUTE(CLEAN(SUBSTITUTE(ProjTextTable[[#This Row],[text]],CHAR(10)," "))," ",""))</f>
        <v>392</v>
      </c>
      <c r="O216" t="s">
        <v>229</v>
      </c>
      <c r="P216" t="s">
        <v>987</v>
      </c>
    </row>
    <row r="217" spans="1:16" x14ac:dyDescent="0.4">
      <c r="A217">
        <f t="shared" si="3"/>
        <v>31</v>
      </c>
      <c r="B217" t="s">
        <v>979</v>
      </c>
      <c r="C217" t="s">
        <v>980</v>
      </c>
      <c r="D217" t="s">
        <v>192</v>
      </c>
      <c r="E217" t="s">
        <v>611</v>
      </c>
      <c r="F217" t="s">
        <v>721</v>
      </c>
      <c r="G217" t="s">
        <v>722</v>
      </c>
      <c r="H217" t="s">
        <v>723</v>
      </c>
      <c r="I217" t="s">
        <v>201</v>
      </c>
      <c r="J217" t="s">
        <v>175</v>
      </c>
      <c r="K217" s="30">
        <v>43060</v>
      </c>
      <c r="L217" s="8">
        <v>43058.706030092595</v>
      </c>
      <c r="M217" s="21">
        <f>LEN(ProjTextTable[[#This Row],[text]])</f>
        <v>2644</v>
      </c>
      <c r="N217" s="21">
        <f>LEN(TRIM(CLEAN(SUBSTITUTE(ProjTextTable[[#This Row],[text]],CHAR(10)," "))))+1 - LEN(SUBSTITUTE(CLEAN(SUBSTITUTE(ProjTextTable[[#This Row],[text]],CHAR(10)," "))," ",""))</f>
        <v>386</v>
      </c>
      <c r="O217" t="s">
        <v>193</v>
      </c>
      <c r="P217" t="s">
        <v>988</v>
      </c>
    </row>
    <row r="218" spans="1:16" x14ac:dyDescent="0.4">
      <c r="A218">
        <f t="shared" si="3"/>
        <v>31</v>
      </c>
      <c r="B218" t="s">
        <v>979</v>
      </c>
      <c r="C218" t="s">
        <v>980</v>
      </c>
      <c r="D218" t="s">
        <v>192</v>
      </c>
      <c r="E218" t="s">
        <v>611</v>
      </c>
      <c r="F218" t="s">
        <v>725</v>
      </c>
      <c r="G218" t="s">
        <v>726</v>
      </c>
      <c r="H218" t="s">
        <v>727</v>
      </c>
      <c r="I218" t="s">
        <v>201</v>
      </c>
      <c r="J218" t="s">
        <v>175</v>
      </c>
      <c r="K218" s="30">
        <v>43060</v>
      </c>
      <c r="L218" s="8">
        <v>43059.921643518515</v>
      </c>
      <c r="M218" s="21">
        <f>LEN(ProjTextTable[[#This Row],[text]])</f>
        <v>1181</v>
      </c>
      <c r="N218" s="21">
        <f>LEN(TRIM(CLEAN(SUBSTITUTE(ProjTextTable[[#This Row],[text]],CHAR(10)," "))))+1 - LEN(SUBSTITUTE(CLEAN(SUBSTITUTE(ProjTextTable[[#This Row],[text]],CHAR(10)," "))," ",""))</f>
        <v>164</v>
      </c>
      <c r="O218" t="s">
        <v>229</v>
      </c>
      <c r="P218" t="s">
        <v>989</v>
      </c>
    </row>
    <row r="219" spans="1:16" x14ac:dyDescent="0.4">
      <c r="A219">
        <f t="shared" si="3"/>
        <v>31</v>
      </c>
      <c r="B219" t="s">
        <v>979</v>
      </c>
      <c r="C219" t="s">
        <v>980</v>
      </c>
      <c r="D219" t="s">
        <v>192</v>
      </c>
      <c r="E219" t="s">
        <v>611</v>
      </c>
      <c r="F219" t="s">
        <v>729</v>
      </c>
      <c r="G219" t="s">
        <v>730</v>
      </c>
      <c r="H219" t="s">
        <v>731</v>
      </c>
      <c r="I219" t="s">
        <v>201</v>
      </c>
      <c r="J219" t="s">
        <v>175</v>
      </c>
      <c r="K219" s="30">
        <v>43060</v>
      </c>
      <c r="L219" s="8">
        <v>43056.623159722221</v>
      </c>
      <c r="M219" s="21">
        <f>LEN(ProjTextTable[[#This Row],[text]])</f>
        <v>1458</v>
      </c>
      <c r="N219" s="21">
        <f>LEN(TRIM(CLEAN(SUBSTITUTE(ProjTextTable[[#This Row],[text]],CHAR(10)," "))))+1 - LEN(SUBSTITUTE(CLEAN(SUBSTITUTE(ProjTextTable[[#This Row],[text]],CHAR(10)," "))," ",""))</f>
        <v>203</v>
      </c>
      <c r="O219" t="s">
        <v>195</v>
      </c>
      <c r="P219" t="s">
        <v>990</v>
      </c>
    </row>
    <row r="220" spans="1:16" x14ac:dyDescent="0.4">
      <c r="A220">
        <f t="shared" si="3"/>
        <v>31</v>
      </c>
      <c r="B220" t="s">
        <v>979</v>
      </c>
      <c r="C220" t="s">
        <v>980</v>
      </c>
      <c r="D220" t="s">
        <v>194</v>
      </c>
      <c r="E220" t="s">
        <v>654</v>
      </c>
      <c r="F220" t="s">
        <v>13</v>
      </c>
      <c r="G220" t="s">
        <v>13</v>
      </c>
      <c r="H220" t="s">
        <v>13</v>
      </c>
      <c r="K220" s="30"/>
      <c r="L220" s="8">
        <v>42936.044328703705</v>
      </c>
      <c r="M220" s="21">
        <f>LEN(ProjTextTable[[#This Row],[text]])</f>
        <v>3427</v>
      </c>
      <c r="N220" s="21">
        <f>LEN(TRIM(CLEAN(SUBSTITUTE(ProjTextTable[[#This Row],[text]],CHAR(10)," "))))+1 - LEN(SUBSTITUTE(CLEAN(SUBSTITUTE(ProjTextTable[[#This Row],[text]],CHAR(10)," "))," ",""))</f>
        <v>475</v>
      </c>
      <c r="O220" t="s">
        <v>13</v>
      </c>
      <c r="P220" t="s">
        <v>991</v>
      </c>
    </row>
    <row r="221" spans="1:16" x14ac:dyDescent="0.4">
      <c r="A221">
        <f t="shared" si="3"/>
        <v>32</v>
      </c>
      <c r="B221" t="s">
        <v>992</v>
      </c>
      <c r="C221" t="s">
        <v>993</v>
      </c>
      <c r="D221" t="s">
        <v>533</v>
      </c>
      <c r="E221" t="s">
        <v>611</v>
      </c>
      <c r="F221" t="s">
        <v>714</v>
      </c>
      <c r="G221" t="s">
        <v>715</v>
      </c>
      <c r="H221" t="s">
        <v>546</v>
      </c>
      <c r="I221" t="s">
        <v>538</v>
      </c>
      <c r="J221" t="s">
        <v>793</v>
      </c>
      <c r="K221" s="30">
        <v>43059</v>
      </c>
      <c r="L221" s="8">
        <v>43060.652546296296</v>
      </c>
      <c r="M221" s="21">
        <f>LEN(ProjTextTable[[#This Row],[text]])</f>
        <v>1447</v>
      </c>
      <c r="N221" s="21">
        <f>LEN(TRIM(CLEAN(SUBSTITUTE(ProjTextTable[[#This Row],[text]],CHAR(10)," "))))+1 - LEN(SUBSTITUTE(CLEAN(SUBSTITUTE(ProjTextTable[[#This Row],[text]],CHAR(10)," "))," ",""))</f>
        <v>216</v>
      </c>
      <c r="O221" t="s">
        <v>309</v>
      </c>
      <c r="P221" t="s">
        <v>994</v>
      </c>
    </row>
    <row r="222" spans="1:16" x14ac:dyDescent="0.4">
      <c r="A222">
        <f t="shared" si="3"/>
        <v>32</v>
      </c>
      <c r="B222" t="s">
        <v>992</v>
      </c>
      <c r="C222" t="s">
        <v>993</v>
      </c>
      <c r="D222" t="s">
        <v>2</v>
      </c>
      <c r="E222" t="s">
        <v>611</v>
      </c>
      <c r="F222" t="s">
        <v>13</v>
      </c>
      <c r="G222" t="s">
        <v>609</v>
      </c>
      <c r="H222" t="s">
        <v>13</v>
      </c>
      <c r="I222" t="s">
        <v>13</v>
      </c>
      <c r="K222" s="30"/>
      <c r="L222" s="8">
        <v>43082.669247685182</v>
      </c>
      <c r="M222" s="21">
        <f>LEN(ProjTextTable[[#This Row],[text]])</f>
        <v>1979</v>
      </c>
      <c r="N222" s="21">
        <f>LEN(TRIM(CLEAN(SUBSTITUTE(ProjTextTable[[#This Row],[text]],CHAR(10)," "))))+1 - LEN(SUBSTITUTE(CLEAN(SUBSTITUTE(ProjTextTable[[#This Row],[text]],CHAR(10)," "))," ",""))</f>
        <v>297</v>
      </c>
      <c r="O222" t="s">
        <v>13</v>
      </c>
      <c r="P222" t="s">
        <v>995</v>
      </c>
    </row>
    <row r="223" spans="1:16" x14ac:dyDescent="0.4">
      <c r="A223">
        <f t="shared" si="3"/>
        <v>32</v>
      </c>
      <c r="B223" t="s">
        <v>992</v>
      </c>
      <c r="C223" t="s">
        <v>993</v>
      </c>
      <c r="D223" t="s">
        <v>192</v>
      </c>
      <c r="E223" t="s">
        <v>611</v>
      </c>
      <c r="F223" t="s">
        <v>996</v>
      </c>
      <c r="G223" t="s">
        <v>997</v>
      </c>
      <c r="H223" t="s">
        <v>998</v>
      </c>
      <c r="I223" t="s">
        <v>175</v>
      </c>
      <c r="J223" t="s">
        <v>175</v>
      </c>
      <c r="K223" s="30">
        <v>43052</v>
      </c>
      <c r="L223" s="8">
        <v>43054.683379629627</v>
      </c>
      <c r="M223" s="21">
        <f>LEN(ProjTextTable[[#This Row],[text]])</f>
        <v>4205</v>
      </c>
      <c r="N223" s="21">
        <f>LEN(TRIM(CLEAN(SUBSTITUTE(ProjTextTable[[#This Row],[text]],CHAR(10)," "))))+1 - LEN(SUBSTITUTE(CLEAN(SUBSTITUTE(ProjTextTable[[#This Row],[text]],CHAR(10)," "))," ",""))</f>
        <v>653</v>
      </c>
      <c r="O223" t="s">
        <v>197</v>
      </c>
      <c r="P223" t="s">
        <v>999</v>
      </c>
    </row>
    <row r="224" spans="1:16" x14ac:dyDescent="0.4">
      <c r="A224">
        <f t="shared" si="3"/>
        <v>32</v>
      </c>
      <c r="B224" t="s">
        <v>992</v>
      </c>
      <c r="C224" t="s">
        <v>993</v>
      </c>
      <c r="D224" t="s">
        <v>192</v>
      </c>
      <c r="E224" t="s">
        <v>611</v>
      </c>
      <c r="F224" t="s">
        <v>721</v>
      </c>
      <c r="G224" t="s">
        <v>722</v>
      </c>
      <c r="H224" t="s">
        <v>723</v>
      </c>
      <c r="I224" t="s">
        <v>201</v>
      </c>
      <c r="J224" t="s">
        <v>175</v>
      </c>
      <c r="K224" s="30">
        <v>43060</v>
      </c>
      <c r="L224" s="8">
        <v>43059.477754629632</v>
      </c>
      <c r="M224" s="21">
        <f>LEN(ProjTextTable[[#This Row],[text]])</f>
        <v>1203</v>
      </c>
      <c r="N224" s="21">
        <f>LEN(TRIM(CLEAN(SUBSTITUTE(ProjTextTable[[#This Row],[text]],CHAR(10)," "))))+1 - LEN(SUBSTITUTE(CLEAN(SUBSTITUTE(ProjTextTable[[#This Row],[text]],CHAR(10)," "))," ",""))</f>
        <v>182</v>
      </c>
      <c r="O224" t="s">
        <v>197</v>
      </c>
      <c r="P224" t="s">
        <v>1000</v>
      </c>
    </row>
    <row r="225" spans="1:16" x14ac:dyDescent="0.4">
      <c r="A225">
        <f t="shared" si="3"/>
        <v>32</v>
      </c>
      <c r="B225" t="s">
        <v>992</v>
      </c>
      <c r="C225" t="s">
        <v>993</v>
      </c>
      <c r="D225" t="s">
        <v>192</v>
      </c>
      <c r="E225" t="s">
        <v>611</v>
      </c>
      <c r="F225" t="s">
        <v>891</v>
      </c>
      <c r="G225" t="s">
        <v>892</v>
      </c>
      <c r="H225" t="s">
        <v>893</v>
      </c>
      <c r="I225" t="s">
        <v>201</v>
      </c>
      <c r="J225" t="s">
        <v>175</v>
      </c>
      <c r="K225" s="30">
        <v>43060</v>
      </c>
      <c r="L225" s="8">
        <v>43058.704224537039</v>
      </c>
      <c r="M225" s="21">
        <f>LEN(ProjTextTable[[#This Row],[text]])</f>
        <v>5019</v>
      </c>
      <c r="N225" s="21">
        <f>LEN(TRIM(CLEAN(SUBSTITUTE(ProjTextTable[[#This Row],[text]],CHAR(10)," "))))+1 - LEN(SUBSTITUTE(CLEAN(SUBSTITUTE(ProjTextTable[[#This Row],[text]],CHAR(10)," "))," ",""))</f>
        <v>779</v>
      </c>
      <c r="O225" t="s">
        <v>193</v>
      </c>
      <c r="P225" t="s">
        <v>1001</v>
      </c>
    </row>
    <row r="226" spans="1:16" x14ac:dyDescent="0.4">
      <c r="A226">
        <f t="shared" si="3"/>
        <v>32</v>
      </c>
      <c r="B226" t="s">
        <v>992</v>
      </c>
      <c r="C226" t="s">
        <v>993</v>
      </c>
      <c r="D226" t="s">
        <v>192</v>
      </c>
      <c r="E226" t="s">
        <v>611</v>
      </c>
      <c r="F226" t="s">
        <v>729</v>
      </c>
      <c r="G226" t="s">
        <v>730</v>
      </c>
      <c r="H226" t="s">
        <v>731</v>
      </c>
      <c r="I226" t="s">
        <v>201</v>
      </c>
      <c r="J226" t="s">
        <v>175</v>
      </c>
      <c r="K226" s="30">
        <v>43060</v>
      </c>
      <c r="L226" s="8">
        <v>43058.716354166667</v>
      </c>
      <c r="M226" s="21">
        <f>LEN(ProjTextTable[[#This Row],[text]])</f>
        <v>1478</v>
      </c>
      <c r="N226" s="21">
        <f>LEN(TRIM(CLEAN(SUBSTITUTE(ProjTextTable[[#This Row],[text]],CHAR(10)," "))))+1 - LEN(SUBSTITUTE(CLEAN(SUBSTITUTE(ProjTextTable[[#This Row],[text]],CHAR(10)," "))," ",""))</f>
        <v>222</v>
      </c>
      <c r="O226" t="s">
        <v>197</v>
      </c>
      <c r="P226" t="s">
        <v>1002</v>
      </c>
    </row>
    <row r="227" spans="1:16" x14ac:dyDescent="0.4">
      <c r="A227">
        <f t="shared" si="3"/>
        <v>32</v>
      </c>
      <c r="B227" t="s">
        <v>992</v>
      </c>
      <c r="C227" t="s">
        <v>993</v>
      </c>
      <c r="D227" t="s">
        <v>194</v>
      </c>
      <c r="E227" t="s">
        <v>611</v>
      </c>
      <c r="F227" t="s">
        <v>13</v>
      </c>
      <c r="G227" t="s">
        <v>13</v>
      </c>
      <c r="H227" t="s">
        <v>13</v>
      </c>
      <c r="K227" s="30"/>
      <c r="L227" s="8">
        <v>42936.044548611113</v>
      </c>
      <c r="M227" s="21">
        <f>LEN(ProjTextTable[[#This Row],[text]])</f>
        <v>3585</v>
      </c>
      <c r="N227" s="21">
        <f>LEN(TRIM(CLEAN(SUBSTITUTE(ProjTextTable[[#This Row],[text]],CHAR(10)," "))))+1 - LEN(SUBSTITUTE(CLEAN(SUBSTITUTE(ProjTextTable[[#This Row],[text]],CHAR(10)," "))," ",""))</f>
        <v>485</v>
      </c>
      <c r="O227" t="s">
        <v>13</v>
      </c>
      <c r="P227" t="s">
        <v>1003</v>
      </c>
    </row>
    <row r="228" spans="1:16" x14ac:dyDescent="0.4">
      <c r="A228">
        <f t="shared" si="3"/>
        <v>33</v>
      </c>
      <c r="B228" t="s">
        <v>1004</v>
      </c>
      <c r="C228" t="s">
        <v>1005</v>
      </c>
      <c r="D228" t="s">
        <v>533</v>
      </c>
      <c r="E228" t="s">
        <v>611</v>
      </c>
      <c r="F228" t="s">
        <v>714</v>
      </c>
      <c r="G228" t="s">
        <v>715</v>
      </c>
      <c r="H228" t="s">
        <v>539</v>
      </c>
      <c r="I228" t="s">
        <v>535</v>
      </c>
      <c r="J228" t="s">
        <v>735</v>
      </c>
      <c r="K228" s="30">
        <v>43059</v>
      </c>
      <c r="L228" s="8">
        <v>43060.644074074073</v>
      </c>
      <c r="M228" s="21">
        <f>LEN(ProjTextTable[[#This Row],[text]])</f>
        <v>2333</v>
      </c>
      <c r="N228" s="21">
        <f>LEN(TRIM(CLEAN(SUBSTITUTE(ProjTextTable[[#This Row],[text]],CHAR(10)," "))))+1 - LEN(SUBSTITUTE(CLEAN(SUBSTITUTE(ProjTextTable[[#This Row],[text]],CHAR(10)," "))," ",""))</f>
        <v>329</v>
      </c>
      <c r="O228" t="s">
        <v>540</v>
      </c>
      <c r="P228" t="s">
        <v>1006</v>
      </c>
    </row>
    <row r="229" spans="1:16" x14ac:dyDescent="0.4">
      <c r="A229">
        <f t="shared" si="3"/>
        <v>33</v>
      </c>
      <c r="B229" t="s">
        <v>1004</v>
      </c>
      <c r="C229" t="s">
        <v>1005</v>
      </c>
      <c r="D229" t="s">
        <v>192</v>
      </c>
      <c r="E229" t="s">
        <v>611</v>
      </c>
      <c r="F229" t="s">
        <v>757</v>
      </c>
      <c r="G229" t="s">
        <v>758</v>
      </c>
      <c r="H229" t="s">
        <v>759</v>
      </c>
      <c r="I229" t="s">
        <v>201</v>
      </c>
      <c r="J229" t="s">
        <v>175</v>
      </c>
      <c r="K229" s="30">
        <v>43060</v>
      </c>
      <c r="L229" s="8">
        <v>43056.704629629632</v>
      </c>
      <c r="M229" s="21">
        <f>LEN(ProjTextTable[[#This Row],[text]])</f>
        <v>5008</v>
      </c>
      <c r="N229" s="21">
        <f>LEN(TRIM(CLEAN(SUBSTITUTE(ProjTextTable[[#This Row],[text]],CHAR(10)," "))))+1 - LEN(SUBSTITUTE(CLEAN(SUBSTITUTE(ProjTextTable[[#This Row],[text]],CHAR(10)," "))," ",""))</f>
        <v>768</v>
      </c>
      <c r="O229" t="s">
        <v>196</v>
      </c>
      <c r="P229" t="s">
        <v>1007</v>
      </c>
    </row>
    <row r="230" spans="1:16" x14ac:dyDescent="0.4">
      <c r="A230">
        <f t="shared" si="3"/>
        <v>33</v>
      </c>
      <c r="B230" t="s">
        <v>1004</v>
      </c>
      <c r="C230" t="s">
        <v>1005</v>
      </c>
      <c r="D230" t="s">
        <v>192</v>
      </c>
      <c r="E230" t="s">
        <v>611</v>
      </c>
      <c r="F230" t="s">
        <v>721</v>
      </c>
      <c r="G230" t="s">
        <v>722</v>
      </c>
      <c r="H230" t="s">
        <v>723</v>
      </c>
      <c r="I230" t="s">
        <v>201</v>
      </c>
      <c r="J230" t="s">
        <v>175</v>
      </c>
      <c r="K230" s="30">
        <v>43060</v>
      </c>
      <c r="L230" s="8">
        <v>43057.881145833337</v>
      </c>
      <c r="M230" s="21">
        <f>LEN(ProjTextTable[[#This Row],[text]])</f>
        <v>1852</v>
      </c>
      <c r="N230" s="21">
        <f>LEN(TRIM(CLEAN(SUBSTITUTE(ProjTextTable[[#This Row],[text]],CHAR(10)," "))))+1 - LEN(SUBSTITUTE(CLEAN(SUBSTITUTE(ProjTextTable[[#This Row],[text]],CHAR(10)," "))," ",""))</f>
        <v>275</v>
      </c>
      <c r="O230" t="s">
        <v>229</v>
      </c>
      <c r="P230" t="s">
        <v>1008</v>
      </c>
    </row>
    <row r="231" spans="1:16" x14ac:dyDescent="0.4">
      <c r="A231">
        <f t="shared" si="3"/>
        <v>33</v>
      </c>
      <c r="B231" t="s">
        <v>1004</v>
      </c>
      <c r="C231" t="s">
        <v>1005</v>
      </c>
      <c r="D231" t="s">
        <v>192</v>
      </c>
      <c r="E231" t="s">
        <v>611</v>
      </c>
      <c r="F231" t="s">
        <v>725</v>
      </c>
      <c r="G231" t="s">
        <v>726</v>
      </c>
      <c r="H231" t="s">
        <v>727</v>
      </c>
      <c r="I231" t="s">
        <v>201</v>
      </c>
      <c r="J231" t="s">
        <v>175</v>
      </c>
      <c r="K231" s="30">
        <v>43060</v>
      </c>
      <c r="L231" s="8">
        <v>43060.310567129629</v>
      </c>
      <c r="M231" s="21">
        <f>LEN(ProjTextTable[[#This Row],[text]])</f>
        <v>2068</v>
      </c>
      <c r="N231" s="21">
        <f>LEN(TRIM(CLEAN(SUBSTITUTE(ProjTextTable[[#This Row],[text]],CHAR(10)," "))))+1 - LEN(SUBSTITUTE(CLEAN(SUBSTITUTE(ProjTextTable[[#This Row],[text]],CHAR(10)," "))," ",""))</f>
        <v>303</v>
      </c>
      <c r="O231" t="s">
        <v>196</v>
      </c>
      <c r="P231" t="s">
        <v>1009</v>
      </c>
    </row>
    <row r="232" spans="1:16" x14ac:dyDescent="0.4">
      <c r="A232">
        <f t="shared" si="3"/>
        <v>33</v>
      </c>
      <c r="B232" t="s">
        <v>1004</v>
      </c>
      <c r="C232" t="s">
        <v>1005</v>
      </c>
      <c r="D232" t="s">
        <v>192</v>
      </c>
      <c r="E232" t="s">
        <v>611</v>
      </c>
      <c r="F232" t="s">
        <v>776</v>
      </c>
      <c r="G232" t="s">
        <v>777</v>
      </c>
      <c r="H232" t="s">
        <v>778</v>
      </c>
      <c r="I232" t="s">
        <v>201</v>
      </c>
      <c r="J232" t="s">
        <v>175</v>
      </c>
      <c r="K232" s="30">
        <v>43060</v>
      </c>
      <c r="L232" s="8">
        <v>43058.972141203703</v>
      </c>
      <c r="M232" s="21">
        <f>LEN(ProjTextTable[[#This Row],[text]])</f>
        <v>3250</v>
      </c>
      <c r="N232" s="21">
        <f>LEN(TRIM(CLEAN(SUBSTITUTE(ProjTextTable[[#This Row],[text]],CHAR(10)," "))))+1 - LEN(SUBSTITUTE(CLEAN(SUBSTITUTE(ProjTextTable[[#This Row],[text]],CHAR(10)," "))," ",""))</f>
        <v>478</v>
      </c>
      <c r="O232" t="s">
        <v>196</v>
      </c>
      <c r="P232" t="s">
        <v>1010</v>
      </c>
    </row>
    <row r="233" spans="1:16" x14ac:dyDescent="0.4">
      <c r="A233">
        <f t="shared" si="3"/>
        <v>33</v>
      </c>
      <c r="B233" t="s">
        <v>1004</v>
      </c>
      <c r="C233" t="s">
        <v>1005</v>
      </c>
      <c r="D233" t="s">
        <v>194</v>
      </c>
      <c r="E233" t="s">
        <v>611</v>
      </c>
      <c r="F233" t="s">
        <v>13</v>
      </c>
      <c r="G233" t="s">
        <v>13</v>
      </c>
      <c r="H233" t="s">
        <v>13</v>
      </c>
      <c r="K233" s="30"/>
      <c r="L233" s="8">
        <v>42936.044930555552</v>
      </c>
      <c r="M233" s="21">
        <f>LEN(ProjTextTable[[#This Row],[text]])</f>
        <v>2745</v>
      </c>
      <c r="N233" s="21">
        <f>LEN(TRIM(CLEAN(SUBSTITUTE(ProjTextTable[[#This Row],[text]],CHAR(10)," "))))+1 - LEN(SUBSTITUTE(CLEAN(SUBSTITUTE(ProjTextTable[[#This Row],[text]],CHAR(10)," "))," ",""))</f>
        <v>405</v>
      </c>
      <c r="O233" t="s">
        <v>13</v>
      </c>
      <c r="P233" t="s">
        <v>1011</v>
      </c>
    </row>
    <row r="234" spans="1:16" x14ac:dyDescent="0.4">
      <c r="A234">
        <f t="shared" si="3"/>
        <v>34</v>
      </c>
      <c r="B234" t="s">
        <v>1012</v>
      </c>
      <c r="C234" t="s">
        <v>1013</v>
      </c>
      <c r="D234" t="s">
        <v>533</v>
      </c>
      <c r="E234" t="s">
        <v>604</v>
      </c>
      <c r="F234" t="s">
        <v>605</v>
      </c>
      <c r="G234" t="s">
        <v>606</v>
      </c>
      <c r="H234" t="s">
        <v>541</v>
      </c>
      <c r="I234" t="s">
        <v>536</v>
      </c>
      <c r="J234" t="s">
        <v>632</v>
      </c>
      <c r="K234" s="30">
        <v>43031</v>
      </c>
      <c r="L234" s="8">
        <v>43032.485833333332</v>
      </c>
      <c r="M234" s="21">
        <f>LEN(ProjTextTable[[#This Row],[text]])</f>
        <v>2447</v>
      </c>
      <c r="N234" s="21">
        <f>LEN(TRIM(CLEAN(SUBSTITUTE(ProjTextTable[[#This Row],[text]],CHAR(10)," "))))+1 - LEN(SUBSTITUTE(CLEAN(SUBSTITUTE(ProjTextTable[[#This Row],[text]],CHAR(10)," "))," ",""))</f>
        <v>338</v>
      </c>
      <c r="O234" t="s">
        <v>542</v>
      </c>
      <c r="P234" t="s">
        <v>1014</v>
      </c>
    </row>
    <row r="235" spans="1:16" x14ac:dyDescent="0.4">
      <c r="A235">
        <f t="shared" si="3"/>
        <v>34</v>
      </c>
      <c r="B235" t="s">
        <v>1012</v>
      </c>
      <c r="C235" t="s">
        <v>1013</v>
      </c>
      <c r="D235" t="s">
        <v>2</v>
      </c>
      <c r="E235" t="s">
        <v>604</v>
      </c>
      <c r="F235" t="s">
        <v>13</v>
      </c>
      <c r="G235" t="s">
        <v>609</v>
      </c>
      <c r="H235" t="s">
        <v>13</v>
      </c>
      <c r="I235" t="s">
        <v>13</v>
      </c>
      <c r="K235" s="30"/>
      <c r="L235" s="8">
        <v>43082.668969907405</v>
      </c>
      <c r="M235" s="21">
        <f>LEN(ProjTextTable[[#This Row],[text]])</f>
        <v>1902</v>
      </c>
      <c r="N235" s="21">
        <f>LEN(TRIM(CLEAN(SUBSTITUTE(ProjTextTable[[#This Row],[text]],CHAR(10)," "))))+1 - LEN(SUBSTITUTE(CLEAN(SUBSTITUTE(ProjTextTable[[#This Row],[text]],CHAR(10)," "))," ",""))</f>
        <v>283</v>
      </c>
      <c r="O235" t="s">
        <v>13</v>
      </c>
      <c r="P235" t="s">
        <v>1015</v>
      </c>
    </row>
    <row r="236" spans="1:16" x14ac:dyDescent="0.4">
      <c r="A236">
        <f t="shared" si="3"/>
        <v>34</v>
      </c>
      <c r="B236" t="s">
        <v>1012</v>
      </c>
      <c r="C236" t="s">
        <v>1013</v>
      </c>
      <c r="D236" t="s">
        <v>192</v>
      </c>
      <c r="E236" t="s">
        <v>611</v>
      </c>
      <c r="F236" t="s">
        <v>635</v>
      </c>
      <c r="G236" t="s">
        <v>636</v>
      </c>
      <c r="H236" t="s">
        <v>637</v>
      </c>
      <c r="I236" t="s">
        <v>201</v>
      </c>
      <c r="J236" t="s">
        <v>175</v>
      </c>
      <c r="K236" s="30">
        <v>43032</v>
      </c>
      <c r="L236" s="8">
        <v>43025.748668981483</v>
      </c>
      <c r="M236" s="21">
        <f>LEN(ProjTextTable[[#This Row],[text]])</f>
        <v>2351</v>
      </c>
      <c r="N236" s="21">
        <f>LEN(TRIM(CLEAN(SUBSTITUTE(ProjTextTable[[#This Row],[text]],CHAR(10)," "))))+1 - LEN(SUBSTITUTE(CLEAN(SUBSTITUTE(ProjTextTable[[#This Row],[text]],CHAR(10)," "))," ",""))</f>
        <v>366</v>
      </c>
      <c r="O236" t="s">
        <v>199</v>
      </c>
      <c r="P236" t="s">
        <v>1016</v>
      </c>
    </row>
    <row r="237" spans="1:16" x14ac:dyDescent="0.4">
      <c r="A237">
        <f t="shared" si="3"/>
        <v>34</v>
      </c>
      <c r="B237" t="s">
        <v>1012</v>
      </c>
      <c r="C237" t="s">
        <v>1013</v>
      </c>
      <c r="D237" t="s">
        <v>192</v>
      </c>
      <c r="E237" t="s">
        <v>604</v>
      </c>
      <c r="F237" t="s">
        <v>639</v>
      </c>
      <c r="G237" t="s">
        <v>640</v>
      </c>
      <c r="H237" t="s">
        <v>641</v>
      </c>
      <c r="I237" t="s">
        <v>201</v>
      </c>
      <c r="J237" t="s">
        <v>175</v>
      </c>
      <c r="K237" s="30">
        <v>43032</v>
      </c>
      <c r="L237" s="8">
        <v>43030.178067129629</v>
      </c>
      <c r="M237" s="21">
        <f>LEN(ProjTextTable[[#This Row],[text]])</f>
        <v>2003</v>
      </c>
      <c r="N237" s="21">
        <f>LEN(TRIM(CLEAN(SUBSTITUTE(ProjTextTable[[#This Row],[text]],CHAR(10)," "))))+1 - LEN(SUBSTITUTE(CLEAN(SUBSTITUTE(ProjTextTable[[#This Row],[text]],CHAR(10)," "))," ",""))</f>
        <v>303</v>
      </c>
      <c r="O237" t="s">
        <v>197</v>
      </c>
      <c r="P237" t="s">
        <v>1017</v>
      </c>
    </row>
    <row r="238" spans="1:16" x14ac:dyDescent="0.4">
      <c r="A238">
        <f t="shared" si="3"/>
        <v>34</v>
      </c>
      <c r="B238" t="s">
        <v>1012</v>
      </c>
      <c r="C238" t="s">
        <v>1013</v>
      </c>
      <c r="D238" t="s">
        <v>192</v>
      </c>
      <c r="E238" t="s">
        <v>611</v>
      </c>
      <c r="F238" t="s">
        <v>643</v>
      </c>
      <c r="G238" t="s">
        <v>644</v>
      </c>
      <c r="H238" t="s">
        <v>645</v>
      </c>
      <c r="I238" t="s">
        <v>201</v>
      </c>
      <c r="J238" t="s">
        <v>175</v>
      </c>
      <c r="K238" s="30">
        <v>43032</v>
      </c>
      <c r="L238" s="8">
        <v>43028.861886574072</v>
      </c>
      <c r="M238" s="21">
        <f>LEN(ProjTextTable[[#This Row],[text]])</f>
        <v>2634</v>
      </c>
      <c r="N238" s="21">
        <f>LEN(TRIM(CLEAN(SUBSTITUTE(ProjTextTable[[#This Row],[text]],CHAR(10)," "))))+1 - LEN(SUBSTITUTE(CLEAN(SUBSTITUTE(ProjTextTable[[#This Row],[text]],CHAR(10)," "))," ",""))</f>
        <v>405</v>
      </c>
      <c r="O238" t="s">
        <v>193</v>
      </c>
      <c r="P238" t="s">
        <v>1018</v>
      </c>
    </row>
    <row r="239" spans="1:16" x14ac:dyDescent="0.4">
      <c r="A239">
        <f t="shared" si="3"/>
        <v>34</v>
      </c>
      <c r="B239" t="s">
        <v>1012</v>
      </c>
      <c r="C239" t="s">
        <v>1013</v>
      </c>
      <c r="D239" t="s">
        <v>192</v>
      </c>
      <c r="E239" t="s">
        <v>611</v>
      </c>
      <c r="F239" t="s">
        <v>692</v>
      </c>
      <c r="G239" t="s">
        <v>693</v>
      </c>
      <c r="H239" t="s">
        <v>694</v>
      </c>
      <c r="I239" t="s">
        <v>201</v>
      </c>
      <c r="J239" t="s">
        <v>175</v>
      </c>
      <c r="K239" s="30">
        <v>43032</v>
      </c>
      <c r="L239" s="8">
        <v>43027.634618055556</v>
      </c>
      <c r="M239" s="21">
        <f>LEN(ProjTextTable[[#This Row],[text]])</f>
        <v>2484</v>
      </c>
      <c r="N239" s="21">
        <f>LEN(TRIM(CLEAN(SUBSTITUTE(ProjTextTable[[#This Row],[text]],CHAR(10)," "))))+1 - LEN(SUBSTITUTE(CLEAN(SUBSTITUTE(ProjTextTable[[#This Row],[text]],CHAR(10)," "))," ",""))</f>
        <v>378</v>
      </c>
      <c r="O239" t="s">
        <v>196</v>
      </c>
      <c r="P239" t="s">
        <v>1019</v>
      </c>
    </row>
    <row r="240" spans="1:16" x14ac:dyDescent="0.4">
      <c r="A240">
        <f t="shared" si="3"/>
        <v>34</v>
      </c>
      <c r="B240" t="s">
        <v>1012</v>
      </c>
      <c r="C240" t="s">
        <v>1013</v>
      </c>
      <c r="D240" t="s">
        <v>194</v>
      </c>
      <c r="E240" t="s">
        <v>604</v>
      </c>
      <c r="F240" t="s">
        <v>13</v>
      </c>
      <c r="G240" t="s">
        <v>13</v>
      </c>
      <c r="H240" t="s">
        <v>13</v>
      </c>
      <c r="K240" s="30"/>
      <c r="L240" s="8">
        <v>42936.044953703706</v>
      </c>
      <c r="M240" s="21">
        <f>LEN(ProjTextTable[[#This Row],[text]])</f>
        <v>3898</v>
      </c>
      <c r="N240" s="21">
        <f>LEN(TRIM(CLEAN(SUBSTITUTE(ProjTextTable[[#This Row],[text]],CHAR(10)," "))))+1 - LEN(SUBSTITUTE(CLEAN(SUBSTITUTE(ProjTextTable[[#This Row],[text]],CHAR(10)," "))," ",""))</f>
        <v>569</v>
      </c>
      <c r="O240" t="s">
        <v>13</v>
      </c>
      <c r="P240" t="s">
        <v>1020</v>
      </c>
    </row>
    <row r="241" spans="1:16" x14ac:dyDescent="0.4">
      <c r="A241">
        <f t="shared" si="3"/>
        <v>35</v>
      </c>
      <c r="B241" t="s">
        <v>1021</v>
      </c>
      <c r="C241" t="s">
        <v>1022</v>
      </c>
      <c r="D241" t="s">
        <v>533</v>
      </c>
      <c r="E241" t="s">
        <v>611</v>
      </c>
      <c r="F241" t="s">
        <v>714</v>
      </c>
      <c r="G241" t="s">
        <v>715</v>
      </c>
      <c r="H241" t="s">
        <v>541</v>
      </c>
      <c r="I241" t="s">
        <v>536</v>
      </c>
      <c r="J241" t="s">
        <v>877</v>
      </c>
      <c r="K241" s="30">
        <v>43059</v>
      </c>
      <c r="L241" s="8">
        <v>43060.626122685186</v>
      </c>
      <c r="M241" s="21">
        <f>LEN(ProjTextTable[[#This Row],[text]])</f>
        <v>2566</v>
      </c>
      <c r="N241" s="21">
        <f>LEN(TRIM(CLEAN(SUBSTITUTE(ProjTextTable[[#This Row],[text]],CHAR(10)," "))))+1 - LEN(SUBSTITUTE(CLEAN(SUBSTITUTE(ProjTextTable[[#This Row],[text]],CHAR(10)," "))," ",""))</f>
        <v>369</v>
      </c>
      <c r="O241" t="s">
        <v>542</v>
      </c>
      <c r="P241" t="s">
        <v>1023</v>
      </c>
    </row>
    <row r="242" spans="1:16" x14ac:dyDescent="0.4">
      <c r="A242">
        <f t="shared" si="3"/>
        <v>35</v>
      </c>
      <c r="B242" t="s">
        <v>1021</v>
      </c>
      <c r="C242" t="s">
        <v>1022</v>
      </c>
      <c r="D242" t="s">
        <v>2</v>
      </c>
      <c r="E242" t="s">
        <v>611</v>
      </c>
      <c r="F242" t="s">
        <v>13</v>
      </c>
      <c r="G242" t="s">
        <v>609</v>
      </c>
      <c r="H242" t="s">
        <v>13</v>
      </c>
      <c r="I242" t="s">
        <v>13</v>
      </c>
      <c r="K242" s="30"/>
      <c r="L242" s="8">
        <v>43082.663263888891</v>
      </c>
      <c r="M242" s="21">
        <f>LEN(ProjTextTable[[#This Row],[text]])</f>
        <v>1970</v>
      </c>
      <c r="N242" s="21">
        <f>LEN(TRIM(CLEAN(SUBSTITUTE(ProjTextTable[[#This Row],[text]],CHAR(10)," "))))+1 - LEN(SUBSTITUTE(CLEAN(SUBSTITUTE(ProjTextTable[[#This Row],[text]],CHAR(10)," "))," ",""))</f>
        <v>289</v>
      </c>
      <c r="O242" t="s">
        <v>13</v>
      </c>
      <c r="P242" t="s">
        <v>1024</v>
      </c>
    </row>
    <row r="243" spans="1:16" x14ac:dyDescent="0.4">
      <c r="A243">
        <f t="shared" si="3"/>
        <v>35</v>
      </c>
      <c r="B243" t="s">
        <v>1021</v>
      </c>
      <c r="C243" t="s">
        <v>1022</v>
      </c>
      <c r="D243" t="s">
        <v>192</v>
      </c>
      <c r="E243" t="s">
        <v>611</v>
      </c>
      <c r="F243" t="s">
        <v>745</v>
      </c>
      <c r="G243" t="s">
        <v>746</v>
      </c>
      <c r="H243" t="s">
        <v>747</v>
      </c>
      <c r="I243" t="s">
        <v>201</v>
      </c>
      <c r="J243" t="s">
        <v>175</v>
      </c>
      <c r="K243" s="30">
        <v>43060</v>
      </c>
      <c r="L243" s="8">
        <v>43055.992812500001</v>
      </c>
      <c r="M243" s="21">
        <f>LEN(ProjTextTable[[#This Row],[text]])</f>
        <v>1959</v>
      </c>
      <c r="N243" s="21">
        <f>LEN(TRIM(CLEAN(SUBSTITUTE(ProjTextTable[[#This Row],[text]],CHAR(10)," "))))+1 - LEN(SUBSTITUTE(CLEAN(SUBSTITUTE(ProjTextTable[[#This Row],[text]],CHAR(10)," "))," ",""))</f>
        <v>275</v>
      </c>
      <c r="O243" t="s">
        <v>197</v>
      </c>
      <c r="P243" t="s">
        <v>1025</v>
      </c>
    </row>
    <row r="244" spans="1:16" x14ac:dyDescent="0.4">
      <c r="A244">
        <f t="shared" si="3"/>
        <v>35</v>
      </c>
      <c r="B244" t="s">
        <v>1021</v>
      </c>
      <c r="C244" t="s">
        <v>1022</v>
      </c>
      <c r="D244" t="s">
        <v>192</v>
      </c>
      <c r="E244" t="s">
        <v>611</v>
      </c>
      <c r="F244" t="s">
        <v>749</v>
      </c>
      <c r="G244" t="s">
        <v>750</v>
      </c>
      <c r="H244" t="s">
        <v>751</v>
      </c>
      <c r="I244" t="s">
        <v>201</v>
      </c>
      <c r="J244" t="s">
        <v>175</v>
      </c>
      <c r="K244" s="30">
        <v>43060</v>
      </c>
      <c r="L244" s="8">
        <v>43059.228263888886</v>
      </c>
      <c r="M244" s="21">
        <f>LEN(ProjTextTable[[#This Row],[text]])</f>
        <v>1799</v>
      </c>
      <c r="N244" s="21">
        <f>LEN(TRIM(CLEAN(SUBSTITUTE(ProjTextTable[[#This Row],[text]],CHAR(10)," "))))+1 - LEN(SUBSTITUTE(CLEAN(SUBSTITUTE(ProjTextTable[[#This Row],[text]],CHAR(10)," "))," ",""))</f>
        <v>263</v>
      </c>
      <c r="O244" t="s">
        <v>193</v>
      </c>
      <c r="P244" t="s">
        <v>1026</v>
      </c>
    </row>
    <row r="245" spans="1:16" x14ac:dyDescent="0.4">
      <c r="A245">
        <f t="shared" si="3"/>
        <v>35</v>
      </c>
      <c r="B245" t="s">
        <v>1021</v>
      </c>
      <c r="C245" t="s">
        <v>1022</v>
      </c>
      <c r="D245" t="s">
        <v>192</v>
      </c>
      <c r="E245" t="s">
        <v>611</v>
      </c>
      <c r="F245" t="s">
        <v>753</v>
      </c>
      <c r="G245" t="s">
        <v>754</v>
      </c>
      <c r="H245" t="s">
        <v>755</v>
      </c>
      <c r="I245" t="s">
        <v>201</v>
      </c>
      <c r="J245" t="s">
        <v>175</v>
      </c>
      <c r="K245" s="30">
        <v>43060</v>
      </c>
      <c r="L245" s="8">
        <v>43054.567141203705</v>
      </c>
      <c r="M245" s="21">
        <f>LEN(ProjTextTable[[#This Row],[text]])</f>
        <v>2252</v>
      </c>
      <c r="N245" s="21">
        <f>LEN(TRIM(CLEAN(SUBSTITUTE(ProjTextTable[[#This Row],[text]],CHAR(10)," "))))+1 - LEN(SUBSTITUTE(CLEAN(SUBSTITUTE(ProjTextTable[[#This Row],[text]],CHAR(10)," "))," ",""))</f>
        <v>338</v>
      </c>
      <c r="O245" t="s">
        <v>199</v>
      </c>
      <c r="P245" t="s">
        <v>1027</v>
      </c>
    </row>
    <row r="246" spans="1:16" x14ac:dyDescent="0.4">
      <c r="A246">
        <f t="shared" si="3"/>
        <v>35</v>
      </c>
      <c r="B246" t="s">
        <v>1021</v>
      </c>
      <c r="C246" t="s">
        <v>1022</v>
      </c>
      <c r="D246" t="s">
        <v>192</v>
      </c>
      <c r="E246" t="s">
        <v>611</v>
      </c>
      <c r="F246" t="s">
        <v>964</v>
      </c>
      <c r="G246" t="s">
        <v>965</v>
      </c>
      <c r="H246" t="s">
        <v>966</v>
      </c>
      <c r="I246" t="s">
        <v>201</v>
      </c>
      <c r="J246" t="s">
        <v>175</v>
      </c>
      <c r="K246" s="30">
        <v>43060</v>
      </c>
      <c r="L246" s="8">
        <v>43054.537291666667</v>
      </c>
      <c r="M246" s="21">
        <f>LEN(ProjTextTable[[#This Row],[text]])</f>
        <v>2032</v>
      </c>
      <c r="N246" s="21">
        <f>LEN(TRIM(CLEAN(SUBSTITUTE(ProjTextTable[[#This Row],[text]],CHAR(10)," "))))+1 - LEN(SUBSTITUTE(CLEAN(SUBSTITUTE(ProjTextTable[[#This Row],[text]],CHAR(10)," "))," ",""))</f>
        <v>307</v>
      </c>
      <c r="O246" t="s">
        <v>198</v>
      </c>
      <c r="P246" t="s">
        <v>1028</v>
      </c>
    </row>
    <row r="247" spans="1:16" x14ac:dyDescent="0.4">
      <c r="A247">
        <f t="shared" si="3"/>
        <v>35</v>
      </c>
      <c r="B247" t="s">
        <v>1021</v>
      </c>
      <c r="C247" t="s">
        <v>1022</v>
      </c>
      <c r="D247" t="s">
        <v>194</v>
      </c>
      <c r="E247" t="s">
        <v>611</v>
      </c>
      <c r="F247" t="s">
        <v>13</v>
      </c>
      <c r="G247" t="s">
        <v>13</v>
      </c>
      <c r="H247" t="s">
        <v>13</v>
      </c>
      <c r="K247" s="30"/>
      <c r="L247" s="8">
        <v>42936.044953703706</v>
      </c>
      <c r="M247" s="21">
        <f>LEN(ProjTextTable[[#This Row],[text]])</f>
        <v>3405</v>
      </c>
      <c r="N247" s="21">
        <f>LEN(TRIM(CLEAN(SUBSTITUTE(ProjTextTable[[#This Row],[text]],CHAR(10)," "))))+1 - LEN(SUBSTITUTE(CLEAN(SUBSTITUTE(ProjTextTable[[#This Row],[text]],CHAR(10)," "))," ",""))</f>
        <v>481</v>
      </c>
      <c r="O247" t="s">
        <v>13</v>
      </c>
      <c r="P247" t="s">
        <v>1029</v>
      </c>
    </row>
    <row r="248" spans="1:16" x14ac:dyDescent="0.4">
      <c r="A248">
        <f t="shared" si="3"/>
        <v>36</v>
      </c>
      <c r="B248" t="s">
        <v>1030</v>
      </c>
      <c r="C248" t="s">
        <v>1031</v>
      </c>
      <c r="D248" t="s">
        <v>533</v>
      </c>
      <c r="E248" t="s">
        <v>611</v>
      </c>
      <c r="F248" t="s">
        <v>714</v>
      </c>
      <c r="G248" t="s">
        <v>715</v>
      </c>
      <c r="H248" t="s">
        <v>541</v>
      </c>
      <c r="I248" t="s">
        <v>536</v>
      </c>
      <c r="J248" t="s">
        <v>877</v>
      </c>
      <c r="K248" s="30">
        <v>43059</v>
      </c>
      <c r="L248" s="8">
        <v>43060.668020833335</v>
      </c>
      <c r="M248" s="21">
        <f>LEN(ProjTextTable[[#This Row],[text]])</f>
        <v>3123</v>
      </c>
      <c r="N248" s="21">
        <f>LEN(TRIM(CLEAN(SUBSTITUTE(ProjTextTable[[#This Row],[text]],CHAR(10)," "))))+1 - LEN(SUBSTITUTE(CLEAN(SUBSTITUTE(ProjTextTable[[#This Row],[text]],CHAR(10)," "))," ",""))</f>
        <v>476</v>
      </c>
      <c r="O248" t="s">
        <v>542</v>
      </c>
      <c r="P248" t="s">
        <v>1032</v>
      </c>
    </row>
    <row r="249" spans="1:16" x14ac:dyDescent="0.4">
      <c r="A249">
        <f t="shared" si="3"/>
        <v>36</v>
      </c>
      <c r="B249" t="s">
        <v>1030</v>
      </c>
      <c r="C249" t="s">
        <v>1031</v>
      </c>
      <c r="D249" t="s">
        <v>2</v>
      </c>
      <c r="E249" t="s">
        <v>611</v>
      </c>
      <c r="F249" t="s">
        <v>13</v>
      </c>
      <c r="G249" t="s">
        <v>609</v>
      </c>
      <c r="H249" t="s">
        <v>13</v>
      </c>
      <c r="I249" t="s">
        <v>13</v>
      </c>
      <c r="K249" s="30"/>
      <c r="L249" s="8">
        <v>43082.66333333333</v>
      </c>
      <c r="M249" s="21">
        <f>LEN(ProjTextTable[[#This Row],[text]])</f>
        <v>1915</v>
      </c>
      <c r="N249" s="21">
        <f>LEN(TRIM(CLEAN(SUBSTITUTE(ProjTextTable[[#This Row],[text]],CHAR(10)," "))))+1 - LEN(SUBSTITUTE(CLEAN(SUBSTITUTE(ProjTextTable[[#This Row],[text]],CHAR(10)," "))," ",""))</f>
        <v>281</v>
      </c>
      <c r="O249" t="s">
        <v>13</v>
      </c>
      <c r="P249" t="s">
        <v>1033</v>
      </c>
    </row>
    <row r="250" spans="1:16" x14ac:dyDescent="0.4">
      <c r="A250">
        <f t="shared" si="3"/>
        <v>36</v>
      </c>
      <c r="B250" t="s">
        <v>1030</v>
      </c>
      <c r="C250" t="s">
        <v>1031</v>
      </c>
      <c r="D250" t="s">
        <v>192</v>
      </c>
      <c r="E250" t="s">
        <v>611</v>
      </c>
      <c r="F250" t="s">
        <v>799</v>
      </c>
      <c r="G250" t="s">
        <v>800</v>
      </c>
      <c r="H250" t="s">
        <v>801</v>
      </c>
      <c r="I250" t="s">
        <v>201</v>
      </c>
      <c r="J250" t="s">
        <v>175</v>
      </c>
      <c r="K250" s="30">
        <v>43060</v>
      </c>
      <c r="L250" s="8">
        <v>43056.606111111112</v>
      </c>
      <c r="M250" s="21">
        <f>LEN(ProjTextTable[[#This Row],[text]])</f>
        <v>3227</v>
      </c>
      <c r="N250" s="21">
        <f>LEN(TRIM(CLEAN(SUBSTITUTE(ProjTextTable[[#This Row],[text]],CHAR(10)," "))))+1 - LEN(SUBSTITUTE(CLEAN(SUBSTITUTE(ProjTextTable[[#This Row],[text]],CHAR(10)," "))," ",""))</f>
        <v>500</v>
      </c>
      <c r="O250" t="s">
        <v>196</v>
      </c>
      <c r="P250" t="s">
        <v>1034</v>
      </c>
    </row>
    <row r="251" spans="1:16" x14ac:dyDescent="0.4">
      <c r="A251">
        <f t="shared" si="3"/>
        <v>36</v>
      </c>
      <c r="B251" t="s">
        <v>1030</v>
      </c>
      <c r="C251" t="s">
        <v>1031</v>
      </c>
      <c r="D251" t="s">
        <v>192</v>
      </c>
      <c r="E251" t="s">
        <v>611</v>
      </c>
      <c r="F251" t="s">
        <v>749</v>
      </c>
      <c r="G251" t="s">
        <v>750</v>
      </c>
      <c r="H251" t="s">
        <v>751</v>
      </c>
      <c r="I251" t="s">
        <v>201</v>
      </c>
      <c r="J251" t="s">
        <v>175</v>
      </c>
      <c r="K251" s="30">
        <v>43060</v>
      </c>
      <c r="L251" s="8">
        <v>43059.229328703703</v>
      </c>
      <c r="M251" s="21">
        <f>LEN(ProjTextTable[[#This Row],[text]])</f>
        <v>1790</v>
      </c>
      <c r="N251" s="21">
        <f>LEN(TRIM(CLEAN(SUBSTITUTE(ProjTextTable[[#This Row],[text]],CHAR(10)," "))))+1 - LEN(SUBSTITUTE(CLEAN(SUBSTITUTE(ProjTextTable[[#This Row],[text]],CHAR(10)," "))," ",""))</f>
        <v>263</v>
      </c>
      <c r="O251" t="s">
        <v>193</v>
      </c>
      <c r="P251" t="s">
        <v>1035</v>
      </c>
    </row>
    <row r="252" spans="1:16" x14ac:dyDescent="0.4">
      <c r="A252">
        <f t="shared" si="3"/>
        <v>36</v>
      </c>
      <c r="B252" t="s">
        <v>1030</v>
      </c>
      <c r="C252" t="s">
        <v>1031</v>
      </c>
      <c r="D252" t="s">
        <v>192</v>
      </c>
      <c r="E252" t="s">
        <v>611</v>
      </c>
      <c r="F252" t="s">
        <v>757</v>
      </c>
      <c r="G252" t="s">
        <v>758</v>
      </c>
      <c r="H252" t="s">
        <v>759</v>
      </c>
      <c r="I252" t="s">
        <v>201</v>
      </c>
      <c r="J252" t="s">
        <v>175</v>
      </c>
      <c r="K252" s="30">
        <v>43060</v>
      </c>
      <c r="L252" s="8">
        <v>43056.70511574074</v>
      </c>
      <c r="M252" s="21">
        <f>LEN(ProjTextTable[[#This Row],[text]])</f>
        <v>4984</v>
      </c>
      <c r="N252" s="21">
        <f>LEN(TRIM(CLEAN(SUBSTITUTE(ProjTextTable[[#This Row],[text]],CHAR(10)," "))))+1 - LEN(SUBSTITUTE(CLEAN(SUBSTITUTE(ProjTextTable[[#This Row],[text]],CHAR(10)," "))," ",""))</f>
        <v>780</v>
      </c>
      <c r="O252" t="s">
        <v>196</v>
      </c>
      <c r="P252" t="s">
        <v>1036</v>
      </c>
    </row>
    <row r="253" spans="1:16" x14ac:dyDescent="0.4">
      <c r="A253">
        <f t="shared" si="3"/>
        <v>36</v>
      </c>
      <c r="B253" t="s">
        <v>1030</v>
      </c>
      <c r="C253" t="s">
        <v>1031</v>
      </c>
      <c r="D253" t="s">
        <v>192</v>
      </c>
      <c r="E253" t="s">
        <v>611</v>
      </c>
      <c r="F253" t="s">
        <v>891</v>
      </c>
      <c r="G253" t="s">
        <v>892</v>
      </c>
      <c r="H253" t="s">
        <v>893</v>
      </c>
      <c r="I253" t="s">
        <v>201</v>
      </c>
      <c r="J253" t="s">
        <v>175</v>
      </c>
      <c r="K253" s="30">
        <v>43060</v>
      </c>
      <c r="L253" s="8">
        <v>43058.695891203701</v>
      </c>
      <c r="M253" s="21">
        <f>LEN(ProjTextTable[[#This Row],[text]])</f>
        <v>5217</v>
      </c>
      <c r="N253" s="21">
        <f>LEN(TRIM(CLEAN(SUBSTITUTE(ProjTextTable[[#This Row],[text]],CHAR(10)," "))))+1 - LEN(SUBSTITUTE(CLEAN(SUBSTITUTE(ProjTextTable[[#This Row],[text]],CHAR(10)," "))," ",""))</f>
        <v>834</v>
      </c>
      <c r="O253" t="s">
        <v>196</v>
      </c>
      <c r="P253" t="s">
        <v>1037</v>
      </c>
    </row>
    <row r="254" spans="1:16" x14ac:dyDescent="0.4">
      <c r="A254">
        <f t="shared" si="3"/>
        <v>36</v>
      </c>
      <c r="B254" t="s">
        <v>1030</v>
      </c>
      <c r="C254" t="s">
        <v>1031</v>
      </c>
      <c r="D254" t="s">
        <v>194</v>
      </c>
      <c r="E254" t="s">
        <v>611</v>
      </c>
      <c r="F254" t="s">
        <v>13</v>
      </c>
      <c r="G254" t="s">
        <v>13</v>
      </c>
      <c r="H254" t="s">
        <v>13</v>
      </c>
      <c r="K254" s="30"/>
      <c r="L254" s="8">
        <v>42936.045023148145</v>
      </c>
      <c r="M254" s="21">
        <f>LEN(ProjTextTable[[#This Row],[text]])</f>
        <v>3999</v>
      </c>
      <c r="N254" s="21">
        <f>LEN(TRIM(CLEAN(SUBSTITUTE(ProjTextTable[[#This Row],[text]],CHAR(10)," "))))+1 - LEN(SUBSTITUTE(CLEAN(SUBSTITUTE(ProjTextTable[[#This Row],[text]],CHAR(10)," "))," ",""))</f>
        <v>590</v>
      </c>
      <c r="O254" t="s">
        <v>13</v>
      </c>
      <c r="P254" t="s">
        <v>1038</v>
      </c>
    </row>
    <row r="255" spans="1:16" x14ac:dyDescent="0.4">
      <c r="A255">
        <f t="shared" si="3"/>
        <v>37</v>
      </c>
      <c r="B255" t="s">
        <v>1039</v>
      </c>
      <c r="C255" t="s">
        <v>1040</v>
      </c>
      <c r="D255" t="s">
        <v>533</v>
      </c>
      <c r="E255" t="s">
        <v>604</v>
      </c>
      <c r="F255" t="s">
        <v>605</v>
      </c>
      <c r="G255" t="s">
        <v>606</v>
      </c>
      <c r="H255" t="s">
        <v>539</v>
      </c>
      <c r="I255" t="s">
        <v>535</v>
      </c>
      <c r="J255" t="s">
        <v>1041</v>
      </c>
      <c r="K255" s="30">
        <v>43031</v>
      </c>
      <c r="L255" s="8">
        <v>43032.495509259257</v>
      </c>
      <c r="M255" s="21">
        <f>LEN(ProjTextTable[[#This Row],[text]])</f>
        <v>2478</v>
      </c>
      <c r="N255" s="21">
        <f>LEN(TRIM(CLEAN(SUBSTITUTE(ProjTextTable[[#This Row],[text]],CHAR(10)," "))))+1 - LEN(SUBSTITUTE(CLEAN(SUBSTITUTE(ProjTextTable[[#This Row],[text]],CHAR(10)," "))," ",""))</f>
        <v>352</v>
      </c>
      <c r="O255" t="s">
        <v>540</v>
      </c>
      <c r="P255" t="s">
        <v>1042</v>
      </c>
    </row>
    <row r="256" spans="1:16" x14ac:dyDescent="0.4">
      <c r="A256">
        <f t="shared" si="3"/>
        <v>37</v>
      </c>
      <c r="B256" t="s">
        <v>1039</v>
      </c>
      <c r="C256" t="s">
        <v>1040</v>
      </c>
      <c r="D256" t="s">
        <v>192</v>
      </c>
      <c r="E256" t="s">
        <v>611</v>
      </c>
      <c r="F256" t="s">
        <v>635</v>
      </c>
      <c r="G256" t="s">
        <v>636</v>
      </c>
      <c r="H256" t="s">
        <v>637</v>
      </c>
      <c r="I256" t="s">
        <v>201</v>
      </c>
      <c r="J256" t="s">
        <v>175</v>
      </c>
      <c r="K256" s="30">
        <v>43032</v>
      </c>
      <c r="L256" s="8">
        <v>43031.392627314817</v>
      </c>
      <c r="M256" s="21">
        <f>LEN(ProjTextTable[[#This Row],[text]])</f>
        <v>2470</v>
      </c>
      <c r="N256" s="21">
        <f>LEN(TRIM(CLEAN(SUBSTITUTE(ProjTextTable[[#This Row],[text]],CHAR(10)," "))))+1 - LEN(SUBSTITUTE(CLEAN(SUBSTITUTE(ProjTextTable[[#This Row],[text]],CHAR(10)," "))," ",""))</f>
        <v>379</v>
      </c>
      <c r="O256" t="s">
        <v>196</v>
      </c>
      <c r="P256" t="s">
        <v>1043</v>
      </c>
    </row>
    <row r="257" spans="1:16" x14ac:dyDescent="0.4">
      <c r="A257">
        <f t="shared" si="3"/>
        <v>37</v>
      </c>
      <c r="B257" t="s">
        <v>1039</v>
      </c>
      <c r="C257" t="s">
        <v>1040</v>
      </c>
      <c r="D257" t="s">
        <v>192</v>
      </c>
      <c r="E257" t="s">
        <v>611</v>
      </c>
      <c r="F257" t="s">
        <v>643</v>
      </c>
      <c r="G257" t="s">
        <v>644</v>
      </c>
      <c r="H257" t="s">
        <v>645</v>
      </c>
      <c r="I257" t="s">
        <v>201</v>
      </c>
      <c r="J257" t="s">
        <v>175</v>
      </c>
      <c r="K257" s="30">
        <v>43032</v>
      </c>
      <c r="L257" s="8">
        <v>43028.861886574072</v>
      </c>
      <c r="M257" s="21">
        <f>LEN(ProjTextTable[[#This Row],[text]])</f>
        <v>1850</v>
      </c>
      <c r="N257" s="21">
        <f>LEN(TRIM(CLEAN(SUBSTITUTE(ProjTextTable[[#This Row],[text]],CHAR(10)," "))))+1 - LEN(SUBSTITUTE(CLEAN(SUBSTITUTE(ProjTextTable[[#This Row],[text]],CHAR(10)," "))," ",""))</f>
        <v>275</v>
      </c>
      <c r="O257" t="s">
        <v>193</v>
      </c>
      <c r="P257" t="s">
        <v>1044</v>
      </c>
    </row>
    <row r="258" spans="1:16" x14ac:dyDescent="0.4">
      <c r="A258">
        <f t="shared" ref="A258:A321" si="4">A257+(B258&lt;&gt;B257)</f>
        <v>37</v>
      </c>
      <c r="B258" t="s">
        <v>1039</v>
      </c>
      <c r="C258" t="s">
        <v>1040</v>
      </c>
      <c r="D258" t="s">
        <v>192</v>
      </c>
      <c r="E258" t="s">
        <v>611</v>
      </c>
      <c r="F258" t="s">
        <v>621</v>
      </c>
      <c r="G258" t="s">
        <v>622</v>
      </c>
      <c r="H258" t="s">
        <v>623</v>
      </c>
      <c r="I258" t="s">
        <v>201</v>
      </c>
      <c r="J258" t="s">
        <v>175</v>
      </c>
      <c r="K258" s="30">
        <v>43032</v>
      </c>
      <c r="L258" s="8">
        <v>43030.850983796299</v>
      </c>
      <c r="M258" s="21">
        <f>LEN(ProjTextTable[[#This Row],[text]])</f>
        <v>2602</v>
      </c>
      <c r="N258" s="21">
        <f>LEN(TRIM(CLEAN(SUBSTITUTE(ProjTextTable[[#This Row],[text]],CHAR(10)," "))))+1 - LEN(SUBSTITUTE(CLEAN(SUBSTITUTE(ProjTextTable[[#This Row],[text]],CHAR(10)," "))," ",""))</f>
        <v>415</v>
      </c>
      <c r="O258" t="s">
        <v>196</v>
      </c>
      <c r="P258" t="s">
        <v>1045</v>
      </c>
    </row>
    <row r="259" spans="1:16" x14ac:dyDescent="0.4">
      <c r="A259">
        <f t="shared" si="4"/>
        <v>37</v>
      </c>
      <c r="B259" t="s">
        <v>1039</v>
      </c>
      <c r="C259" t="s">
        <v>1040</v>
      </c>
      <c r="D259" t="s">
        <v>192</v>
      </c>
      <c r="E259" t="s">
        <v>604</v>
      </c>
      <c r="F259" t="s">
        <v>625</v>
      </c>
      <c r="G259" t="s">
        <v>626</v>
      </c>
      <c r="H259" t="s">
        <v>627</v>
      </c>
      <c r="I259" t="s">
        <v>201</v>
      </c>
      <c r="J259" t="s">
        <v>175</v>
      </c>
      <c r="K259" s="30">
        <v>43032</v>
      </c>
      <c r="L259" s="8">
        <v>43025.587372685186</v>
      </c>
      <c r="M259" s="21">
        <f>LEN(ProjTextTable[[#This Row],[text]])</f>
        <v>2719</v>
      </c>
      <c r="N259" s="21">
        <f>LEN(TRIM(CLEAN(SUBSTITUTE(ProjTextTable[[#This Row],[text]],CHAR(10)," "))))+1 - LEN(SUBSTITUTE(CLEAN(SUBSTITUTE(ProjTextTable[[#This Row],[text]],CHAR(10)," "))," ",""))</f>
        <v>400</v>
      </c>
      <c r="O259" t="s">
        <v>196</v>
      </c>
      <c r="P259" t="s">
        <v>1046</v>
      </c>
    </row>
    <row r="260" spans="1:16" x14ac:dyDescent="0.4">
      <c r="A260">
        <f t="shared" si="4"/>
        <v>37</v>
      </c>
      <c r="B260" t="s">
        <v>1039</v>
      </c>
      <c r="C260" t="s">
        <v>1040</v>
      </c>
      <c r="D260" t="s">
        <v>194</v>
      </c>
      <c r="E260" t="s">
        <v>604</v>
      </c>
      <c r="F260" t="s">
        <v>13</v>
      </c>
      <c r="G260" t="s">
        <v>13</v>
      </c>
      <c r="H260" t="s">
        <v>13</v>
      </c>
      <c r="K260" s="30"/>
      <c r="L260" s="8">
        <v>42936.045092592591</v>
      </c>
      <c r="M260" s="21">
        <f>LEN(ProjTextTable[[#This Row],[text]])</f>
        <v>3926</v>
      </c>
      <c r="N260" s="21">
        <f>LEN(TRIM(CLEAN(SUBSTITUTE(ProjTextTable[[#This Row],[text]],CHAR(10)," "))))+1 - LEN(SUBSTITUTE(CLEAN(SUBSTITUTE(ProjTextTable[[#This Row],[text]],CHAR(10)," "))," ",""))</f>
        <v>557</v>
      </c>
      <c r="O260" t="s">
        <v>13</v>
      </c>
      <c r="P260" t="s">
        <v>1047</v>
      </c>
    </row>
    <row r="261" spans="1:16" x14ac:dyDescent="0.4">
      <c r="A261">
        <f t="shared" si="4"/>
        <v>38</v>
      </c>
      <c r="B261" t="s">
        <v>1048</v>
      </c>
      <c r="C261" t="s">
        <v>1049</v>
      </c>
      <c r="D261" t="s">
        <v>533</v>
      </c>
      <c r="E261" t="s">
        <v>604</v>
      </c>
      <c r="F261" t="s">
        <v>605</v>
      </c>
      <c r="G261" t="s">
        <v>606</v>
      </c>
      <c r="H261" t="s">
        <v>539</v>
      </c>
      <c r="I261" t="s">
        <v>535</v>
      </c>
      <c r="J261" t="s">
        <v>355</v>
      </c>
      <c r="K261" s="30">
        <v>43031</v>
      </c>
      <c r="L261" s="8">
        <v>43032.689050925925</v>
      </c>
      <c r="M261" s="21">
        <f>LEN(ProjTextTable[[#This Row],[text]])</f>
        <v>2977</v>
      </c>
      <c r="N261" s="21">
        <f>LEN(TRIM(CLEAN(SUBSTITUTE(ProjTextTable[[#This Row],[text]],CHAR(10)," "))))+1 - LEN(SUBSTITUTE(CLEAN(SUBSTITUTE(ProjTextTable[[#This Row],[text]],CHAR(10)," "))," ",""))</f>
        <v>443</v>
      </c>
      <c r="O261" t="s">
        <v>540</v>
      </c>
      <c r="P261" t="s">
        <v>1050</v>
      </c>
    </row>
    <row r="262" spans="1:16" x14ac:dyDescent="0.4">
      <c r="A262">
        <f t="shared" si="4"/>
        <v>38</v>
      </c>
      <c r="B262" t="s">
        <v>1048</v>
      </c>
      <c r="C262" t="s">
        <v>1049</v>
      </c>
      <c r="D262" t="s">
        <v>192</v>
      </c>
      <c r="E262" t="s">
        <v>611</v>
      </c>
      <c r="F262" t="s">
        <v>635</v>
      </c>
      <c r="G262" t="s">
        <v>636</v>
      </c>
      <c r="H262" t="s">
        <v>637</v>
      </c>
      <c r="I262" t="s">
        <v>201</v>
      </c>
      <c r="J262" t="s">
        <v>175</v>
      </c>
      <c r="K262" s="30">
        <v>43032</v>
      </c>
      <c r="L262" s="8">
        <v>43025.598553240743</v>
      </c>
      <c r="M262" s="21">
        <f>LEN(ProjTextTable[[#This Row],[text]])</f>
        <v>2780</v>
      </c>
      <c r="N262" s="21">
        <f>LEN(TRIM(CLEAN(SUBSTITUTE(ProjTextTable[[#This Row],[text]],CHAR(10)," "))))+1 - LEN(SUBSTITUTE(CLEAN(SUBSTITUTE(ProjTextTable[[#This Row],[text]],CHAR(10)," "))," ",""))</f>
        <v>439</v>
      </c>
      <c r="O262" t="s">
        <v>196</v>
      </c>
      <c r="P262" t="s">
        <v>1051</v>
      </c>
    </row>
    <row r="263" spans="1:16" x14ac:dyDescent="0.4">
      <c r="A263">
        <f t="shared" si="4"/>
        <v>38</v>
      </c>
      <c r="B263" t="s">
        <v>1048</v>
      </c>
      <c r="C263" t="s">
        <v>1049</v>
      </c>
      <c r="D263" t="s">
        <v>192</v>
      </c>
      <c r="E263" t="s">
        <v>604</v>
      </c>
      <c r="F263" t="s">
        <v>639</v>
      </c>
      <c r="G263" t="s">
        <v>640</v>
      </c>
      <c r="H263" t="s">
        <v>641</v>
      </c>
      <c r="I263" t="s">
        <v>201</v>
      </c>
      <c r="J263" t="s">
        <v>175</v>
      </c>
      <c r="K263" s="30">
        <v>43032</v>
      </c>
      <c r="L263" s="8">
        <v>43030.184629629628</v>
      </c>
      <c r="M263" s="21">
        <f>LEN(ProjTextTable[[#This Row],[text]])</f>
        <v>2052</v>
      </c>
      <c r="N263" s="21">
        <f>LEN(TRIM(CLEAN(SUBSTITUTE(ProjTextTable[[#This Row],[text]],CHAR(10)," "))))+1 - LEN(SUBSTITUTE(CLEAN(SUBSTITUTE(ProjTextTable[[#This Row],[text]],CHAR(10)," "))," ",""))</f>
        <v>300</v>
      </c>
      <c r="O263" t="s">
        <v>196</v>
      </c>
      <c r="P263" t="s">
        <v>1052</v>
      </c>
    </row>
    <row r="264" spans="1:16" x14ac:dyDescent="0.4">
      <c r="A264">
        <f t="shared" si="4"/>
        <v>38</v>
      </c>
      <c r="B264" t="s">
        <v>1048</v>
      </c>
      <c r="C264" t="s">
        <v>1049</v>
      </c>
      <c r="D264" t="s">
        <v>192</v>
      </c>
      <c r="E264" t="s">
        <v>611</v>
      </c>
      <c r="F264" t="s">
        <v>692</v>
      </c>
      <c r="G264" t="s">
        <v>693</v>
      </c>
      <c r="H264" t="s">
        <v>694</v>
      </c>
      <c r="I264" t="s">
        <v>201</v>
      </c>
      <c r="J264" t="s">
        <v>175</v>
      </c>
      <c r="K264" s="30">
        <v>43032</v>
      </c>
      <c r="L264" s="8">
        <v>43028.388240740744</v>
      </c>
      <c r="M264" s="21">
        <f>LEN(ProjTextTable[[#This Row],[text]])</f>
        <v>2314</v>
      </c>
      <c r="N264" s="21">
        <f>LEN(TRIM(CLEAN(SUBSTITUTE(ProjTextTable[[#This Row],[text]],CHAR(10)," "))))+1 - LEN(SUBSTITUTE(CLEAN(SUBSTITUTE(ProjTextTable[[#This Row],[text]],CHAR(10)," "))," ",""))</f>
        <v>355</v>
      </c>
      <c r="O264" t="s">
        <v>198</v>
      </c>
      <c r="P264" t="s">
        <v>1053</v>
      </c>
    </row>
    <row r="265" spans="1:16" x14ac:dyDescent="0.4">
      <c r="A265">
        <f t="shared" si="4"/>
        <v>38</v>
      </c>
      <c r="B265" t="s">
        <v>1048</v>
      </c>
      <c r="C265" t="s">
        <v>1049</v>
      </c>
      <c r="D265" t="s">
        <v>192</v>
      </c>
      <c r="E265" t="s">
        <v>611</v>
      </c>
      <c r="F265" t="s">
        <v>697</v>
      </c>
      <c r="G265" t="s">
        <v>698</v>
      </c>
      <c r="H265" t="s">
        <v>699</v>
      </c>
      <c r="I265" t="s">
        <v>201</v>
      </c>
      <c r="J265" t="s">
        <v>175</v>
      </c>
      <c r="K265" s="30">
        <v>43032</v>
      </c>
      <c r="L265" s="8">
        <v>43031.690868055557</v>
      </c>
      <c r="M265" s="21">
        <f>LEN(ProjTextTable[[#This Row],[text]])</f>
        <v>3778</v>
      </c>
      <c r="N265" s="21">
        <f>LEN(TRIM(CLEAN(SUBSTITUTE(ProjTextTable[[#This Row],[text]],CHAR(10)," "))))+1 - LEN(SUBSTITUTE(CLEAN(SUBSTITUTE(ProjTextTable[[#This Row],[text]],CHAR(10)," "))," ",""))</f>
        <v>593</v>
      </c>
      <c r="O265" t="s">
        <v>196</v>
      </c>
      <c r="P265" t="s">
        <v>1054</v>
      </c>
    </row>
    <row r="266" spans="1:16" x14ac:dyDescent="0.4">
      <c r="A266">
        <f t="shared" si="4"/>
        <v>38</v>
      </c>
      <c r="B266" t="s">
        <v>1048</v>
      </c>
      <c r="C266" t="s">
        <v>1049</v>
      </c>
      <c r="D266" t="s">
        <v>194</v>
      </c>
      <c r="E266" t="s">
        <v>604</v>
      </c>
      <c r="F266" t="s">
        <v>13</v>
      </c>
      <c r="G266" t="s">
        <v>13</v>
      </c>
      <c r="H266" t="s">
        <v>13</v>
      </c>
      <c r="K266" s="30"/>
      <c r="L266" s="8">
        <v>42936.045185185183</v>
      </c>
      <c r="M266" s="21">
        <f>LEN(ProjTextTable[[#This Row],[text]])</f>
        <v>2855</v>
      </c>
      <c r="N266" s="21">
        <f>LEN(TRIM(CLEAN(SUBSTITUTE(ProjTextTable[[#This Row],[text]],CHAR(10)," "))))+1 - LEN(SUBSTITUTE(CLEAN(SUBSTITUTE(ProjTextTable[[#This Row],[text]],CHAR(10)," "))," ",""))</f>
        <v>407</v>
      </c>
      <c r="O266" t="s">
        <v>13</v>
      </c>
      <c r="P266" t="s">
        <v>1055</v>
      </c>
    </row>
    <row r="267" spans="1:16" x14ac:dyDescent="0.4">
      <c r="A267">
        <f t="shared" si="4"/>
        <v>39</v>
      </c>
      <c r="B267" t="s">
        <v>1056</v>
      </c>
      <c r="C267" t="s">
        <v>1057</v>
      </c>
      <c r="D267" t="s">
        <v>533</v>
      </c>
      <c r="E267" t="s">
        <v>654</v>
      </c>
      <c r="F267" t="s">
        <v>714</v>
      </c>
      <c r="G267" t="s">
        <v>715</v>
      </c>
      <c r="H267" t="s">
        <v>539</v>
      </c>
      <c r="I267" t="s">
        <v>535</v>
      </c>
      <c r="J267" t="s">
        <v>355</v>
      </c>
      <c r="K267" s="30">
        <v>43059</v>
      </c>
      <c r="L267" s="8">
        <v>43060.630347222221</v>
      </c>
      <c r="M267" s="21">
        <f>LEN(ProjTextTable[[#This Row],[text]])</f>
        <v>4888</v>
      </c>
      <c r="N267" s="21">
        <f>LEN(TRIM(CLEAN(SUBSTITUTE(ProjTextTable[[#This Row],[text]],CHAR(10)," "))))+1 - LEN(SUBSTITUTE(CLEAN(SUBSTITUTE(ProjTextTable[[#This Row],[text]],CHAR(10)," "))," ",""))</f>
        <v>721</v>
      </c>
      <c r="O267" t="s">
        <v>540</v>
      </c>
      <c r="P267" t="s">
        <v>1058</v>
      </c>
    </row>
    <row r="268" spans="1:16" x14ac:dyDescent="0.4">
      <c r="A268">
        <f t="shared" si="4"/>
        <v>39</v>
      </c>
      <c r="B268" t="s">
        <v>1056</v>
      </c>
      <c r="C268" t="s">
        <v>1057</v>
      </c>
      <c r="D268" t="s">
        <v>192</v>
      </c>
      <c r="E268" t="s">
        <v>611</v>
      </c>
      <c r="F268" t="s">
        <v>749</v>
      </c>
      <c r="G268" t="s">
        <v>750</v>
      </c>
      <c r="H268" t="s">
        <v>751</v>
      </c>
      <c r="I268" t="s">
        <v>201</v>
      </c>
      <c r="J268" t="s">
        <v>175</v>
      </c>
      <c r="K268" s="30">
        <v>43060</v>
      </c>
      <c r="L268" s="8">
        <v>43059.230451388888</v>
      </c>
      <c r="M268" s="21">
        <f>LEN(ProjTextTable[[#This Row],[text]])</f>
        <v>1637</v>
      </c>
      <c r="N268" s="21">
        <f>LEN(TRIM(CLEAN(SUBSTITUTE(ProjTextTable[[#This Row],[text]],CHAR(10)," "))))+1 - LEN(SUBSTITUTE(CLEAN(SUBSTITUTE(ProjTextTable[[#This Row],[text]],CHAR(10)," "))," ",""))</f>
        <v>239</v>
      </c>
      <c r="O268" t="s">
        <v>199</v>
      </c>
      <c r="P268" t="s">
        <v>1059</v>
      </c>
    </row>
    <row r="269" spans="1:16" x14ac:dyDescent="0.4">
      <c r="A269">
        <f t="shared" si="4"/>
        <v>39</v>
      </c>
      <c r="B269" t="s">
        <v>1056</v>
      </c>
      <c r="C269" t="s">
        <v>1057</v>
      </c>
      <c r="D269" t="s">
        <v>192</v>
      </c>
      <c r="E269" t="s">
        <v>654</v>
      </c>
      <c r="F269" t="s">
        <v>964</v>
      </c>
      <c r="G269" t="s">
        <v>965</v>
      </c>
      <c r="H269" t="s">
        <v>966</v>
      </c>
      <c r="I269" t="s">
        <v>201</v>
      </c>
      <c r="J269" t="s">
        <v>175</v>
      </c>
      <c r="K269" s="30">
        <v>43060</v>
      </c>
      <c r="L269" s="8">
        <v>43054.528622685182</v>
      </c>
      <c r="M269" s="21">
        <f>LEN(ProjTextTable[[#This Row],[text]])</f>
        <v>2260</v>
      </c>
      <c r="N269" s="21">
        <f>LEN(TRIM(CLEAN(SUBSTITUTE(ProjTextTable[[#This Row],[text]],CHAR(10)," "))))+1 - LEN(SUBSTITUTE(CLEAN(SUBSTITUTE(ProjTextTable[[#This Row],[text]],CHAR(10)," "))," ",""))</f>
        <v>328</v>
      </c>
      <c r="O269" t="s">
        <v>193</v>
      </c>
      <c r="P269" t="s">
        <v>1060</v>
      </c>
    </row>
    <row r="270" spans="1:16" x14ac:dyDescent="0.4">
      <c r="A270">
        <f t="shared" si="4"/>
        <v>39</v>
      </c>
      <c r="B270" t="s">
        <v>1056</v>
      </c>
      <c r="C270" t="s">
        <v>1057</v>
      </c>
      <c r="D270" t="s">
        <v>192</v>
      </c>
      <c r="E270" t="s">
        <v>611</v>
      </c>
      <c r="F270" t="s">
        <v>717</v>
      </c>
      <c r="G270" t="s">
        <v>718</v>
      </c>
      <c r="H270" t="s">
        <v>719</v>
      </c>
      <c r="I270" t="s">
        <v>201</v>
      </c>
      <c r="J270" t="s">
        <v>175</v>
      </c>
      <c r="K270" s="30">
        <v>43060</v>
      </c>
      <c r="L270" s="8">
        <v>43058.869027777779</v>
      </c>
      <c r="M270" s="21">
        <f>LEN(ProjTextTable[[#This Row],[text]])</f>
        <v>3271</v>
      </c>
      <c r="N270" s="21">
        <f>LEN(TRIM(CLEAN(SUBSTITUTE(ProjTextTable[[#This Row],[text]],CHAR(10)," "))))+1 - LEN(SUBSTITUTE(CLEAN(SUBSTITUTE(ProjTextTable[[#This Row],[text]],CHAR(10)," "))," ",""))</f>
        <v>467</v>
      </c>
      <c r="O270" t="s">
        <v>229</v>
      </c>
      <c r="P270" t="s">
        <v>1061</v>
      </c>
    </row>
    <row r="271" spans="1:16" x14ac:dyDescent="0.4">
      <c r="A271">
        <f t="shared" si="4"/>
        <v>39</v>
      </c>
      <c r="B271" t="s">
        <v>1056</v>
      </c>
      <c r="C271" t="s">
        <v>1057</v>
      </c>
      <c r="D271" t="s">
        <v>192</v>
      </c>
      <c r="E271" t="s">
        <v>611</v>
      </c>
      <c r="F271" t="s">
        <v>776</v>
      </c>
      <c r="G271" t="s">
        <v>777</v>
      </c>
      <c r="H271" t="s">
        <v>778</v>
      </c>
      <c r="I271" t="s">
        <v>201</v>
      </c>
      <c r="J271" t="s">
        <v>175</v>
      </c>
      <c r="K271" s="30">
        <v>43060</v>
      </c>
      <c r="L271" s="8">
        <v>43059.013773148145</v>
      </c>
      <c r="M271" s="21">
        <f>LEN(ProjTextTable[[#This Row],[text]])</f>
        <v>1390</v>
      </c>
      <c r="N271" s="21">
        <f>LEN(TRIM(CLEAN(SUBSTITUTE(ProjTextTable[[#This Row],[text]],CHAR(10)," "))))+1 - LEN(SUBSTITUTE(CLEAN(SUBSTITUTE(ProjTextTable[[#This Row],[text]],CHAR(10)," "))," ",""))</f>
        <v>202</v>
      </c>
      <c r="O271" t="s">
        <v>193</v>
      </c>
      <c r="P271" t="s">
        <v>1062</v>
      </c>
    </row>
    <row r="272" spans="1:16" x14ac:dyDescent="0.4">
      <c r="A272">
        <f t="shared" si="4"/>
        <v>39</v>
      </c>
      <c r="B272" t="s">
        <v>1056</v>
      </c>
      <c r="C272" t="s">
        <v>1057</v>
      </c>
      <c r="D272" t="s">
        <v>194</v>
      </c>
      <c r="E272" t="s">
        <v>654</v>
      </c>
      <c r="F272" t="s">
        <v>13</v>
      </c>
      <c r="G272" t="s">
        <v>13</v>
      </c>
      <c r="H272" t="s">
        <v>13</v>
      </c>
      <c r="K272" s="30"/>
      <c r="L272" s="8">
        <v>42936.045300925929</v>
      </c>
      <c r="M272" s="21">
        <f>LEN(ProjTextTable[[#This Row],[text]])</f>
        <v>3037</v>
      </c>
      <c r="N272" s="21">
        <f>LEN(TRIM(CLEAN(SUBSTITUTE(ProjTextTable[[#This Row],[text]],CHAR(10)," "))))+1 - LEN(SUBSTITUTE(CLEAN(SUBSTITUTE(ProjTextTable[[#This Row],[text]],CHAR(10)," "))," ",""))</f>
        <v>442</v>
      </c>
      <c r="O272" t="s">
        <v>13</v>
      </c>
      <c r="P272" t="s">
        <v>1063</v>
      </c>
    </row>
    <row r="273" spans="1:16" x14ac:dyDescent="0.4">
      <c r="A273">
        <f t="shared" si="4"/>
        <v>40</v>
      </c>
      <c r="B273" t="s">
        <v>1064</v>
      </c>
      <c r="C273" t="s">
        <v>1065</v>
      </c>
      <c r="D273" t="s">
        <v>533</v>
      </c>
      <c r="E273" t="s">
        <v>611</v>
      </c>
      <c r="F273" t="s">
        <v>714</v>
      </c>
      <c r="G273" t="s">
        <v>715</v>
      </c>
      <c r="H273" t="s">
        <v>541</v>
      </c>
      <c r="I273" t="s">
        <v>536</v>
      </c>
      <c r="J273" t="s">
        <v>877</v>
      </c>
      <c r="K273" s="30">
        <v>43059</v>
      </c>
      <c r="L273" s="8">
        <v>43060.598935185182</v>
      </c>
      <c r="M273" s="21">
        <f>LEN(ProjTextTable[[#This Row],[text]])</f>
        <v>2400</v>
      </c>
      <c r="N273" s="21">
        <f>LEN(TRIM(CLEAN(SUBSTITUTE(ProjTextTable[[#This Row],[text]],CHAR(10)," "))))+1 - LEN(SUBSTITUTE(CLEAN(SUBSTITUTE(ProjTextTable[[#This Row],[text]],CHAR(10)," "))," ",""))</f>
        <v>348</v>
      </c>
      <c r="O273" t="s">
        <v>542</v>
      </c>
      <c r="P273" t="s">
        <v>1066</v>
      </c>
    </row>
    <row r="274" spans="1:16" x14ac:dyDescent="0.4">
      <c r="A274">
        <f t="shared" si="4"/>
        <v>40</v>
      </c>
      <c r="B274" t="s">
        <v>1064</v>
      </c>
      <c r="C274" t="s">
        <v>1065</v>
      </c>
      <c r="D274" t="s">
        <v>2</v>
      </c>
      <c r="E274" t="s">
        <v>611</v>
      </c>
      <c r="F274" t="s">
        <v>13</v>
      </c>
      <c r="G274" t="s">
        <v>609</v>
      </c>
      <c r="H274" t="s">
        <v>13</v>
      </c>
      <c r="I274" t="s">
        <v>13</v>
      </c>
      <c r="K274" s="30"/>
      <c r="L274" s="8">
        <v>43082.663402777776</v>
      </c>
      <c r="M274" s="21">
        <f>LEN(ProjTextTable[[#This Row],[text]])</f>
        <v>1918</v>
      </c>
      <c r="N274" s="21">
        <f>LEN(TRIM(CLEAN(SUBSTITUTE(ProjTextTable[[#This Row],[text]],CHAR(10)," "))))+1 - LEN(SUBSTITUTE(CLEAN(SUBSTITUTE(ProjTextTable[[#This Row],[text]],CHAR(10)," "))," ",""))</f>
        <v>282</v>
      </c>
      <c r="O274" t="s">
        <v>13</v>
      </c>
      <c r="P274" t="s">
        <v>1067</v>
      </c>
    </row>
    <row r="275" spans="1:16" x14ac:dyDescent="0.4">
      <c r="A275">
        <f t="shared" si="4"/>
        <v>40</v>
      </c>
      <c r="B275" t="s">
        <v>1064</v>
      </c>
      <c r="C275" t="s">
        <v>1065</v>
      </c>
      <c r="D275" t="s">
        <v>192</v>
      </c>
      <c r="E275" t="s">
        <v>611</v>
      </c>
      <c r="F275" t="s">
        <v>745</v>
      </c>
      <c r="G275" t="s">
        <v>746</v>
      </c>
      <c r="H275" t="s">
        <v>747</v>
      </c>
      <c r="I275" t="s">
        <v>201</v>
      </c>
      <c r="J275" t="s">
        <v>175</v>
      </c>
      <c r="K275" s="30">
        <v>43060</v>
      </c>
      <c r="L275" s="8">
        <v>43055.929837962962</v>
      </c>
      <c r="M275" s="21">
        <f>LEN(ProjTextTable[[#This Row],[text]])</f>
        <v>1881</v>
      </c>
      <c r="N275" s="21">
        <f>LEN(TRIM(CLEAN(SUBSTITUTE(ProjTextTable[[#This Row],[text]],CHAR(10)," "))))+1 - LEN(SUBSTITUTE(CLEAN(SUBSTITUTE(ProjTextTable[[#This Row],[text]],CHAR(10)," "))," ",""))</f>
        <v>271</v>
      </c>
      <c r="O275" t="s">
        <v>196</v>
      </c>
      <c r="P275" t="s">
        <v>1068</v>
      </c>
    </row>
    <row r="276" spans="1:16" x14ac:dyDescent="0.4">
      <c r="A276">
        <f t="shared" si="4"/>
        <v>40</v>
      </c>
      <c r="B276" t="s">
        <v>1064</v>
      </c>
      <c r="C276" t="s">
        <v>1065</v>
      </c>
      <c r="D276" t="s">
        <v>192</v>
      </c>
      <c r="E276" t="s">
        <v>611</v>
      </c>
      <c r="F276" t="s">
        <v>776</v>
      </c>
      <c r="G276" t="s">
        <v>777</v>
      </c>
      <c r="H276" t="s">
        <v>778</v>
      </c>
      <c r="I276" t="s">
        <v>201</v>
      </c>
      <c r="J276" t="s">
        <v>175</v>
      </c>
      <c r="K276" s="30">
        <v>43060</v>
      </c>
      <c r="L276" s="8">
        <v>43058.99627314815</v>
      </c>
      <c r="M276" s="21">
        <f>LEN(ProjTextTable[[#This Row],[text]])</f>
        <v>2482</v>
      </c>
      <c r="N276" s="21">
        <f>LEN(TRIM(CLEAN(SUBSTITUTE(ProjTextTable[[#This Row],[text]],CHAR(10)," "))))+1 - LEN(SUBSTITUTE(CLEAN(SUBSTITUTE(ProjTextTable[[#This Row],[text]],CHAR(10)," "))," ",""))</f>
        <v>372</v>
      </c>
      <c r="O276" t="s">
        <v>196</v>
      </c>
      <c r="P276" t="s">
        <v>1069</v>
      </c>
    </row>
    <row r="277" spans="1:16" x14ac:dyDescent="0.4">
      <c r="A277">
        <f t="shared" si="4"/>
        <v>40</v>
      </c>
      <c r="B277" t="s">
        <v>1064</v>
      </c>
      <c r="C277" t="s">
        <v>1065</v>
      </c>
      <c r="D277" t="s">
        <v>192</v>
      </c>
      <c r="E277" t="s">
        <v>611</v>
      </c>
      <c r="F277" t="s">
        <v>891</v>
      </c>
      <c r="G277" t="s">
        <v>892</v>
      </c>
      <c r="H277" t="s">
        <v>893</v>
      </c>
      <c r="I277" t="s">
        <v>201</v>
      </c>
      <c r="J277" t="s">
        <v>175</v>
      </c>
      <c r="K277" s="30">
        <v>43060</v>
      </c>
      <c r="L277" s="8">
        <v>43058.923993055556</v>
      </c>
      <c r="M277" s="21">
        <f>LEN(ProjTextTable[[#This Row],[text]])</f>
        <v>3470</v>
      </c>
      <c r="N277" s="21">
        <f>LEN(TRIM(CLEAN(SUBSTITUTE(ProjTextTable[[#This Row],[text]],CHAR(10)," "))))+1 - LEN(SUBSTITUTE(CLEAN(SUBSTITUTE(ProjTextTable[[#This Row],[text]],CHAR(10)," "))," ",""))</f>
        <v>527</v>
      </c>
      <c r="O277" t="s">
        <v>196</v>
      </c>
      <c r="P277" t="s">
        <v>1070</v>
      </c>
    </row>
    <row r="278" spans="1:16" x14ac:dyDescent="0.4">
      <c r="A278">
        <f t="shared" si="4"/>
        <v>40</v>
      </c>
      <c r="B278" t="s">
        <v>1064</v>
      </c>
      <c r="C278" t="s">
        <v>1065</v>
      </c>
      <c r="D278" t="s">
        <v>192</v>
      </c>
      <c r="E278" t="s">
        <v>611</v>
      </c>
      <c r="F278" t="s">
        <v>729</v>
      </c>
      <c r="G278" t="s">
        <v>730</v>
      </c>
      <c r="H278" t="s">
        <v>731</v>
      </c>
      <c r="I278" t="s">
        <v>201</v>
      </c>
      <c r="J278" t="s">
        <v>175</v>
      </c>
      <c r="K278" s="30">
        <v>43060</v>
      </c>
      <c r="L278" s="8">
        <v>43056.743946759256</v>
      </c>
      <c r="M278" s="21">
        <f>LEN(ProjTextTable[[#This Row],[text]])</f>
        <v>1413</v>
      </c>
      <c r="N278" s="21">
        <f>LEN(TRIM(CLEAN(SUBSTITUTE(ProjTextTable[[#This Row],[text]],CHAR(10)," "))))+1 - LEN(SUBSTITUTE(CLEAN(SUBSTITUTE(ProjTextTable[[#This Row],[text]],CHAR(10)," "))," ",""))</f>
        <v>211</v>
      </c>
      <c r="O278" t="s">
        <v>193</v>
      </c>
      <c r="P278" t="s">
        <v>1071</v>
      </c>
    </row>
    <row r="279" spans="1:16" x14ac:dyDescent="0.4">
      <c r="A279">
        <f t="shared" si="4"/>
        <v>40</v>
      </c>
      <c r="B279" t="s">
        <v>1064</v>
      </c>
      <c r="C279" t="s">
        <v>1065</v>
      </c>
      <c r="D279" t="s">
        <v>194</v>
      </c>
      <c r="E279" t="s">
        <v>611</v>
      </c>
      <c r="F279" t="s">
        <v>13</v>
      </c>
      <c r="G279" t="s">
        <v>13</v>
      </c>
      <c r="H279" t="s">
        <v>13</v>
      </c>
      <c r="K279" s="30"/>
      <c r="L279" s="8">
        <v>42936.045428240737</v>
      </c>
      <c r="M279" s="21">
        <f>LEN(ProjTextTable[[#This Row],[text]])</f>
        <v>3199</v>
      </c>
      <c r="N279" s="21">
        <f>LEN(TRIM(CLEAN(SUBSTITUTE(ProjTextTable[[#This Row],[text]],CHAR(10)," "))))+1 - LEN(SUBSTITUTE(CLEAN(SUBSTITUTE(ProjTextTable[[#This Row],[text]],CHAR(10)," "))," ",""))</f>
        <v>448</v>
      </c>
      <c r="O279" t="s">
        <v>13</v>
      </c>
      <c r="P279" t="s">
        <v>1072</v>
      </c>
    </row>
    <row r="280" spans="1:16" x14ac:dyDescent="0.4">
      <c r="A280">
        <f t="shared" si="4"/>
        <v>41</v>
      </c>
      <c r="B280" t="s">
        <v>1073</v>
      </c>
      <c r="C280" t="s">
        <v>1074</v>
      </c>
      <c r="D280" t="s">
        <v>533</v>
      </c>
      <c r="E280" t="s">
        <v>611</v>
      </c>
      <c r="F280" t="s">
        <v>605</v>
      </c>
      <c r="G280" t="s">
        <v>606</v>
      </c>
      <c r="H280" t="s">
        <v>539</v>
      </c>
      <c r="I280" t="s">
        <v>535</v>
      </c>
      <c r="J280" t="s">
        <v>1075</v>
      </c>
      <c r="K280" s="30">
        <v>43031</v>
      </c>
      <c r="L280" s="8">
        <v>43032.641006944446</v>
      </c>
      <c r="M280" s="21">
        <f>LEN(ProjTextTable[[#This Row],[text]])</f>
        <v>2460</v>
      </c>
      <c r="N280" s="21">
        <f>LEN(TRIM(CLEAN(SUBSTITUTE(ProjTextTable[[#This Row],[text]],CHAR(10)," "))))+1 - LEN(SUBSTITUTE(CLEAN(SUBSTITUTE(ProjTextTable[[#This Row],[text]],CHAR(10)," "))," ",""))</f>
        <v>343</v>
      </c>
      <c r="O280" t="s">
        <v>540</v>
      </c>
      <c r="P280" t="s">
        <v>1076</v>
      </c>
    </row>
    <row r="281" spans="1:16" x14ac:dyDescent="0.4">
      <c r="A281">
        <f t="shared" si="4"/>
        <v>41</v>
      </c>
      <c r="B281" t="s">
        <v>1073</v>
      </c>
      <c r="C281" t="s">
        <v>1074</v>
      </c>
      <c r="D281" t="s">
        <v>192</v>
      </c>
      <c r="E281" t="s">
        <v>611</v>
      </c>
      <c r="F281" t="s">
        <v>635</v>
      </c>
      <c r="G281" t="s">
        <v>636</v>
      </c>
      <c r="H281" t="s">
        <v>637</v>
      </c>
      <c r="I281" t="s">
        <v>201</v>
      </c>
      <c r="J281" t="s">
        <v>175</v>
      </c>
      <c r="K281" s="30">
        <v>43032</v>
      </c>
      <c r="L281" s="8">
        <v>43031.434907407405</v>
      </c>
      <c r="M281" s="21">
        <f>LEN(ProjTextTable[[#This Row],[text]])</f>
        <v>3265</v>
      </c>
      <c r="N281" s="21">
        <f>LEN(TRIM(CLEAN(SUBSTITUTE(ProjTextTable[[#This Row],[text]],CHAR(10)," "))))+1 - LEN(SUBSTITUTE(CLEAN(SUBSTITUTE(ProjTextTable[[#This Row],[text]],CHAR(10)," "))," ",""))</f>
        <v>506</v>
      </c>
      <c r="O281" t="s">
        <v>196</v>
      </c>
      <c r="P281" t="s">
        <v>1077</v>
      </c>
    </row>
    <row r="282" spans="1:16" x14ac:dyDescent="0.4">
      <c r="A282">
        <f t="shared" si="4"/>
        <v>41</v>
      </c>
      <c r="B282" t="s">
        <v>1073</v>
      </c>
      <c r="C282" t="s">
        <v>1074</v>
      </c>
      <c r="D282" t="s">
        <v>192</v>
      </c>
      <c r="E282" t="s">
        <v>611</v>
      </c>
      <c r="F282" t="s">
        <v>688</v>
      </c>
      <c r="G282" t="s">
        <v>689</v>
      </c>
      <c r="H282" t="s">
        <v>690</v>
      </c>
      <c r="I282" t="s">
        <v>201</v>
      </c>
      <c r="J282" t="s">
        <v>175</v>
      </c>
      <c r="K282" s="30">
        <v>43032</v>
      </c>
      <c r="L282" s="8">
        <v>43030.882361111115</v>
      </c>
      <c r="M282" s="21">
        <f>LEN(ProjTextTable[[#This Row],[text]])</f>
        <v>2182</v>
      </c>
      <c r="N282" s="21">
        <f>LEN(TRIM(CLEAN(SUBSTITUTE(ProjTextTable[[#This Row],[text]],CHAR(10)," "))))+1 - LEN(SUBSTITUTE(CLEAN(SUBSTITUTE(ProjTextTable[[#This Row],[text]],CHAR(10)," "))," ",""))</f>
        <v>333</v>
      </c>
      <c r="O282" t="s">
        <v>196</v>
      </c>
      <c r="P282" t="s">
        <v>1078</v>
      </c>
    </row>
    <row r="283" spans="1:16" x14ac:dyDescent="0.4">
      <c r="A283">
        <f t="shared" si="4"/>
        <v>41</v>
      </c>
      <c r="B283" t="s">
        <v>1073</v>
      </c>
      <c r="C283" t="s">
        <v>1074</v>
      </c>
      <c r="D283" t="s">
        <v>192</v>
      </c>
      <c r="E283" t="s">
        <v>611</v>
      </c>
      <c r="F283" t="s">
        <v>639</v>
      </c>
      <c r="G283" t="s">
        <v>640</v>
      </c>
      <c r="H283" t="s">
        <v>641</v>
      </c>
      <c r="I283" t="s">
        <v>201</v>
      </c>
      <c r="J283" t="s">
        <v>175</v>
      </c>
      <c r="K283" s="30">
        <v>43032</v>
      </c>
      <c r="L283" s="8">
        <v>43030.173541666663</v>
      </c>
      <c r="M283" s="21">
        <f>LEN(ProjTextTable[[#This Row],[text]])</f>
        <v>1948</v>
      </c>
      <c r="N283" s="21">
        <f>LEN(TRIM(CLEAN(SUBSTITUTE(ProjTextTable[[#This Row],[text]],CHAR(10)," "))))+1 - LEN(SUBSTITUTE(CLEAN(SUBSTITUTE(ProjTextTable[[#This Row],[text]],CHAR(10)," "))," ",""))</f>
        <v>276</v>
      </c>
      <c r="O283" t="s">
        <v>193</v>
      </c>
      <c r="P283" t="s">
        <v>1079</v>
      </c>
    </row>
    <row r="284" spans="1:16" x14ac:dyDescent="0.4">
      <c r="A284">
        <f t="shared" si="4"/>
        <v>41</v>
      </c>
      <c r="B284" t="s">
        <v>1073</v>
      </c>
      <c r="C284" t="s">
        <v>1074</v>
      </c>
      <c r="D284" t="s">
        <v>192</v>
      </c>
      <c r="E284" t="s">
        <v>611</v>
      </c>
      <c r="F284" t="s">
        <v>647</v>
      </c>
      <c r="G284" t="s">
        <v>648</v>
      </c>
      <c r="H284" t="s">
        <v>649</v>
      </c>
      <c r="I284" t="s">
        <v>201</v>
      </c>
      <c r="J284" t="s">
        <v>175</v>
      </c>
      <c r="K284" s="30">
        <v>43032</v>
      </c>
      <c r="L284" s="8">
        <v>43030.798495370371</v>
      </c>
      <c r="M284" s="21">
        <f>LEN(ProjTextTable[[#This Row],[text]])</f>
        <v>2495</v>
      </c>
      <c r="N284" s="21">
        <f>LEN(TRIM(CLEAN(SUBSTITUTE(ProjTextTable[[#This Row],[text]],CHAR(10)," "))))+1 - LEN(SUBSTITUTE(CLEAN(SUBSTITUTE(ProjTextTable[[#This Row],[text]],CHAR(10)," "))," ",""))</f>
        <v>381</v>
      </c>
      <c r="O284" t="s">
        <v>196</v>
      </c>
      <c r="P284" t="s">
        <v>1080</v>
      </c>
    </row>
    <row r="285" spans="1:16" x14ac:dyDescent="0.4">
      <c r="A285">
        <f t="shared" si="4"/>
        <v>41</v>
      </c>
      <c r="B285" t="s">
        <v>1073</v>
      </c>
      <c r="C285" t="s">
        <v>1074</v>
      </c>
      <c r="D285" t="s">
        <v>194</v>
      </c>
      <c r="E285" t="s">
        <v>611</v>
      </c>
      <c r="F285" t="s">
        <v>13</v>
      </c>
      <c r="G285" t="s">
        <v>13</v>
      </c>
      <c r="H285" t="s">
        <v>13</v>
      </c>
      <c r="K285" s="30"/>
      <c r="L285" s="8">
        <v>42936.045486111114</v>
      </c>
      <c r="M285" s="21">
        <f>LEN(ProjTextTable[[#This Row],[text]])</f>
        <v>3779</v>
      </c>
      <c r="N285" s="21">
        <f>LEN(TRIM(CLEAN(SUBSTITUTE(ProjTextTable[[#This Row],[text]],CHAR(10)," "))))+1 - LEN(SUBSTITUTE(CLEAN(SUBSTITUTE(ProjTextTable[[#This Row],[text]],CHAR(10)," "))," ",""))</f>
        <v>548</v>
      </c>
      <c r="O285" t="s">
        <v>13</v>
      </c>
      <c r="P285" t="s">
        <v>1081</v>
      </c>
    </row>
    <row r="286" spans="1:16" x14ac:dyDescent="0.4">
      <c r="A286">
        <f t="shared" si="4"/>
        <v>42</v>
      </c>
      <c r="B286" t="s">
        <v>1082</v>
      </c>
      <c r="C286" t="s">
        <v>1083</v>
      </c>
      <c r="D286" t="s">
        <v>533</v>
      </c>
      <c r="E286" t="s">
        <v>654</v>
      </c>
      <c r="F286" t="s">
        <v>605</v>
      </c>
      <c r="G286" t="s">
        <v>606</v>
      </c>
      <c r="H286" t="s">
        <v>541</v>
      </c>
      <c r="I286" t="s">
        <v>536</v>
      </c>
      <c r="J286" t="s">
        <v>632</v>
      </c>
      <c r="K286" s="30">
        <v>43031</v>
      </c>
      <c r="L286" s="8">
        <v>43032.65483796296</v>
      </c>
      <c r="M286" s="21">
        <f>LEN(ProjTextTable[[#This Row],[text]])</f>
        <v>2769</v>
      </c>
      <c r="N286" s="21">
        <f>LEN(TRIM(CLEAN(SUBSTITUTE(ProjTextTable[[#This Row],[text]],CHAR(10)," "))))+1 - LEN(SUBSTITUTE(CLEAN(SUBSTITUTE(ProjTextTable[[#This Row],[text]],CHAR(10)," "))," ",""))</f>
        <v>402</v>
      </c>
      <c r="O286" t="s">
        <v>542</v>
      </c>
      <c r="P286" t="s">
        <v>1084</v>
      </c>
    </row>
    <row r="287" spans="1:16" x14ac:dyDescent="0.4">
      <c r="A287">
        <f t="shared" si="4"/>
        <v>42</v>
      </c>
      <c r="B287" t="s">
        <v>1082</v>
      </c>
      <c r="C287" t="s">
        <v>1083</v>
      </c>
      <c r="D287" t="s">
        <v>2</v>
      </c>
      <c r="E287" t="s">
        <v>654</v>
      </c>
      <c r="F287" t="s">
        <v>13</v>
      </c>
      <c r="G287" t="s">
        <v>609</v>
      </c>
      <c r="H287" t="s">
        <v>13</v>
      </c>
      <c r="I287" t="s">
        <v>13</v>
      </c>
      <c r="K287" s="30"/>
      <c r="L287" s="8">
        <v>43082.669027777774</v>
      </c>
      <c r="M287" s="21">
        <f>LEN(ProjTextTable[[#This Row],[text]])</f>
        <v>1909</v>
      </c>
      <c r="N287" s="21">
        <f>LEN(TRIM(CLEAN(SUBSTITUTE(ProjTextTable[[#This Row],[text]],CHAR(10)," "))))+1 - LEN(SUBSTITUTE(CLEAN(SUBSTITUTE(ProjTextTable[[#This Row],[text]],CHAR(10)," "))," ",""))</f>
        <v>281</v>
      </c>
      <c r="O287" t="s">
        <v>13</v>
      </c>
      <c r="P287" t="s">
        <v>1085</v>
      </c>
    </row>
    <row r="288" spans="1:16" x14ac:dyDescent="0.4">
      <c r="A288">
        <f t="shared" si="4"/>
        <v>42</v>
      </c>
      <c r="B288" t="s">
        <v>1082</v>
      </c>
      <c r="C288" t="s">
        <v>1083</v>
      </c>
      <c r="D288" t="s">
        <v>192</v>
      </c>
      <c r="E288" t="s">
        <v>611</v>
      </c>
      <c r="F288" t="s">
        <v>688</v>
      </c>
      <c r="G288" t="s">
        <v>689</v>
      </c>
      <c r="H288" t="s">
        <v>690</v>
      </c>
      <c r="I288" t="s">
        <v>201</v>
      </c>
      <c r="J288" t="s">
        <v>175</v>
      </c>
      <c r="K288" s="30">
        <v>43032</v>
      </c>
      <c r="L288" s="8">
        <v>43030.883020833331</v>
      </c>
      <c r="M288" s="21">
        <f>LEN(ProjTextTable[[#This Row],[text]])</f>
        <v>4197</v>
      </c>
      <c r="N288" s="21">
        <f>LEN(TRIM(CLEAN(SUBSTITUTE(ProjTextTable[[#This Row],[text]],CHAR(10)," "))))+1 - LEN(SUBSTITUTE(CLEAN(SUBSTITUTE(ProjTextTable[[#This Row],[text]],CHAR(10)," "))," ",""))</f>
        <v>668</v>
      </c>
      <c r="O288" t="s">
        <v>196</v>
      </c>
      <c r="P288" t="s">
        <v>1086</v>
      </c>
    </row>
    <row r="289" spans="1:16" x14ac:dyDescent="0.4">
      <c r="A289">
        <f t="shared" si="4"/>
        <v>42</v>
      </c>
      <c r="B289" t="s">
        <v>1082</v>
      </c>
      <c r="C289" t="s">
        <v>1083</v>
      </c>
      <c r="D289" t="s">
        <v>192</v>
      </c>
      <c r="E289" t="s">
        <v>611</v>
      </c>
      <c r="F289" t="s">
        <v>639</v>
      </c>
      <c r="G289" t="s">
        <v>640</v>
      </c>
      <c r="H289" t="s">
        <v>641</v>
      </c>
      <c r="I289" t="s">
        <v>201</v>
      </c>
      <c r="J289" t="s">
        <v>175</v>
      </c>
      <c r="K289" s="30">
        <v>43032</v>
      </c>
      <c r="L289" s="8">
        <v>43030.171967592592</v>
      </c>
      <c r="M289" s="21">
        <f>LEN(ProjTextTable[[#This Row],[text]])</f>
        <v>1906</v>
      </c>
      <c r="N289" s="21">
        <f>LEN(TRIM(CLEAN(SUBSTITUTE(ProjTextTable[[#This Row],[text]],CHAR(10)," "))))+1 - LEN(SUBSTITUTE(CLEAN(SUBSTITUTE(ProjTextTable[[#This Row],[text]],CHAR(10)," "))," ",""))</f>
        <v>276</v>
      </c>
      <c r="O289" t="s">
        <v>193</v>
      </c>
      <c r="P289" t="s">
        <v>1087</v>
      </c>
    </row>
    <row r="290" spans="1:16" x14ac:dyDescent="0.4">
      <c r="A290">
        <f t="shared" si="4"/>
        <v>42</v>
      </c>
      <c r="B290" t="s">
        <v>1082</v>
      </c>
      <c r="C290" t="s">
        <v>1083</v>
      </c>
      <c r="D290" t="s">
        <v>192</v>
      </c>
      <c r="E290" t="s">
        <v>611</v>
      </c>
      <c r="F290" t="s">
        <v>617</v>
      </c>
      <c r="G290" t="s">
        <v>618</v>
      </c>
      <c r="H290" t="s">
        <v>619</v>
      </c>
      <c r="I290" t="s">
        <v>201</v>
      </c>
      <c r="J290" t="s">
        <v>175</v>
      </c>
      <c r="K290" s="30">
        <v>43032</v>
      </c>
      <c r="L290" s="8">
        <v>43031.362187500003</v>
      </c>
      <c r="M290" s="21">
        <f>LEN(ProjTextTable[[#This Row],[text]])</f>
        <v>2284</v>
      </c>
      <c r="N290" s="21">
        <f>LEN(TRIM(CLEAN(SUBSTITUTE(ProjTextTable[[#This Row],[text]],CHAR(10)," "))))+1 - LEN(SUBSTITUTE(CLEAN(SUBSTITUTE(ProjTextTable[[#This Row],[text]],CHAR(10)," "))," ",""))</f>
        <v>353</v>
      </c>
      <c r="O290" t="s">
        <v>198</v>
      </c>
      <c r="P290" t="s">
        <v>1088</v>
      </c>
    </row>
    <row r="291" spans="1:16" x14ac:dyDescent="0.4">
      <c r="A291">
        <f t="shared" si="4"/>
        <v>42</v>
      </c>
      <c r="B291" t="s">
        <v>1082</v>
      </c>
      <c r="C291" t="s">
        <v>1083</v>
      </c>
      <c r="D291" t="s">
        <v>192</v>
      </c>
      <c r="E291" t="s">
        <v>611</v>
      </c>
      <c r="F291" t="s">
        <v>692</v>
      </c>
      <c r="G291" t="s">
        <v>693</v>
      </c>
      <c r="H291" t="s">
        <v>694</v>
      </c>
      <c r="I291" t="s">
        <v>201</v>
      </c>
      <c r="J291" t="s">
        <v>175</v>
      </c>
      <c r="K291" s="30">
        <v>43032</v>
      </c>
      <c r="L291" s="8">
        <v>43031.703900462962</v>
      </c>
      <c r="M291" s="21">
        <f>LEN(ProjTextTable[[#This Row],[text]])</f>
        <v>2598</v>
      </c>
      <c r="N291" s="21">
        <f>LEN(TRIM(CLEAN(SUBSTITUTE(ProjTextTable[[#This Row],[text]],CHAR(10)," "))))+1 - LEN(SUBSTITUTE(CLEAN(SUBSTITUTE(ProjTextTable[[#This Row],[text]],CHAR(10)," "))," ",""))</f>
        <v>394</v>
      </c>
      <c r="O291" t="s">
        <v>199</v>
      </c>
      <c r="P291" t="s">
        <v>1089</v>
      </c>
    </row>
    <row r="292" spans="1:16" x14ac:dyDescent="0.4">
      <c r="A292">
        <f t="shared" si="4"/>
        <v>42</v>
      </c>
      <c r="B292" t="s">
        <v>1082</v>
      </c>
      <c r="C292" t="s">
        <v>1083</v>
      </c>
      <c r="D292" t="s">
        <v>194</v>
      </c>
      <c r="E292" t="s">
        <v>654</v>
      </c>
      <c r="F292" t="s">
        <v>13</v>
      </c>
      <c r="G292" t="s">
        <v>13</v>
      </c>
      <c r="H292" t="s">
        <v>13</v>
      </c>
      <c r="K292" s="30"/>
      <c r="L292" s="8">
        <v>42936.045902777776</v>
      </c>
      <c r="M292" s="21">
        <f>LEN(ProjTextTable[[#This Row],[text]])</f>
        <v>3366</v>
      </c>
      <c r="N292" s="21">
        <f>LEN(TRIM(CLEAN(SUBSTITUTE(ProjTextTable[[#This Row],[text]],CHAR(10)," "))))+1 - LEN(SUBSTITUTE(CLEAN(SUBSTITUTE(ProjTextTable[[#This Row],[text]],CHAR(10)," "))," ",""))</f>
        <v>485</v>
      </c>
      <c r="O292" t="s">
        <v>13</v>
      </c>
      <c r="P292" t="s">
        <v>1090</v>
      </c>
    </row>
    <row r="293" spans="1:16" x14ac:dyDescent="0.4">
      <c r="A293">
        <f t="shared" si="4"/>
        <v>43</v>
      </c>
      <c r="B293" t="s">
        <v>1091</v>
      </c>
      <c r="C293" t="s">
        <v>1092</v>
      </c>
      <c r="D293" t="s">
        <v>533</v>
      </c>
      <c r="E293" t="s">
        <v>1093</v>
      </c>
      <c r="F293" t="s">
        <v>714</v>
      </c>
      <c r="G293" t="s">
        <v>715</v>
      </c>
      <c r="H293" t="s">
        <v>546</v>
      </c>
      <c r="I293" t="s">
        <v>538</v>
      </c>
      <c r="J293" t="s">
        <v>1075</v>
      </c>
      <c r="K293" s="30">
        <v>43059</v>
      </c>
      <c r="L293" s="8">
        <v>43060.591979166667</v>
      </c>
      <c r="M293" s="21">
        <f>LEN(ProjTextTable[[#This Row],[text]])</f>
        <v>2674</v>
      </c>
      <c r="N293" s="21">
        <f>LEN(TRIM(CLEAN(SUBSTITUTE(ProjTextTable[[#This Row],[text]],CHAR(10)," "))))+1 - LEN(SUBSTITUTE(CLEAN(SUBSTITUTE(ProjTextTable[[#This Row],[text]],CHAR(10)," "))," ",""))</f>
        <v>394</v>
      </c>
      <c r="O293" t="s">
        <v>309</v>
      </c>
      <c r="P293" t="s">
        <v>1094</v>
      </c>
    </row>
    <row r="294" spans="1:16" x14ac:dyDescent="0.4">
      <c r="A294">
        <f t="shared" si="4"/>
        <v>43</v>
      </c>
      <c r="B294" t="s">
        <v>1091</v>
      </c>
      <c r="C294" t="s">
        <v>1092</v>
      </c>
      <c r="D294" t="s">
        <v>533</v>
      </c>
      <c r="E294" t="s">
        <v>1093</v>
      </c>
      <c r="F294" t="s">
        <v>1095</v>
      </c>
      <c r="G294" t="s">
        <v>1096</v>
      </c>
      <c r="H294" t="s">
        <v>543</v>
      </c>
      <c r="I294" t="s">
        <v>537</v>
      </c>
      <c r="J294" t="s">
        <v>537</v>
      </c>
      <c r="K294" s="30">
        <v>43073</v>
      </c>
      <c r="L294" s="8">
        <v>43074.463912037034</v>
      </c>
      <c r="M294" s="21">
        <f>LEN(ProjTextTable[[#This Row],[text]])</f>
        <v>4180</v>
      </c>
      <c r="N294" s="21">
        <f>LEN(TRIM(CLEAN(SUBSTITUTE(ProjTextTable[[#This Row],[text]],CHAR(10)," "))))+1 - LEN(SUBSTITUTE(CLEAN(SUBSTITUTE(ProjTextTable[[#This Row],[text]],CHAR(10)," "))," ",""))</f>
        <v>594</v>
      </c>
      <c r="O294" t="s">
        <v>544</v>
      </c>
      <c r="P294" t="s">
        <v>1097</v>
      </c>
    </row>
    <row r="295" spans="1:16" x14ac:dyDescent="0.4">
      <c r="A295">
        <f t="shared" si="4"/>
        <v>43</v>
      </c>
      <c r="B295" t="s">
        <v>1091</v>
      </c>
      <c r="C295" t="s">
        <v>1092</v>
      </c>
      <c r="D295" t="s">
        <v>192</v>
      </c>
      <c r="E295" t="s">
        <v>1093</v>
      </c>
      <c r="F295" t="s">
        <v>799</v>
      </c>
      <c r="G295" t="s">
        <v>800</v>
      </c>
      <c r="H295" t="s">
        <v>801</v>
      </c>
      <c r="I295" t="s">
        <v>201</v>
      </c>
      <c r="J295" t="s">
        <v>175</v>
      </c>
      <c r="K295" s="30">
        <v>43060</v>
      </c>
      <c r="L295" s="8">
        <v>43056.609085648146</v>
      </c>
      <c r="M295" s="21">
        <f>LEN(ProjTextTable[[#This Row],[text]])</f>
        <v>3303</v>
      </c>
      <c r="N295" s="21">
        <f>LEN(TRIM(CLEAN(SUBSTITUTE(ProjTextTable[[#This Row],[text]],CHAR(10)," "))))+1 - LEN(SUBSTITUTE(CLEAN(SUBSTITUTE(ProjTextTable[[#This Row],[text]],CHAR(10)," "))," ",""))</f>
        <v>519</v>
      </c>
      <c r="O295" t="s">
        <v>197</v>
      </c>
      <c r="P295" t="s">
        <v>1098</v>
      </c>
    </row>
    <row r="296" spans="1:16" x14ac:dyDescent="0.4">
      <c r="A296">
        <f t="shared" si="4"/>
        <v>43</v>
      </c>
      <c r="B296" t="s">
        <v>1091</v>
      </c>
      <c r="C296" t="s">
        <v>1092</v>
      </c>
      <c r="D296" t="s">
        <v>192</v>
      </c>
      <c r="E296" t="s">
        <v>1093</v>
      </c>
      <c r="F296" t="s">
        <v>745</v>
      </c>
      <c r="G296" t="s">
        <v>746</v>
      </c>
      <c r="H296" t="s">
        <v>747</v>
      </c>
      <c r="I296" t="s">
        <v>201</v>
      </c>
      <c r="J296" t="s">
        <v>175</v>
      </c>
      <c r="K296" s="30">
        <v>43060</v>
      </c>
      <c r="L296" s="8">
        <v>43057.831296296295</v>
      </c>
      <c r="M296" s="21">
        <f>LEN(ProjTextTable[[#This Row],[text]])</f>
        <v>2328</v>
      </c>
      <c r="N296" s="21">
        <f>LEN(TRIM(CLEAN(SUBSTITUTE(ProjTextTable[[#This Row],[text]],CHAR(10)," "))))+1 - LEN(SUBSTITUTE(CLEAN(SUBSTITUTE(ProjTextTable[[#This Row],[text]],CHAR(10)," "))," ",""))</f>
        <v>349</v>
      </c>
      <c r="O296" t="s">
        <v>199</v>
      </c>
      <c r="P296" t="s">
        <v>1099</v>
      </c>
    </row>
    <row r="297" spans="1:16" x14ac:dyDescent="0.4">
      <c r="A297">
        <f t="shared" si="4"/>
        <v>43</v>
      </c>
      <c r="B297" t="s">
        <v>1091</v>
      </c>
      <c r="C297" t="s">
        <v>1092</v>
      </c>
      <c r="D297" t="s">
        <v>192</v>
      </c>
      <c r="E297" t="s">
        <v>1093</v>
      </c>
      <c r="F297" t="s">
        <v>1100</v>
      </c>
      <c r="G297" t="s">
        <v>1101</v>
      </c>
      <c r="H297" t="s">
        <v>1102</v>
      </c>
      <c r="I297" t="s">
        <v>201</v>
      </c>
      <c r="J297" t="s">
        <v>175</v>
      </c>
      <c r="K297" s="30">
        <v>43074</v>
      </c>
      <c r="L297" s="8">
        <v>43072.524259259262</v>
      </c>
      <c r="M297" s="21">
        <f>LEN(ProjTextTable[[#This Row],[text]])</f>
        <v>4364</v>
      </c>
      <c r="N297" s="21">
        <f>LEN(TRIM(CLEAN(SUBSTITUTE(ProjTextTable[[#This Row],[text]],CHAR(10)," "))))+1 - LEN(SUBSTITUTE(CLEAN(SUBSTITUTE(ProjTextTable[[#This Row],[text]],CHAR(10)," "))," ",""))</f>
        <v>684</v>
      </c>
      <c r="O297" t="s">
        <v>195</v>
      </c>
      <c r="P297" t="s">
        <v>1103</v>
      </c>
    </row>
    <row r="298" spans="1:16" x14ac:dyDescent="0.4">
      <c r="A298">
        <f t="shared" si="4"/>
        <v>43</v>
      </c>
      <c r="B298" t="s">
        <v>1091</v>
      </c>
      <c r="C298" t="s">
        <v>1092</v>
      </c>
      <c r="D298" t="s">
        <v>192</v>
      </c>
      <c r="E298" t="s">
        <v>1093</v>
      </c>
      <c r="F298" t="s">
        <v>964</v>
      </c>
      <c r="G298" t="s">
        <v>965</v>
      </c>
      <c r="H298" t="s">
        <v>966</v>
      </c>
      <c r="I298" t="s">
        <v>201</v>
      </c>
      <c r="J298" t="s">
        <v>175</v>
      </c>
      <c r="K298" s="30">
        <v>43060</v>
      </c>
      <c r="L298" s="8">
        <v>43059.316354166665</v>
      </c>
      <c r="M298" s="21">
        <f>LEN(ProjTextTable[[#This Row],[text]])</f>
        <v>1896</v>
      </c>
      <c r="N298" s="21">
        <f>LEN(TRIM(CLEAN(SUBSTITUTE(ProjTextTable[[#This Row],[text]],CHAR(10)," "))))+1 - LEN(SUBSTITUTE(CLEAN(SUBSTITUTE(ProjTextTable[[#This Row],[text]],CHAR(10)," "))," ",""))</f>
        <v>276</v>
      </c>
      <c r="O298" t="s">
        <v>193</v>
      </c>
      <c r="P298" t="s">
        <v>1104</v>
      </c>
    </row>
    <row r="299" spans="1:16" x14ac:dyDescent="0.4">
      <c r="A299">
        <f t="shared" si="4"/>
        <v>43</v>
      </c>
      <c r="B299" t="s">
        <v>1091</v>
      </c>
      <c r="C299" t="s">
        <v>1092</v>
      </c>
      <c r="D299" t="s">
        <v>192</v>
      </c>
      <c r="E299" t="s">
        <v>1093</v>
      </c>
      <c r="F299" t="s">
        <v>1105</v>
      </c>
      <c r="G299" t="s">
        <v>1106</v>
      </c>
      <c r="H299" t="s">
        <v>1107</v>
      </c>
      <c r="I299" t="s">
        <v>201</v>
      </c>
      <c r="J299" t="s">
        <v>175</v>
      </c>
      <c r="K299" s="30">
        <v>43074</v>
      </c>
      <c r="L299" s="8">
        <v>43072.654861111114</v>
      </c>
      <c r="M299" s="21">
        <f>LEN(ProjTextTable[[#This Row],[text]])</f>
        <v>4756</v>
      </c>
      <c r="N299" s="21">
        <f>LEN(TRIM(CLEAN(SUBSTITUTE(ProjTextTable[[#This Row],[text]],CHAR(10)," "))))+1 - LEN(SUBSTITUTE(CLEAN(SUBSTITUTE(ProjTextTable[[#This Row],[text]],CHAR(10)," "))," ",""))</f>
        <v>728</v>
      </c>
      <c r="O299" t="s">
        <v>195</v>
      </c>
      <c r="P299" t="s">
        <v>1108</v>
      </c>
    </row>
    <row r="300" spans="1:16" x14ac:dyDescent="0.4">
      <c r="A300">
        <f t="shared" si="4"/>
        <v>43</v>
      </c>
      <c r="B300" t="s">
        <v>1091</v>
      </c>
      <c r="C300" t="s">
        <v>1092</v>
      </c>
      <c r="D300" t="s">
        <v>192</v>
      </c>
      <c r="E300" t="s">
        <v>1093</v>
      </c>
      <c r="F300" t="s">
        <v>1109</v>
      </c>
      <c r="G300" t="s">
        <v>1110</v>
      </c>
      <c r="H300" t="s">
        <v>1111</v>
      </c>
      <c r="I300" t="s">
        <v>201</v>
      </c>
      <c r="J300" t="s">
        <v>175</v>
      </c>
      <c r="K300" s="30">
        <v>43074</v>
      </c>
      <c r="L300" s="8">
        <v>43072.91814814815</v>
      </c>
      <c r="M300" s="21">
        <f>LEN(ProjTextTable[[#This Row],[text]])</f>
        <v>3560</v>
      </c>
      <c r="N300" s="21">
        <f>LEN(TRIM(CLEAN(SUBSTITUTE(ProjTextTable[[#This Row],[text]],CHAR(10)," "))))+1 - LEN(SUBSTITUTE(CLEAN(SUBSTITUTE(ProjTextTable[[#This Row],[text]],CHAR(10)," "))," ",""))</f>
        <v>531</v>
      </c>
      <c r="O300" t="s">
        <v>195</v>
      </c>
      <c r="P300" t="s">
        <v>1112</v>
      </c>
    </row>
    <row r="301" spans="1:16" x14ac:dyDescent="0.4">
      <c r="A301">
        <f t="shared" si="4"/>
        <v>43</v>
      </c>
      <c r="B301" t="s">
        <v>1091</v>
      </c>
      <c r="C301" t="s">
        <v>1092</v>
      </c>
      <c r="D301" t="s">
        <v>192</v>
      </c>
      <c r="E301" t="s">
        <v>1093</v>
      </c>
      <c r="F301" t="s">
        <v>1113</v>
      </c>
      <c r="G301" t="s">
        <v>1114</v>
      </c>
      <c r="H301" t="s">
        <v>1115</v>
      </c>
      <c r="I301" t="s">
        <v>201</v>
      </c>
      <c r="J301" t="s">
        <v>175</v>
      </c>
      <c r="K301" s="30">
        <v>43074</v>
      </c>
      <c r="L301" s="8">
        <v>43073.748368055552</v>
      </c>
      <c r="M301" s="21">
        <f>LEN(ProjTextTable[[#This Row],[text]])</f>
        <v>2982</v>
      </c>
      <c r="N301" s="21">
        <f>LEN(TRIM(CLEAN(SUBSTITUTE(ProjTextTable[[#This Row],[text]],CHAR(10)," "))))+1 - LEN(SUBSTITUTE(CLEAN(SUBSTITUTE(ProjTextTable[[#This Row],[text]],CHAR(10)," "))," ",""))</f>
        <v>457</v>
      </c>
      <c r="O301" t="s">
        <v>193</v>
      </c>
      <c r="P301" t="s">
        <v>1116</v>
      </c>
    </row>
    <row r="302" spans="1:16" x14ac:dyDescent="0.4">
      <c r="A302">
        <f t="shared" si="4"/>
        <v>43</v>
      </c>
      <c r="B302" t="s">
        <v>1091</v>
      </c>
      <c r="C302" t="s">
        <v>1092</v>
      </c>
      <c r="D302" t="s">
        <v>194</v>
      </c>
      <c r="E302" t="s">
        <v>1093</v>
      </c>
      <c r="F302" t="s">
        <v>13</v>
      </c>
      <c r="G302" t="s">
        <v>13</v>
      </c>
      <c r="H302" t="s">
        <v>13</v>
      </c>
      <c r="K302" s="30"/>
      <c r="L302" s="8">
        <v>42951.042847222219</v>
      </c>
      <c r="M302" s="21">
        <f>LEN(ProjTextTable[[#This Row],[text]])</f>
        <v>4320</v>
      </c>
      <c r="N302" s="21">
        <f>LEN(TRIM(CLEAN(SUBSTITUTE(ProjTextTable[[#This Row],[text]],CHAR(10)," "))))+1 - LEN(SUBSTITUTE(CLEAN(SUBSTITUTE(ProjTextTable[[#This Row],[text]],CHAR(10)," "))," ",""))</f>
        <v>613</v>
      </c>
      <c r="O302" t="s">
        <v>13</v>
      </c>
      <c r="P302" t="s">
        <v>1117</v>
      </c>
    </row>
    <row r="303" spans="1:16" x14ac:dyDescent="0.4">
      <c r="A303">
        <f t="shared" si="4"/>
        <v>44</v>
      </c>
      <c r="B303" t="s">
        <v>1118</v>
      </c>
      <c r="C303" t="s">
        <v>1119</v>
      </c>
      <c r="D303" t="s">
        <v>533</v>
      </c>
      <c r="E303" t="s">
        <v>611</v>
      </c>
      <c r="F303" t="s">
        <v>714</v>
      </c>
      <c r="G303" t="s">
        <v>715</v>
      </c>
      <c r="H303" t="s">
        <v>541</v>
      </c>
      <c r="I303" t="s">
        <v>536</v>
      </c>
      <c r="J303" t="s">
        <v>534</v>
      </c>
      <c r="K303" s="30">
        <v>43059</v>
      </c>
      <c r="L303" s="8">
        <v>43060.657847222225</v>
      </c>
      <c r="M303" s="21">
        <f>LEN(ProjTextTable[[#This Row],[text]])</f>
        <v>3445</v>
      </c>
      <c r="N303" s="21">
        <f>LEN(TRIM(CLEAN(SUBSTITUTE(ProjTextTable[[#This Row],[text]],CHAR(10)," "))))+1 - LEN(SUBSTITUTE(CLEAN(SUBSTITUTE(ProjTextTable[[#This Row],[text]],CHAR(10)," "))," ",""))</f>
        <v>509</v>
      </c>
      <c r="O303" t="s">
        <v>542</v>
      </c>
      <c r="P303" t="s">
        <v>1120</v>
      </c>
    </row>
    <row r="304" spans="1:16" x14ac:dyDescent="0.4">
      <c r="A304">
        <f t="shared" si="4"/>
        <v>44</v>
      </c>
      <c r="B304" t="s">
        <v>1118</v>
      </c>
      <c r="C304" t="s">
        <v>1119</v>
      </c>
      <c r="D304" t="s">
        <v>2</v>
      </c>
      <c r="E304" t="s">
        <v>611</v>
      </c>
      <c r="F304" t="s">
        <v>13</v>
      </c>
      <c r="G304" t="s">
        <v>609</v>
      </c>
      <c r="H304" t="s">
        <v>13</v>
      </c>
      <c r="I304" t="s">
        <v>13</v>
      </c>
      <c r="K304" s="30"/>
      <c r="L304" s="8">
        <v>43082.662870370368</v>
      </c>
      <c r="M304" s="21">
        <f>LEN(ProjTextTable[[#This Row],[text]])</f>
        <v>2009</v>
      </c>
      <c r="N304" s="21">
        <f>LEN(TRIM(CLEAN(SUBSTITUTE(ProjTextTable[[#This Row],[text]],CHAR(10)," "))))+1 - LEN(SUBSTITUTE(CLEAN(SUBSTITUTE(ProjTextTable[[#This Row],[text]],CHAR(10)," "))," ",""))</f>
        <v>295</v>
      </c>
      <c r="O304" t="s">
        <v>13</v>
      </c>
      <c r="P304" t="s">
        <v>1121</v>
      </c>
    </row>
    <row r="305" spans="1:16" x14ac:dyDescent="0.4">
      <c r="A305">
        <f t="shared" si="4"/>
        <v>44</v>
      </c>
      <c r="B305" t="s">
        <v>1118</v>
      </c>
      <c r="C305" t="s">
        <v>1119</v>
      </c>
      <c r="D305" t="s">
        <v>192</v>
      </c>
      <c r="E305" t="s">
        <v>611</v>
      </c>
      <c r="F305" t="s">
        <v>799</v>
      </c>
      <c r="G305" t="s">
        <v>800</v>
      </c>
      <c r="H305" t="s">
        <v>801</v>
      </c>
      <c r="I305" t="s">
        <v>201</v>
      </c>
      <c r="J305" t="s">
        <v>175</v>
      </c>
      <c r="K305" s="30">
        <v>43060</v>
      </c>
      <c r="L305" s="8">
        <v>43056.617256944446</v>
      </c>
      <c r="M305" s="21">
        <f>LEN(ProjTextTable[[#This Row],[text]])</f>
        <v>2679</v>
      </c>
      <c r="N305" s="21">
        <f>LEN(TRIM(CLEAN(SUBSTITUTE(ProjTextTable[[#This Row],[text]],CHAR(10)," "))))+1 - LEN(SUBSTITUTE(CLEAN(SUBSTITUTE(ProjTextTable[[#This Row],[text]],CHAR(10)," "))," ",""))</f>
        <v>403</v>
      </c>
      <c r="O305" t="s">
        <v>199</v>
      </c>
      <c r="P305" t="s">
        <v>1122</v>
      </c>
    </row>
    <row r="306" spans="1:16" x14ac:dyDescent="0.4">
      <c r="A306">
        <f t="shared" si="4"/>
        <v>44</v>
      </c>
      <c r="B306" t="s">
        <v>1118</v>
      </c>
      <c r="C306" t="s">
        <v>1119</v>
      </c>
      <c r="D306" t="s">
        <v>192</v>
      </c>
      <c r="E306" t="s">
        <v>611</v>
      </c>
      <c r="F306" t="s">
        <v>745</v>
      </c>
      <c r="G306" t="s">
        <v>746</v>
      </c>
      <c r="H306" t="s">
        <v>747</v>
      </c>
      <c r="I306" t="s">
        <v>201</v>
      </c>
      <c r="J306" t="s">
        <v>175</v>
      </c>
      <c r="K306" s="30">
        <v>43060</v>
      </c>
      <c r="L306" s="8">
        <v>43057.974942129629</v>
      </c>
      <c r="M306" s="21">
        <f>LEN(ProjTextTable[[#This Row],[text]])</f>
        <v>2862</v>
      </c>
      <c r="N306" s="21">
        <f>LEN(TRIM(CLEAN(SUBSTITUTE(ProjTextTable[[#This Row],[text]],CHAR(10)," "))))+1 - LEN(SUBSTITUTE(CLEAN(SUBSTITUTE(ProjTextTable[[#This Row],[text]],CHAR(10)," "))," ",""))</f>
        <v>415</v>
      </c>
      <c r="O306" t="s">
        <v>197</v>
      </c>
      <c r="P306" t="s">
        <v>1123</v>
      </c>
    </row>
    <row r="307" spans="1:16" x14ac:dyDescent="0.4">
      <c r="A307">
        <f t="shared" si="4"/>
        <v>44</v>
      </c>
      <c r="B307" t="s">
        <v>1118</v>
      </c>
      <c r="C307" t="s">
        <v>1119</v>
      </c>
      <c r="D307" t="s">
        <v>192</v>
      </c>
      <c r="E307" t="s">
        <v>611</v>
      </c>
      <c r="F307" t="s">
        <v>757</v>
      </c>
      <c r="G307" t="s">
        <v>758</v>
      </c>
      <c r="H307" t="s">
        <v>759</v>
      </c>
      <c r="I307" t="s">
        <v>201</v>
      </c>
      <c r="J307" t="s">
        <v>175</v>
      </c>
      <c r="K307" s="30">
        <v>43060</v>
      </c>
      <c r="L307" s="8">
        <v>43060.386817129627</v>
      </c>
      <c r="M307" s="21">
        <f>LEN(ProjTextTable[[#This Row],[text]])</f>
        <v>4923</v>
      </c>
      <c r="N307" s="21">
        <f>LEN(TRIM(CLEAN(SUBSTITUTE(ProjTextTable[[#This Row],[text]],CHAR(10)," "))))+1 - LEN(SUBSTITUTE(CLEAN(SUBSTITUTE(ProjTextTable[[#This Row],[text]],CHAR(10)," "))," ",""))</f>
        <v>752</v>
      </c>
      <c r="O307" t="s">
        <v>193</v>
      </c>
      <c r="P307" t="s">
        <v>1124</v>
      </c>
    </row>
    <row r="308" spans="1:16" x14ac:dyDescent="0.4">
      <c r="A308">
        <f t="shared" si="4"/>
        <v>44</v>
      </c>
      <c r="B308" t="s">
        <v>1118</v>
      </c>
      <c r="C308" t="s">
        <v>1119</v>
      </c>
      <c r="D308" t="s">
        <v>194</v>
      </c>
      <c r="E308" t="s">
        <v>611</v>
      </c>
      <c r="F308" t="s">
        <v>13</v>
      </c>
      <c r="G308" t="s">
        <v>13</v>
      </c>
      <c r="H308" t="s">
        <v>13</v>
      </c>
      <c r="K308" s="30"/>
      <c r="L308" s="8">
        <v>42955.042557870373</v>
      </c>
      <c r="M308" s="21">
        <f>LEN(ProjTextTable[[#This Row],[text]])</f>
        <v>4167</v>
      </c>
      <c r="N308" s="21">
        <f>LEN(TRIM(CLEAN(SUBSTITUTE(ProjTextTable[[#This Row],[text]],CHAR(10)," "))))+1 - LEN(SUBSTITUTE(CLEAN(SUBSTITUTE(ProjTextTable[[#This Row],[text]],CHAR(10)," "))," ",""))</f>
        <v>598</v>
      </c>
      <c r="O308" t="s">
        <v>13</v>
      </c>
      <c r="P308" t="s">
        <v>1125</v>
      </c>
    </row>
    <row r="309" spans="1:16" x14ac:dyDescent="0.4">
      <c r="A309">
        <f t="shared" si="4"/>
        <v>45</v>
      </c>
      <c r="B309" t="s">
        <v>1126</v>
      </c>
      <c r="C309" t="s">
        <v>631</v>
      </c>
      <c r="D309" t="s">
        <v>533</v>
      </c>
      <c r="E309" t="s">
        <v>654</v>
      </c>
      <c r="F309" t="s">
        <v>605</v>
      </c>
      <c r="G309" t="s">
        <v>606</v>
      </c>
      <c r="H309" t="s">
        <v>546</v>
      </c>
      <c r="I309" t="s">
        <v>538</v>
      </c>
      <c r="J309" t="s">
        <v>534</v>
      </c>
      <c r="K309" s="30">
        <v>43031</v>
      </c>
      <c r="L309" s="8">
        <v>43032.670497685183</v>
      </c>
      <c r="M309" s="21">
        <f>LEN(ProjTextTable[[#This Row],[text]])</f>
        <v>2162</v>
      </c>
      <c r="N309" s="21">
        <f>LEN(TRIM(CLEAN(SUBSTITUTE(ProjTextTable[[#This Row],[text]],CHAR(10)," "))))+1 - LEN(SUBSTITUTE(CLEAN(SUBSTITUTE(ProjTextTable[[#This Row],[text]],CHAR(10)," "))," ",""))</f>
        <v>303</v>
      </c>
      <c r="O309" t="s">
        <v>309</v>
      </c>
      <c r="P309" t="s">
        <v>1127</v>
      </c>
    </row>
    <row r="310" spans="1:16" x14ac:dyDescent="0.4">
      <c r="A310">
        <f t="shared" si="4"/>
        <v>45</v>
      </c>
      <c r="B310" t="s">
        <v>1126</v>
      </c>
      <c r="C310" t="s">
        <v>631</v>
      </c>
      <c r="D310" t="s">
        <v>2</v>
      </c>
      <c r="E310" t="s">
        <v>654</v>
      </c>
      <c r="F310" t="s">
        <v>13</v>
      </c>
      <c r="G310" t="s">
        <v>609</v>
      </c>
      <c r="H310" t="s">
        <v>13</v>
      </c>
      <c r="I310" t="s">
        <v>13</v>
      </c>
      <c r="K310" s="30"/>
      <c r="L310" s="8">
        <v>43082.669131944444</v>
      </c>
      <c r="M310" s="21">
        <f>LEN(ProjTextTable[[#This Row],[text]])</f>
        <v>1976</v>
      </c>
      <c r="N310" s="21">
        <f>LEN(TRIM(CLEAN(SUBSTITUTE(ProjTextTable[[#This Row],[text]],CHAR(10)," "))))+1 - LEN(SUBSTITUTE(CLEAN(SUBSTITUTE(ProjTextTable[[#This Row],[text]],CHAR(10)," "))," ",""))</f>
        <v>293</v>
      </c>
      <c r="O310" t="s">
        <v>13</v>
      </c>
      <c r="P310" t="s">
        <v>1128</v>
      </c>
    </row>
    <row r="311" spans="1:16" x14ac:dyDescent="0.4">
      <c r="A311">
        <f t="shared" si="4"/>
        <v>45</v>
      </c>
      <c r="B311" t="s">
        <v>1126</v>
      </c>
      <c r="C311" t="s">
        <v>631</v>
      </c>
      <c r="D311" t="s">
        <v>192</v>
      </c>
      <c r="E311" t="s">
        <v>611</v>
      </c>
      <c r="F311" t="s">
        <v>635</v>
      </c>
      <c r="G311" t="s">
        <v>636</v>
      </c>
      <c r="H311" t="s">
        <v>637</v>
      </c>
      <c r="I311" t="s">
        <v>201</v>
      </c>
      <c r="J311" t="s">
        <v>175</v>
      </c>
      <c r="K311" s="30">
        <v>43032</v>
      </c>
      <c r="L311" s="8">
        <v>43026.986875000002</v>
      </c>
      <c r="M311" s="21">
        <f>LEN(ProjTextTable[[#This Row],[text]])</f>
        <v>1796</v>
      </c>
      <c r="N311" s="21">
        <f>LEN(TRIM(CLEAN(SUBSTITUTE(ProjTextTable[[#This Row],[text]],CHAR(10)," "))))+1 - LEN(SUBSTITUTE(CLEAN(SUBSTITUTE(ProjTextTable[[#This Row],[text]],CHAR(10)," "))," ",""))</f>
        <v>279</v>
      </c>
      <c r="O311" t="s">
        <v>197</v>
      </c>
      <c r="P311" t="s">
        <v>1129</v>
      </c>
    </row>
    <row r="312" spans="1:16" x14ac:dyDescent="0.4">
      <c r="A312">
        <f t="shared" si="4"/>
        <v>45</v>
      </c>
      <c r="B312" t="s">
        <v>1126</v>
      </c>
      <c r="C312" t="s">
        <v>631</v>
      </c>
      <c r="D312" t="s">
        <v>192</v>
      </c>
      <c r="E312" t="s">
        <v>611</v>
      </c>
      <c r="F312" t="s">
        <v>692</v>
      </c>
      <c r="G312" t="s">
        <v>693</v>
      </c>
      <c r="H312" t="s">
        <v>694</v>
      </c>
      <c r="I312" t="s">
        <v>201</v>
      </c>
      <c r="J312" t="s">
        <v>175</v>
      </c>
      <c r="K312" s="30">
        <v>43032</v>
      </c>
      <c r="L312" s="8">
        <v>43027.924050925925</v>
      </c>
      <c r="M312" s="21">
        <f>LEN(ProjTextTable[[#This Row],[text]])</f>
        <v>2309</v>
      </c>
      <c r="N312" s="21">
        <f>LEN(TRIM(CLEAN(SUBSTITUTE(ProjTextTable[[#This Row],[text]],CHAR(10)," "))))+1 - LEN(SUBSTITUTE(CLEAN(SUBSTITUTE(ProjTextTable[[#This Row],[text]],CHAR(10)," "))," ",""))</f>
        <v>353</v>
      </c>
      <c r="O312" t="s">
        <v>199</v>
      </c>
      <c r="P312" t="s">
        <v>1130</v>
      </c>
    </row>
    <row r="313" spans="1:16" x14ac:dyDescent="0.4">
      <c r="A313">
        <f t="shared" si="4"/>
        <v>45</v>
      </c>
      <c r="B313" t="s">
        <v>1126</v>
      </c>
      <c r="C313" t="s">
        <v>631</v>
      </c>
      <c r="D313" t="s">
        <v>192</v>
      </c>
      <c r="E313" t="s">
        <v>611</v>
      </c>
      <c r="F313" t="s">
        <v>621</v>
      </c>
      <c r="G313" t="s">
        <v>622</v>
      </c>
      <c r="H313" t="s">
        <v>623</v>
      </c>
      <c r="I313" t="s">
        <v>201</v>
      </c>
      <c r="J313" t="s">
        <v>175</v>
      </c>
      <c r="K313" s="30">
        <v>43032</v>
      </c>
      <c r="L313" s="8">
        <v>43030.984317129631</v>
      </c>
      <c r="M313" s="21">
        <f>LEN(ProjTextTable[[#This Row],[text]])</f>
        <v>1903</v>
      </c>
      <c r="N313" s="21">
        <f>LEN(TRIM(CLEAN(SUBSTITUTE(ProjTextTable[[#This Row],[text]],CHAR(10)," "))))+1 - LEN(SUBSTITUTE(CLEAN(SUBSTITUTE(ProjTextTable[[#This Row],[text]],CHAR(10)," "))," ",""))</f>
        <v>283</v>
      </c>
      <c r="O313" t="s">
        <v>197</v>
      </c>
      <c r="P313" t="s">
        <v>1131</v>
      </c>
    </row>
    <row r="314" spans="1:16" x14ac:dyDescent="0.4">
      <c r="A314">
        <f t="shared" si="4"/>
        <v>45</v>
      </c>
      <c r="B314" t="s">
        <v>1126</v>
      </c>
      <c r="C314" t="s">
        <v>631</v>
      </c>
      <c r="D314" t="s">
        <v>192</v>
      </c>
      <c r="E314" t="s">
        <v>611</v>
      </c>
      <c r="F314" t="s">
        <v>664</v>
      </c>
      <c r="G314" t="s">
        <v>665</v>
      </c>
      <c r="H314" t="s">
        <v>666</v>
      </c>
      <c r="I314" t="s">
        <v>201</v>
      </c>
      <c r="J314" t="s">
        <v>175</v>
      </c>
      <c r="K314" s="30">
        <v>43032</v>
      </c>
      <c r="L314" s="8">
        <v>43031.775856481479</v>
      </c>
      <c r="M314" s="21">
        <f>LEN(ProjTextTable[[#This Row],[text]])</f>
        <v>1055</v>
      </c>
      <c r="N314" s="21">
        <f>LEN(TRIM(CLEAN(SUBSTITUTE(ProjTextTable[[#This Row],[text]],CHAR(10)," "))))+1 - LEN(SUBSTITUTE(CLEAN(SUBSTITUTE(ProjTextTable[[#This Row],[text]],CHAR(10)," "))," ",""))</f>
        <v>153</v>
      </c>
      <c r="O314" t="s">
        <v>197</v>
      </c>
      <c r="P314" t="s">
        <v>1132</v>
      </c>
    </row>
    <row r="315" spans="1:16" x14ac:dyDescent="0.4">
      <c r="A315">
        <f t="shared" si="4"/>
        <v>46</v>
      </c>
      <c r="B315" t="s">
        <v>1133</v>
      </c>
      <c r="C315" t="s">
        <v>1134</v>
      </c>
      <c r="D315" t="s">
        <v>533</v>
      </c>
      <c r="E315" t="s">
        <v>654</v>
      </c>
      <c r="F315" t="s">
        <v>714</v>
      </c>
      <c r="G315" t="s">
        <v>715</v>
      </c>
      <c r="H315" t="s">
        <v>539</v>
      </c>
      <c r="I315" t="s">
        <v>535</v>
      </c>
      <c r="J315" t="s">
        <v>538</v>
      </c>
      <c r="K315" s="30">
        <v>43059</v>
      </c>
      <c r="L315" s="8">
        <v>43060.622893518521</v>
      </c>
      <c r="M315" s="21">
        <f>LEN(ProjTextTable[[#This Row],[text]])</f>
        <v>3096</v>
      </c>
      <c r="N315" s="21">
        <f>LEN(TRIM(CLEAN(SUBSTITUTE(ProjTextTable[[#This Row],[text]],CHAR(10)," "))))+1 - LEN(SUBSTITUTE(CLEAN(SUBSTITUTE(ProjTextTable[[#This Row],[text]],CHAR(10)," "))," ",""))</f>
        <v>454</v>
      </c>
      <c r="O315" t="s">
        <v>540</v>
      </c>
      <c r="P315" t="s">
        <v>1135</v>
      </c>
    </row>
    <row r="316" spans="1:16" x14ac:dyDescent="0.4">
      <c r="A316">
        <f t="shared" si="4"/>
        <v>46</v>
      </c>
      <c r="B316" t="s">
        <v>1133</v>
      </c>
      <c r="C316" t="s">
        <v>1134</v>
      </c>
      <c r="D316" t="s">
        <v>192</v>
      </c>
      <c r="E316" t="s">
        <v>654</v>
      </c>
      <c r="F316" t="s">
        <v>745</v>
      </c>
      <c r="G316" t="s">
        <v>746</v>
      </c>
      <c r="H316" t="s">
        <v>747</v>
      </c>
      <c r="I316" t="s">
        <v>201</v>
      </c>
      <c r="J316" t="s">
        <v>175</v>
      </c>
      <c r="K316" s="30">
        <v>43060</v>
      </c>
      <c r="L316" s="8">
        <v>43059.033379629633</v>
      </c>
      <c r="M316" s="21">
        <f>LEN(ProjTextTable[[#This Row],[text]])</f>
        <v>1750</v>
      </c>
      <c r="N316" s="21">
        <f>LEN(TRIM(CLEAN(SUBSTITUTE(ProjTextTable[[#This Row],[text]],CHAR(10)," "))))+1 - LEN(SUBSTITUTE(CLEAN(SUBSTITUTE(ProjTextTable[[#This Row],[text]],CHAR(10)," "))," ",""))</f>
        <v>248</v>
      </c>
      <c r="O316" t="s">
        <v>196</v>
      </c>
      <c r="P316" t="s">
        <v>1136</v>
      </c>
    </row>
    <row r="317" spans="1:16" x14ac:dyDescent="0.4">
      <c r="A317">
        <f t="shared" si="4"/>
        <v>46</v>
      </c>
      <c r="B317" t="s">
        <v>1133</v>
      </c>
      <c r="C317" t="s">
        <v>1134</v>
      </c>
      <c r="D317" t="s">
        <v>192</v>
      </c>
      <c r="E317" t="s">
        <v>611</v>
      </c>
      <c r="F317" t="s">
        <v>749</v>
      </c>
      <c r="G317" t="s">
        <v>750</v>
      </c>
      <c r="H317" t="s">
        <v>751</v>
      </c>
      <c r="I317" t="s">
        <v>201</v>
      </c>
      <c r="J317" t="s">
        <v>175</v>
      </c>
      <c r="K317" s="30">
        <v>43060</v>
      </c>
      <c r="L317" s="8">
        <v>43060.398402777777</v>
      </c>
      <c r="M317" s="21">
        <f>LEN(ProjTextTable[[#This Row],[text]])</f>
        <v>1643</v>
      </c>
      <c r="N317" s="21">
        <f>LEN(TRIM(CLEAN(SUBSTITUTE(ProjTextTable[[#This Row],[text]],CHAR(10)," "))))+1 - LEN(SUBSTITUTE(CLEAN(SUBSTITUTE(ProjTextTable[[#This Row],[text]],CHAR(10)," "))," ",""))</f>
        <v>240</v>
      </c>
      <c r="O317" t="s">
        <v>198</v>
      </c>
      <c r="P317" t="s">
        <v>1137</v>
      </c>
    </row>
    <row r="318" spans="1:16" x14ac:dyDescent="0.4">
      <c r="A318">
        <f t="shared" si="4"/>
        <v>46</v>
      </c>
      <c r="B318" t="s">
        <v>1133</v>
      </c>
      <c r="C318" t="s">
        <v>1134</v>
      </c>
      <c r="D318" t="s">
        <v>192</v>
      </c>
      <c r="E318" t="s">
        <v>611</v>
      </c>
      <c r="F318" t="s">
        <v>717</v>
      </c>
      <c r="G318" t="s">
        <v>718</v>
      </c>
      <c r="H318" t="s">
        <v>719</v>
      </c>
      <c r="I318" t="s">
        <v>201</v>
      </c>
      <c r="J318" t="s">
        <v>175</v>
      </c>
      <c r="K318" s="30">
        <v>43060</v>
      </c>
      <c r="L318" s="8">
        <v>43058.877210648148</v>
      </c>
      <c r="M318" s="21">
        <f>LEN(ProjTextTable[[#This Row],[text]])</f>
        <v>3453</v>
      </c>
      <c r="N318" s="21">
        <f>LEN(TRIM(CLEAN(SUBSTITUTE(ProjTextTable[[#This Row],[text]],CHAR(10)," "))))+1 - LEN(SUBSTITUTE(CLEAN(SUBSTITUTE(ProjTextTable[[#This Row],[text]],CHAR(10)," "))," ",""))</f>
        <v>511</v>
      </c>
      <c r="O318" t="s">
        <v>193</v>
      </c>
      <c r="P318" t="s">
        <v>1138</v>
      </c>
    </row>
    <row r="319" spans="1:16" x14ac:dyDescent="0.4">
      <c r="A319">
        <f t="shared" si="4"/>
        <v>46</v>
      </c>
      <c r="B319" t="s">
        <v>1133</v>
      </c>
      <c r="C319" t="s">
        <v>1134</v>
      </c>
      <c r="D319" t="s">
        <v>192</v>
      </c>
      <c r="E319" t="s">
        <v>611</v>
      </c>
      <c r="F319" t="s">
        <v>721</v>
      </c>
      <c r="G319" t="s">
        <v>722</v>
      </c>
      <c r="H319" t="s">
        <v>723</v>
      </c>
      <c r="I319" t="s">
        <v>201</v>
      </c>
      <c r="J319" t="s">
        <v>175</v>
      </c>
      <c r="K319" s="30">
        <v>43060</v>
      </c>
      <c r="L319" s="8">
        <v>43059.06417824074</v>
      </c>
      <c r="M319" s="21">
        <f>LEN(ProjTextTable[[#This Row],[text]])</f>
        <v>817</v>
      </c>
      <c r="N319" s="21">
        <f>LEN(TRIM(CLEAN(SUBSTITUTE(ProjTextTable[[#This Row],[text]],CHAR(10)," "))))+1 - LEN(SUBSTITUTE(CLEAN(SUBSTITUTE(ProjTextTable[[#This Row],[text]],CHAR(10)," "))," ",""))</f>
        <v>129</v>
      </c>
      <c r="O319" t="s">
        <v>175</v>
      </c>
      <c r="P319" t="s">
        <v>1139</v>
      </c>
    </row>
    <row r="320" spans="1:16" x14ac:dyDescent="0.4">
      <c r="A320">
        <f t="shared" si="4"/>
        <v>46</v>
      </c>
      <c r="B320" t="s">
        <v>1133</v>
      </c>
      <c r="C320" t="s">
        <v>1134</v>
      </c>
      <c r="D320" t="s">
        <v>194</v>
      </c>
      <c r="E320" t="s">
        <v>654</v>
      </c>
      <c r="F320" t="s">
        <v>13</v>
      </c>
      <c r="G320" t="s">
        <v>13</v>
      </c>
      <c r="H320" t="s">
        <v>13</v>
      </c>
      <c r="K320" s="30"/>
      <c r="L320" s="8">
        <v>42956.042430555557</v>
      </c>
      <c r="M320" s="21">
        <f>LEN(ProjTextTable[[#This Row],[text]])</f>
        <v>3167</v>
      </c>
      <c r="N320" s="21">
        <f>LEN(TRIM(CLEAN(SUBSTITUTE(ProjTextTable[[#This Row],[text]],CHAR(10)," "))))+1 - LEN(SUBSTITUTE(CLEAN(SUBSTITUTE(ProjTextTable[[#This Row],[text]],CHAR(10)," "))," ",""))</f>
        <v>430</v>
      </c>
      <c r="O320" t="s">
        <v>13</v>
      </c>
      <c r="P320" t="s">
        <v>1140</v>
      </c>
    </row>
    <row r="321" spans="1:16" x14ac:dyDescent="0.4">
      <c r="A321">
        <f t="shared" si="4"/>
        <v>47</v>
      </c>
      <c r="B321" t="s">
        <v>1141</v>
      </c>
      <c r="C321" t="s">
        <v>965</v>
      </c>
      <c r="D321" t="s">
        <v>533</v>
      </c>
      <c r="E321" t="s">
        <v>611</v>
      </c>
      <c r="F321" t="s">
        <v>714</v>
      </c>
      <c r="G321" t="s">
        <v>715</v>
      </c>
      <c r="H321" t="s">
        <v>543</v>
      </c>
      <c r="I321" t="s">
        <v>537</v>
      </c>
      <c r="J321" t="s">
        <v>535</v>
      </c>
      <c r="K321" s="30">
        <v>43059</v>
      </c>
      <c r="L321" s="8">
        <v>43060.652233796296</v>
      </c>
      <c r="M321" s="21">
        <f>LEN(ProjTextTable[[#This Row],[text]])</f>
        <v>4255</v>
      </c>
      <c r="N321" s="21">
        <f>LEN(TRIM(CLEAN(SUBSTITUTE(ProjTextTable[[#This Row],[text]],CHAR(10)," "))))+1 - LEN(SUBSTITUTE(CLEAN(SUBSTITUTE(ProjTextTable[[#This Row],[text]],CHAR(10)," "))," ",""))</f>
        <v>654</v>
      </c>
      <c r="O321" t="s">
        <v>544</v>
      </c>
      <c r="P321" t="s">
        <v>1142</v>
      </c>
    </row>
    <row r="322" spans="1:16" x14ac:dyDescent="0.4">
      <c r="A322">
        <f t="shared" ref="A322:A385" si="5">A321+(B322&lt;&gt;B321)</f>
        <v>47</v>
      </c>
      <c r="B322" t="s">
        <v>1141</v>
      </c>
      <c r="C322" t="s">
        <v>965</v>
      </c>
      <c r="D322" t="s">
        <v>192</v>
      </c>
      <c r="E322" t="s">
        <v>611</v>
      </c>
      <c r="F322" t="s">
        <v>799</v>
      </c>
      <c r="G322" t="s">
        <v>800</v>
      </c>
      <c r="H322" t="s">
        <v>801</v>
      </c>
      <c r="I322" t="s">
        <v>201</v>
      </c>
      <c r="J322" t="s">
        <v>175</v>
      </c>
      <c r="K322" s="30">
        <v>43060</v>
      </c>
      <c r="L322" s="8">
        <v>43056.619537037041</v>
      </c>
      <c r="M322" s="21">
        <f>LEN(ProjTextTable[[#This Row],[text]])</f>
        <v>2478</v>
      </c>
      <c r="N322" s="21">
        <f>LEN(TRIM(CLEAN(SUBSTITUTE(ProjTextTable[[#This Row],[text]],CHAR(10)," "))))+1 - LEN(SUBSTITUTE(CLEAN(SUBSTITUTE(ProjTextTable[[#This Row],[text]],CHAR(10)," "))," ",""))</f>
        <v>375</v>
      </c>
      <c r="O322" t="s">
        <v>196</v>
      </c>
      <c r="P322" t="s">
        <v>1143</v>
      </c>
    </row>
    <row r="323" spans="1:16" x14ac:dyDescent="0.4">
      <c r="A323">
        <f t="shared" si="5"/>
        <v>47</v>
      </c>
      <c r="B323" t="s">
        <v>1141</v>
      </c>
      <c r="C323" t="s">
        <v>965</v>
      </c>
      <c r="D323" t="s">
        <v>192</v>
      </c>
      <c r="E323" t="s">
        <v>611</v>
      </c>
      <c r="F323" t="s">
        <v>745</v>
      </c>
      <c r="G323" t="s">
        <v>746</v>
      </c>
      <c r="H323" t="s">
        <v>747</v>
      </c>
      <c r="I323" t="s">
        <v>201</v>
      </c>
      <c r="J323" t="s">
        <v>175</v>
      </c>
      <c r="K323" s="30">
        <v>43060</v>
      </c>
      <c r="L323" s="8">
        <v>43059.53533564815</v>
      </c>
      <c r="M323" s="21">
        <f>LEN(ProjTextTable[[#This Row],[text]])</f>
        <v>2255</v>
      </c>
      <c r="N323" s="21">
        <f>LEN(TRIM(CLEAN(SUBSTITUTE(ProjTextTable[[#This Row],[text]],CHAR(10)," "))))+1 - LEN(SUBSTITUTE(CLEAN(SUBSTITUTE(ProjTextTable[[#This Row],[text]],CHAR(10)," "))," ",""))</f>
        <v>328</v>
      </c>
      <c r="O323" t="s">
        <v>196</v>
      </c>
      <c r="P323" t="s">
        <v>1144</v>
      </c>
    </row>
    <row r="324" spans="1:16" x14ac:dyDescent="0.4">
      <c r="A324">
        <f t="shared" si="5"/>
        <v>47</v>
      </c>
      <c r="B324" t="s">
        <v>1141</v>
      </c>
      <c r="C324" t="s">
        <v>965</v>
      </c>
      <c r="D324" t="s">
        <v>192</v>
      </c>
      <c r="E324" t="s">
        <v>611</v>
      </c>
      <c r="F324" t="s">
        <v>964</v>
      </c>
      <c r="G324" t="s">
        <v>965</v>
      </c>
      <c r="H324" t="s">
        <v>966</v>
      </c>
      <c r="I324" t="s">
        <v>201</v>
      </c>
      <c r="J324" t="s">
        <v>175</v>
      </c>
      <c r="K324" s="30">
        <v>43060</v>
      </c>
      <c r="L324" s="8">
        <v>43054.505729166667</v>
      </c>
      <c r="M324" s="21">
        <f>LEN(ProjTextTable[[#This Row],[text]])</f>
        <v>1579</v>
      </c>
      <c r="N324" s="21">
        <f>LEN(TRIM(CLEAN(SUBSTITUTE(ProjTextTable[[#This Row],[text]],CHAR(10)," "))))+1 - LEN(SUBSTITUTE(CLEAN(SUBSTITUTE(ProjTextTable[[#This Row],[text]],CHAR(10)," "))," ",""))</f>
        <v>230</v>
      </c>
      <c r="O324" t="s">
        <v>195</v>
      </c>
      <c r="P324" t="s">
        <v>1145</v>
      </c>
    </row>
    <row r="325" spans="1:16" x14ac:dyDescent="0.4">
      <c r="A325">
        <f t="shared" si="5"/>
        <v>47</v>
      </c>
      <c r="B325" t="s">
        <v>1141</v>
      </c>
      <c r="C325" t="s">
        <v>965</v>
      </c>
      <c r="D325" t="s">
        <v>194</v>
      </c>
      <c r="E325" t="s">
        <v>611</v>
      </c>
      <c r="F325" t="s">
        <v>13</v>
      </c>
      <c r="G325" t="s">
        <v>13</v>
      </c>
      <c r="H325" t="s">
        <v>13</v>
      </c>
      <c r="K325" s="30"/>
      <c r="L325" s="8">
        <v>42956.042557870373</v>
      </c>
      <c r="M325" s="21">
        <f>LEN(ProjTextTable[[#This Row],[text]])</f>
        <v>3157</v>
      </c>
      <c r="N325" s="21">
        <f>LEN(TRIM(CLEAN(SUBSTITUTE(ProjTextTable[[#This Row],[text]],CHAR(10)," "))))+1 - LEN(SUBSTITUTE(CLEAN(SUBSTITUTE(ProjTextTable[[#This Row],[text]],CHAR(10)," "))," ",""))</f>
        <v>462</v>
      </c>
      <c r="O325" t="s">
        <v>13</v>
      </c>
      <c r="P325" t="s">
        <v>1146</v>
      </c>
    </row>
    <row r="326" spans="1:16" x14ac:dyDescent="0.4">
      <c r="A326">
        <f t="shared" si="5"/>
        <v>48</v>
      </c>
      <c r="B326" t="s">
        <v>2044</v>
      </c>
      <c r="C326" t="s">
        <v>2045</v>
      </c>
      <c r="D326" t="s">
        <v>533</v>
      </c>
      <c r="E326" t="s">
        <v>2046</v>
      </c>
      <c r="F326" t="s">
        <v>714</v>
      </c>
      <c r="G326" t="s">
        <v>715</v>
      </c>
      <c r="H326" t="s">
        <v>546</v>
      </c>
      <c r="I326" t="s">
        <v>538</v>
      </c>
      <c r="J326" t="s">
        <v>1075</v>
      </c>
      <c r="K326" s="30">
        <v>43059</v>
      </c>
      <c r="L326" s="8">
        <v>43060.673229166663</v>
      </c>
      <c r="M326" s="21">
        <f>LEN(ProjTextTable[[#This Row],[text]])</f>
        <v>5594</v>
      </c>
      <c r="N326" s="21">
        <f>LEN(TRIM(CLEAN(SUBSTITUTE(ProjTextTable[[#This Row],[text]],CHAR(10)," "))))+1 - LEN(SUBSTITUTE(CLEAN(SUBSTITUTE(ProjTextTable[[#This Row],[text]],CHAR(10)," "))," ",""))</f>
        <v>912</v>
      </c>
      <c r="O326" t="s">
        <v>309</v>
      </c>
      <c r="P326" t="s">
        <v>2047</v>
      </c>
    </row>
    <row r="327" spans="1:16" x14ac:dyDescent="0.4">
      <c r="A327">
        <f t="shared" si="5"/>
        <v>48</v>
      </c>
      <c r="B327" t="s">
        <v>2044</v>
      </c>
      <c r="C327" t="s">
        <v>2045</v>
      </c>
      <c r="D327" t="s">
        <v>533</v>
      </c>
      <c r="E327" t="s">
        <v>2046</v>
      </c>
      <c r="F327" t="s">
        <v>2048</v>
      </c>
      <c r="G327" t="s">
        <v>2049</v>
      </c>
      <c r="H327" t="s">
        <v>541</v>
      </c>
      <c r="I327" t="s">
        <v>536</v>
      </c>
      <c r="K327" s="30">
        <v>43067</v>
      </c>
      <c r="L327" s="8">
        <v>43068.488541666666</v>
      </c>
      <c r="M327" s="21">
        <f>LEN(ProjTextTable[[#This Row],[text]])</f>
        <v>3417</v>
      </c>
      <c r="N327" s="21">
        <f>LEN(TRIM(CLEAN(SUBSTITUTE(ProjTextTable[[#This Row],[text]],CHAR(10)," "))))+1 - LEN(SUBSTITUTE(CLEAN(SUBSTITUTE(ProjTextTable[[#This Row],[text]],CHAR(10)," "))," ",""))</f>
        <v>494</v>
      </c>
      <c r="O327" t="s">
        <v>542</v>
      </c>
      <c r="P327" t="s">
        <v>2050</v>
      </c>
    </row>
    <row r="328" spans="1:16" x14ac:dyDescent="0.4">
      <c r="A328">
        <f t="shared" si="5"/>
        <v>48</v>
      </c>
      <c r="B328" t="s">
        <v>2044</v>
      </c>
      <c r="C328" t="s">
        <v>2045</v>
      </c>
      <c r="D328" t="s">
        <v>2</v>
      </c>
      <c r="E328" t="s">
        <v>2046</v>
      </c>
      <c r="F328" t="s">
        <v>13</v>
      </c>
      <c r="G328" t="s">
        <v>609</v>
      </c>
      <c r="H328" t="s">
        <v>13</v>
      </c>
      <c r="I328" t="s">
        <v>13</v>
      </c>
      <c r="K328" s="30"/>
      <c r="L328" s="8">
        <v>43070.440868055557</v>
      </c>
      <c r="M328" s="21">
        <f>LEN(ProjTextTable[[#This Row],[text]])</f>
        <v>3969</v>
      </c>
      <c r="N328" s="21">
        <f>LEN(TRIM(CLEAN(SUBSTITUTE(ProjTextTable[[#This Row],[text]],CHAR(10)," "))))+1 - LEN(SUBSTITUTE(CLEAN(SUBSTITUTE(ProjTextTable[[#This Row],[text]],CHAR(10)," "))," ",""))</f>
        <v>606</v>
      </c>
      <c r="O328" t="s">
        <v>13</v>
      </c>
      <c r="P328" t="s">
        <v>2051</v>
      </c>
    </row>
    <row r="329" spans="1:16" x14ac:dyDescent="0.4">
      <c r="A329">
        <f t="shared" si="5"/>
        <v>48</v>
      </c>
      <c r="B329" t="s">
        <v>2044</v>
      </c>
      <c r="C329" t="s">
        <v>2045</v>
      </c>
      <c r="D329" t="s">
        <v>192</v>
      </c>
      <c r="E329" t="s">
        <v>2052</v>
      </c>
      <c r="F329" t="s">
        <v>799</v>
      </c>
      <c r="G329" t="s">
        <v>800</v>
      </c>
      <c r="H329" t="s">
        <v>801</v>
      </c>
      <c r="I329" t="s">
        <v>201</v>
      </c>
      <c r="J329" t="s">
        <v>175</v>
      </c>
      <c r="K329" s="30">
        <v>43060</v>
      </c>
      <c r="L329" s="8">
        <v>43059.614282407405</v>
      </c>
      <c r="M329" s="21">
        <f>LEN(ProjTextTable[[#This Row],[text]])</f>
        <v>3606</v>
      </c>
      <c r="N329" s="21">
        <f>LEN(TRIM(CLEAN(SUBSTITUTE(ProjTextTable[[#This Row],[text]],CHAR(10)," "))))+1 - LEN(SUBSTITUTE(CLEAN(SUBSTITUTE(ProjTextTable[[#This Row],[text]],CHAR(10)," "))," ",""))</f>
        <v>593</v>
      </c>
      <c r="O329" t="s">
        <v>198</v>
      </c>
      <c r="P329" t="s">
        <v>2053</v>
      </c>
    </row>
    <row r="330" spans="1:16" x14ac:dyDescent="0.4">
      <c r="A330">
        <f t="shared" si="5"/>
        <v>48</v>
      </c>
      <c r="B330" t="s">
        <v>2044</v>
      </c>
      <c r="C330" t="s">
        <v>2045</v>
      </c>
      <c r="D330" t="s">
        <v>192</v>
      </c>
      <c r="E330" t="s">
        <v>2046</v>
      </c>
      <c r="F330" t="s">
        <v>2054</v>
      </c>
      <c r="G330" t="s">
        <v>2055</v>
      </c>
      <c r="H330" t="s">
        <v>2056</v>
      </c>
      <c r="I330" t="s">
        <v>537</v>
      </c>
      <c r="J330" t="s">
        <v>175</v>
      </c>
      <c r="K330" s="30">
        <v>43068</v>
      </c>
      <c r="L330" s="8">
        <v>43068.363229166665</v>
      </c>
      <c r="M330" s="21">
        <f>LEN(ProjTextTable[[#This Row],[text]])</f>
        <v>6314</v>
      </c>
      <c r="N330" s="21">
        <f>LEN(TRIM(CLEAN(SUBSTITUTE(ProjTextTable[[#This Row],[text]],CHAR(10)," "))))+1 - LEN(SUBSTITUTE(CLEAN(SUBSTITUTE(ProjTextTable[[#This Row],[text]],CHAR(10)," "))," ",""))</f>
        <v>1000</v>
      </c>
      <c r="O330" t="s">
        <v>197</v>
      </c>
      <c r="P330" t="s">
        <v>2057</v>
      </c>
    </row>
    <row r="331" spans="1:16" x14ac:dyDescent="0.4">
      <c r="A331">
        <f t="shared" si="5"/>
        <v>48</v>
      </c>
      <c r="B331" t="s">
        <v>2044</v>
      </c>
      <c r="C331" t="s">
        <v>2045</v>
      </c>
      <c r="D331" t="s">
        <v>192</v>
      </c>
      <c r="E331" t="s">
        <v>2046</v>
      </c>
      <c r="F331" t="s">
        <v>2058</v>
      </c>
      <c r="G331" t="s">
        <v>2059</v>
      </c>
      <c r="H331" t="s">
        <v>2060</v>
      </c>
      <c r="I331" t="s">
        <v>537</v>
      </c>
      <c r="J331" t="s">
        <v>175</v>
      </c>
      <c r="K331" s="30">
        <v>43068</v>
      </c>
      <c r="L331" s="8">
        <v>43067.758935185186</v>
      </c>
      <c r="M331" s="21">
        <f>LEN(ProjTextTable[[#This Row],[text]])</f>
        <v>2592</v>
      </c>
      <c r="N331" s="21">
        <f>LEN(TRIM(CLEAN(SUBSTITUTE(ProjTextTable[[#This Row],[text]],CHAR(10)," "))))+1 - LEN(SUBSTITUTE(CLEAN(SUBSTITUTE(ProjTextTable[[#This Row],[text]],CHAR(10)," "))," ",""))</f>
        <v>383</v>
      </c>
      <c r="O331" t="s">
        <v>193</v>
      </c>
      <c r="P331" t="s">
        <v>2061</v>
      </c>
    </row>
    <row r="332" spans="1:16" x14ac:dyDescent="0.4">
      <c r="A332">
        <f t="shared" si="5"/>
        <v>48</v>
      </c>
      <c r="B332" t="s">
        <v>2044</v>
      </c>
      <c r="C332" t="s">
        <v>2045</v>
      </c>
      <c r="D332" t="s">
        <v>192</v>
      </c>
      <c r="E332" t="s">
        <v>2052</v>
      </c>
      <c r="F332" t="s">
        <v>757</v>
      </c>
      <c r="G332" t="s">
        <v>758</v>
      </c>
      <c r="H332" t="s">
        <v>759</v>
      </c>
      <c r="I332" t="s">
        <v>201</v>
      </c>
      <c r="J332" t="s">
        <v>175</v>
      </c>
      <c r="K332" s="30">
        <v>43060</v>
      </c>
      <c r="L332" s="8">
        <v>43057.350092592591</v>
      </c>
      <c r="M332" s="21">
        <f>LEN(ProjTextTable[[#This Row],[text]])</f>
        <v>4440</v>
      </c>
      <c r="N332" s="21">
        <f>LEN(TRIM(CLEAN(SUBSTITUTE(ProjTextTable[[#This Row],[text]],CHAR(10)," "))))+1 - LEN(SUBSTITUTE(CLEAN(SUBSTITUTE(ProjTextTable[[#This Row],[text]],CHAR(10)," "))," ",""))</f>
        <v>695</v>
      </c>
      <c r="O332" t="s">
        <v>229</v>
      </c>
      <c r="P332" t="s">
        <v>2062</v>
      </c>
    </row>
    <row r="333" spans="1:16" x14ac:dyDescent="0.4">
      <c r="A333">
        <f t="shared" si="5"/>
        <v>48</v>
      </c>
      <c r="B333" t="s">
        <v>2044</v>
      </c>
      <c r="C333" t="s">
        <v>2045</v>
      </c>
      <c r="D333" t="s">
        <v>192</v>
      </c>
      <c r="E333" t="s">
        <v>2052</v>
      </c>
      <c r="F333" t="s">
        <v>891</v>
      </c>
      <c r="G333" t="s">
        <v>892</v>
      </c>
      <c r="H333" t="s">
        <v>893</v>
      </c>
      <c r="I333" t="s">
        <v>201</v>
      </c>
      <c r="J333" t="s">
        <v>175</v>
      </c>
      <c r="K333" s="30">
        <v>43060</v>
      </c>
      <c r="L333" s="8">
        <v>43060.569803240738</v>
      </c>
      <c r="M333" s="21">
        <f>LEN(ProjTextTable[[#This Row],[text]])</f>
        <v>3343</v>
      </c>
      <c r="N333" s="21">
        <f>LEN(TRIM(CLEAN(SUBSTITUTE(ProjTextTable[[#This Row],[text]],CHAR(10)," "))))+1 - LEN(SUBSTITUTE(CLEAN(SUBSTITUTE(ProjTextTable[[#This Row],[text]],CHAR(10)," "))," ",""))</f>
        <v>535</v>
      </c>
      <c r="O333" t="s">
        <v>193</v>
      </c>
      <c r="P333" t="s">
        <v>2063</v>
      </c>
    </row>
    <row r="334" spans="1:16" x14ac:dyDescent="0.4">
      <c r="A334">
        <f t="shared" si="5"/>
        <v>48</v>
      </c>
      <c r="B334" t="s">
        <v>2044</v>
      </c>
      <c r="C334" t="s">
        <v>2045</v>
      </c>
      <c r="D334" t="s">
        <v>194</v>
      </c>
      <c r="E334" t="s">
        <v>2046</v>
      </c>
      <c r="F334" t="s">
        <v>13</v>
      </c>
      <c r="G334" t="s">
        <v>13</v>
      </c>
      <c r="H334" t="s">
        <v>13</v>
      </c>
      <c r="K334" s="30"/>
      <c r="L334" s="8">
        <v>42957.042500000003</v>
      </c>
      <c r="M334" s="21">
        <f>LEN(ProjTextTable[[#This Row],[text]])</f>
        <v>4289</v>
      </c>
      <c r="N334" s="21">
        <f>LEN(TRIM(CLEAN(SUBSTITUTE(ProjTextTable[[#This Row],[text]],CHAR(10)," "))))+1 - LEN(SUBSTITUTE(CLEAN(SUBSTITUTE(ProjTextTable[[#This Row],[text]],CHAR(10)," "))," ",""))</f>
        <v>657</v>
      </c>
      <c r="O334" t="s">
        <v>13</v>
      </c>
      <c r="P334" t="s">
        <v>2064</v>
      </c>
    </row>
    <row r="335" spans="1:16" x14ac:dyDescent="0.4">
      <c r="A335">
        <f t="shared" si="5"/>
        <v>49</v>
      </c>
      <c r="B335" t="s">
        <v>1147</v>
      </c>
      <c r="C335" t="s">
        <v>1148</v>
      </c>
      <c r="D335" t="s">
        <v>533</v>
      </c>
      <c r="E335" t="s">
        <v>604</v>
      </c>
      <c r="F335" t="s">
        <v>605</v>
      </c>
      <c r="G335" t="s">
        <v>606</v>
      </c>
      <c r="H335" t="s">
        <v>541</v>
      </c>
      <c r="I335" t="s">
        <v>536</v>
      </c>
      <c r="J335" t="s">
        <v>538</v>
      </c>
      <c r="K335" s="30">
        <v>43031</v>
      </c>
      <c r="L335" s="8">
        <v>43032.655659722222</v>
      </c>
      <c r="M335" s="21">
        <f>LEN(ProjTextTable[[#This Row],[text]])</f>
        <v>2426</v>
      </c>
      <c r="N335" s="21">
        <f>LEN(TRIM(CLEAN(SUBSTITUTE(ProjTextTable[[#This Row],[text]],CHAR(10)," "))))+1 - LEN(SUBSTITUTE(CLEAN(SUBSTITUTE(ProjTextTable[[#This Row],[text]],CHAR(10)," "))," ",""))</f>
        <v>361</v>
      </c>
      <c r="O335" t="s">
        <v>542</v>
      </c>
      <c r="P335" t="s">
        <v>1149</v>
      </c>
    </row>
    <row r="336" spans="1:16" x14ac:dyDescent="0.4">
      <c r="A336">
        <f t="shared" si="5"/>
        <v>49</v>
      </c>
      <c r="B336" t="s">
        <v>1147</v>
      </c>
      <c r="C336" t="s">
        <v>1148</v>
      </c>
      <c r="D336" t="s">
        <v>2</v>
      </c>
      <c r="E336" t="s">
        <v>604</v>
      </c>
      <c r="F336" t="s">
        <v>13</v>
      </c>
      <c r="G336" t="s">
        <v>609</v>
      </c>
      <c r="H336" t="s">
        <v>13</v>
      </c>
      <c r="I336" t="s">
        <v>13</v>
      </c>
      <c r="K336" s="30"/>
      <c r="L336" s="8">
        <v>43082.662800925929</v>
      </c>
      <c r="M336" s="21">
        <f>LEN(ProjTextTable[[#This Row],[text]])</f>
        <v>2067</v>
      </c>
      <c r="N336" s="21">
        <f>LEN(TRIM(CLEAN(SUBSTITUTE(ProjTextTable[[#This Row],[text]],CHAR(10)," "))))+1 - LEN(SUBSTITUTE(CLEAN(SUBSTITUTE(ProjTextTable[[#This Row],[text]],CHAR(10)," "))," ",""))</f>
        <v>302</v>
      </c>
      <c r="O336" t="s">
        <v>13</v>
      </c>
      <c r="P336" t="s">
        <v>1150</v>
      </c>
    </row>
    <row r="337" spans="1:16" x14ac:dyDescent="0.4">
      <c r="A337">
        <f t="shared" si="5"/>
        <v>49</v>
      </c>
      <c r="B337" t="s">
        <v>1147</v>
      </c>
      <c r="C337" t="s">
        <v>1148</v>
      </c>
      <c r="D337" t="s">
        <v>192</v>
      </c>
      <c r="E337" t="s">
        <v>611</v>
      </c>
      <c r="F337" t="s">
        <v>621</v>
      </c>
      <c r="G337" t="s">
        <v>622</v>
      </c>
      <c r="H337" t="s">
        <v>623</v>
      </c>
      <c r="I337" t="s">
        <v>201</v>
      </c>
      <c r="J337" t="s">
        <v>175</v>
      </c>
      <c r="K337" s="30">
        <v>43032</v>
      </c>
      <c r="L337" s="8">
        <v>43029.952604166669</v>
      </c>
      <c r="M337" s="21">
        <f>LEN(ProjTextTable[[#This Row],[text]])</f>
        <v>2564</v>
      </c>
      <c r="N337" s="21">
        <f>LEN(TRIM(CLEAN(SUBSTITUTE(ProjTextTable[[#This Row],[text]],CHAR(10)," "))))+1 - LEN(SUBSTITUTE(CLEAN(SUBSTITUTE(ProjTextTable[[#This Row],[text]],CHAR(10)," "))," ",""))</f>
        <v>374</v>
      </c>
      <c r="O337" t="s">
        <v>193</v>
      </c>
      <c r="P337" t="s">
        <v>1151</v>
      </c>
    </row>
    <row r="338" spans="1:16" x14ac:dyDescent="0.4">
      <c r="A338">
        <f t="shared" si="5"/>
        <v>49</v>
      </c>
      <c r="B338" t="s">
        <v>1147</v>
      </c>
      <c r="C338" t="s">
        <v>1148</v>
      </c>
      <c r="D338" t="s">
        <v>192</v>
      </c>
      <c r="E338" t="s">
        <v>611</v>
      </c>
      <c r="F338" t="s">
        <v>708</v>
      </c>
      <c r="G338" t="s">
        <v>709</v>
      </c>
      <c r="H338" t="s">
        <v>710</v>
      </c>
      <c r="I338" t="s">
        <v>201</v>
      </c>
      <c r="J338" t="s">
        <v>175</v>
      </c>
      <c r="K338" s="30">
        <v>43032</v>
      </c>
      <c r="L338" s="8">
        <v>43031.107453703706</v>
      </c>
      <c r="M338" s="21">
        <f>LEN(ProjTextTable[[#This Row],[text]])</f>
        <v>2410</v>
      </c>
      <c r="N338" s="21">
        <f>LEN(TRIM(CLEAN(SUBSTITUTE(ProjTextTable[[#This Row],[text]],CHAR(10)," "))))+1 - LEN(SUBSTITUTE(CLEAN(SUBSTITUTE(ProjTextTable[[#This Row],[text]],CHAR(10)," "))," ",""))</f>
        <v>358</v>
      </c>
      <c r="O338" t="s">
        <v>193</v>
      </c>
      <c r="P338" t="s">
        <v>1152</v>
      </c>
    </row>
    <row r="339" spans="1:16" x14ac:dyDescent="0.4">
      <c r="A339">
        <f t="shared" si="5"/>
        <v>49</v>
      </c>
      <c r="B339" t="s">
        <v>1147</v>
      </c>
      <c r="C339" t="s">
        <v>1148</v>
      </c>
      <c r="D339" t="s">
        <v>192</v>
      </c>
      <c r="E339" t="s">
        <v>611</v>
      </c>
      <c r="F339" t="s">
        <v>664</v>
      </c>
      <c r="G339" t="s">
        <v>665</v>
      </c>
      <c r="H339" t="s">
        <v>666</v>
      </c>
      <c r="I339" t="s">
        <v>201</v>
      </c>
      <c r="J339" t="s">
        <v>175</v>
      </c>
      <c r="K339" s="30">
        <v>43032</v>
      </c>
      <c r="L339" s="8">
        <v>43031.771365740744</v>
      </c>
      <c r="M339" s="21">
        <f>LEN(ProjTextTable[[#This Row],[text]])</f>
        <v>2018</v>
      </c>
      <c r="N339" s="21">
        <f>LEN(TRIM(CLEAN(SUBSTITUTE(ProjTextTable[[#This Row],[text]],CHAR(10)," "))))+1 - LEN(SUBSTITUTE(CLEAN(SUBSTITUTE(ProjTextTable[[#This Row],[text]],CHAR(10)," "))," ",""))</f>
        <v>300</v>
      </c>
      <c r="O339" t="s">
        <v>193</v>
      </c>
      <c r="P339" t="s">
        <v>1153</v>
      </c>
    </row>
    <row r="340" spans="1:16" x14ac:dyDescent="0.4">
      <c r="A340">
        <f t="shared" si="5"/>
        <v>49</v>
      </c>
      <c r="B340" t="s">
        <v>1147</v>
      </c>
      <c r="C340" t="s">
        <v>1148</v>
      </c>
      <c r="D340" t="s">
        <v>194</v>
      </c>
      <c r="E340" t="s">
        <v>604</v>
      </c>
      <c r="F340" t="s">
        <v>13</v>
      </c>
      <c r="G340" t="s">
        <v>13</v>
      </c>
      <c r="H340" t="s">
        <v>13</v>
      </c>
      <c r="K340" s="30"/>
      <c r="L340" s="8">
        <v>42957.042546296296</v>
      </c>
      <c r="M340" s="21">
        <f>LEN(ProjTextTable[[#This Row],[text]])</f>
        <v>4631</v>
      </c>
      <c r="N340" s="21">
        <f>LEN(TRIM(CLEAN(SUBSTITUTE(ProjTextTable[[#This Row],[text]],CHAR(10)," "))))+1 - LEN(SUBSTITUTE(CLEAN(SUBSTITUTE(ProjTextTable[[#This Row],[text]],CHAR(10)," "))," ",""))</f>
        <v>656</v>
      </c>
      <c r="O340" t="s">
        <v>13</v>
      </c>
      <c r="P340" t="s">
        <v>1154</v>
      </c>
    </row>
    <row r="341" spans="1:16" x14ac:dyDescent="0.4">
      <c r="A341">
        <f t="shared" si="5"/>
        <v>50</v>
      </c>
      <c r="B341" t="s">
        <v>1155</v>
      </c>
      <c r="C341" t="s">
        <v>1156</v>
      </c>
      <c r="D341" t="s">
        <v>533</v>
      </c>
      <c r="E341" t="s">
        <v>654</v>
      </c>
      <c r="F341" t="s">
        <v>605</v>
      </c>
      <c r="G341" t="s">
        <v>606</v>
      </c>
      <c r="H341" t="s">
        <v>543</v>
      </c>
      <c r="I341" t="s">
        <v>537</v>
      </c>
      <c r="J341" t="s">
        <v>537</v>
      </c>
      <c r="K341" s="30">
        <v>43031</v>
      </c>
      <c r="L341" s="8">
        <v>43032.660509259258</v>
      </c>
      <c r="M341" s="21">
        <f>LEN(ProjTextTable[[#This Row],[text]])</f>
        <v>3383</v>
      </c>
      <c r="N341" s="21">
        <f>LEN(TRIM(CLEAN(SUBSTITUTE(ProjTextTable[[#This Row],[text]],CHAR(10)," "))))+1 - LEN(SUBSTITUTE(CLEAN(SUBSTITUTE(ProjTextTable[[#This Row],[text]],CHAR(10)," "))," ",""))</f>
        <v>505</v>
      </c>
      <c r="O341" t="s">
        <v>544</v>
      </c>
      <c r="P341" t="s">
        <v>1157</v>
      </c>
    </row>
    <row r="342" spans="1:16" x14ac:dyDescent="0.4">
      <c r="A342">
        <f t="shared" si="5"/>
        <v>50</v>
      </c>
      <c r="B342" t="s">
        <v>1155</v>
      </c>
      <c r="C342" t="s">
        <v>1156</v>
      </c>
      <c r="D342" t="s">
        <v>1158</v>
      </c>
      <c r="E342" t="s">
        <v>654</v>
      </c>
      <c r="F342" t="s">
        <v>13</v>
      </c>
      <c r="G342" t="s">
        <v>1159</v>
      </c>
      <c r="H342" t="s">
        <v>13</v>
      </c>
      <c r="I342" t="s">
        <v>13</v>
      </c>
      <c r="K342" s="30"/>
      <c r="L342" s="8">
        <v>43069.566967592589</v>
      </c>
      <c r="M342" s="21">
        <f>LEN(ProjTextTable[[#This Row],[text]])</f>
        <v>3750</v>
      </c>
      <c r="N342" s="21">
        <f>LEN(TRIM(CLEAN(SUBSTITUTE(ProjTextTable[[#This Row],[text]],CHAR(10)," "))))+1 - LEN(SUBSTITUTE(CLEAN(SUBSTITUTE(ProjTextTable[[#This Row],[text]],CHAR(10)," "))," ",""))</f>
        <v>588</v>
      </c>
      <c r="O342" t="s">
        <v>13</v>
      </c>
      <c r="P342" t="s">
        <v>1160</v>
      </c>
    </row>
    <row r="343" spans="1:16" x14ac:dyDescent="0.4">
      <c r="A343">
        <f t="shared" si="5"/>
        <v>50</v>
      </c>
      <c r="B343" t="s">
        <v>1155</v>
      </c>
      <c r="C343" t="s">
        <v>1156</v>
      </c>
      <c r="D343" t="s">
        <v>192</v>
      </c>
      <c r="E343" t="s">
        <v>611</v>
      </c>
      <c r="F343" t="s">
        <v>639</v>
      </c>
      <c r="G343" t="s">
        <v>640</v>
      </c>
      <c r="H343" t="s">
        <v>641</v>
      </c>
      <c r="I343" t="s">
        <v>201</v>
      </c>
      <c r="J343" t="s">
        <v>175</v>
      </c>
      <c r="K343" s="30">
        <v>43032</v>
      </c>
      <c r="L343" s="8">
        <v>43030.168969907405</v>
      </c>
      <c r="M343" s="21">
        <f>LEN(ProjTextTable[[#This Row],[text]])</f>
        <v>1663</v>
      </c>
      <c r="N343" s="21">
        <f>LEN(TRIM(CLEAN(SUBSTITUTE(ProjTextTable[[#This Row],[text]],CHAR(10)," "))))+1 - LEN(SUBSTITUTE(CLEAN(SUBSTITUTE(ProjTextTable[[#This Row],[text]],CHAR(10)," "))," ",""))</f>
        <v>245</v>
      </c>
      <c r="O343" t="s">
        <v>196</v>
      </c>
      <c r="P343" t="s">
        <v>1161</v>
      </c>
    </row>
    <row r="344" spans="1:16" x14ac:dyDescent="0.4">
      <c r="A344">
        <f t="shared" si="5"/>
        <v>50</v>
      </c>
      <c r="B344" t="s">
        <v>1155</v>
      </c>
      <c r="C344" t="s">
        <v>1156</v>
      </c>
      <c r="D344" t="s">
        <v>192</v>
      </c>
      <c r="E344" t="s">
        <v>611</v>
      </c>
      <c r="F344" t="s">
        <v>617</v>
      </c>
      <c r="G344" t="s">
        <v>618</v>
      </c>
      <c r="H344" t="s">
        <v>619</v>
      </c>
      <c r="I344" t="s">
        <v>201</v>
      </c>
      <c r="J344" t="s">
        <v>175</v>
      </c>
      <c r="K344" s="30">
        <v>43032</v>
      </c>
      <c r="L344" s="8">
        <v>43031.369733796295</v>
      </c>
      <c r="M344" s="21">
        <f>LEN(ProjTextTable[[#This Row],[text]])</f>
        <v>1591</v>
      </c>
      <c r="N344" s="21">
        <f>LEN(TRIM(CLEAN(SUBSTITUTE(ProjTextTable[[#This Row],[text]],CHAR(10)," "))))+1 - LEN(SUBSTITUTE(CLEAN(SUBSTITUTE(ProjTextTable[[#This Row],[text]],CHAR(10)," "))," ",""))</f>
        <v>257</v>
      </c>
      <c r="O344" t="s">
        <v>196</v>
      </c>
      <c r="P344" t="s">
        <v>1162</v>
      </c>
    </row>
    <row r="345" spans="1:16" x14ac:dyDescent="0.4">
      <c r="A345">
        <f t="shared" si="5"/>
        <v>50</v>
      </c>
      <c r="B345" t="s">
        <v>1155</v>
      </c>
      <c r="C345" t="s">
        <v>1156</v>
      </c>
      <c r="D345" t="s">
        <v>192</v>
      </c>
      <c r="E345" t="s">
        <v>611</v>
      </c>
      <c r="F345" t="s">
        <v>697</v>
      </c>
      <c r="G345" t="s">
        <v>698</v>
      </c>
      <c r="H345" t="s">
        <v>699</v>
      </c>
      <c r="I345" t="s">
        <v>201</v>
      </c>
      <c r="J345" t="s">
        <v>175</v>
      </c>
      <c r="K345" s="30">
        <v>43032</v>
      </c>
      <c r="L345" s="8">
        <v>43030.807129629633</v>
      </c>
      <c r="M345" s="21">
        <f>LEN(ProjTextTable[[#This Row],[text]])</f>
        <v>1135</v>
      </c>
      <c r="N345" s="21">
        <f>LEN(TRIM(CLEAN(SUBSTITUTE(ProjTextTable[[#This Row],[text]],CHAR(10)," "))))+1 - LEN(SUBSTITUTE(CLEAN(SUBSTITUTE(ProjTextTable[[#This Row],[text]],CHAR(10)," "))," ",""))</f>
        <v>169</v>
      </c>
      <c r="O345" t="s">
        <v>196</v>
      </c>
      <c r="P345" t="s">
        <v>1163</v>
      </c>
    </row>
    <row r="346" spans="1:16" x14ac:dyDescent="0.4">
      <c r="A346">
        <f t="shared" si="5"/>
        <v>51</v>
      </c>
      <c r="B346" t="s">
        <v>1164</v>
      </c>
      <c r="C346" t="s">
        <v>1165</v>
      </c>
      <c r="D346" t="s">
        <v>533</v>
      </c>
      <c r="E346" t="s">
        <v>1166</v>
      </c>
      <c r="F346" t="s">
        <v>714</v>
      </c>
      <c r="G346" t="s">
        <v>715</v>
      </c>
      <c r="H346" t="s">
        <v>541</v>
      </c>
      <c r="I346" t="s">
        <v>536</v>
      </c>
      <c r="J346" t="s">
        <v>534</v>
      </c>
      <c r="K346" s="30">
        <v>43059</v>
      </c>
      <c r="L346" s="8">
        <v>43060.632615740738</v>
      </c>
      <c r="M346" s="21">
        <f>LEN(ProjTextTable[[#This Row],[text]])</f>
        <v>3491</v>
      </c>
      <c r="N346" s="21">
        <f>LEN(TRIM(CLEAN(SUBSTITUTE(ProjTextTable[[#This Row],[text]],CHAR(10)," "))))+1 - LEN(SUBSTITUTE(CLEAN(SUBSTITUTE(ProjTextTable[[#This Row],[text]],CHAR(10)," "))," ",""))</f>
        <v>510</v>
      </c>
      <c r="O346" t="s">
        <v>542</v>
      </c>
      <c r="P346" t="s">
        <v>1167</v>
      </c>
    </row>
    <row r="347" spans="1:16" x14ac:dyDescent="0.4">
      <c r="A347">
        <f t="shared" si="5"/>
        <v>51</v>
      </c>
      <c r="B347" t="s">
        <v>1164</v>
      </c>
      <c r="C347" t="s">
        <v>1165</v>
      </c>
      <c r="D347" t="s">
        <v>533</v>
      </c>
      <c r="E347" t="s">
        <v>1166</v>
      </c>
      <c r="F347" t="s">
        <v>1168</v>
      </c>
      <c r="G347" t="s">
        <v>1169</v>
      </c>
      <c r="H347" t="s">
        <v>539</v>
      </c>
      <c r="I347" t="s">
        <v>535</v>
      </c>
      <c r="J347" t="s">
        <v>535</v>
      </c>
      <c r="K347" s="30">
        <v>43055</v>
      </c>
      <c r="L347" s="8">
        <v>43056.744641203702</v>
      </c>
      <c r="M347" s="21">
        <f>LEN(ProjTextTable[[#This Row],[text]])</f>
        <v>8224</v>
      </c>
      <c r="N347" s="21">
        <f>LEN(TRIM(CLEAN(SUBSTITUTE(ProjTextTable[[#This Row],[text]],CHAR(10)," "))))+1 - LEN(SUBSTITUTE(CLEAN(SUBSTITUTE(ProjTextTable[[#This Row],[text]],CHAR(10)," "))," ",""))</f>
        <v>1258</v>
      </c>
      <c r="O347" t="s">
        <v>540</v>
      </c>
      <c r="P347" t="s">
        <v>1170</v>
      </c>
    </row>
    <row r="348" spans="1:16" x14ac:dyDescent="0.4">
      <c r="A348">
        <f t="shared" si="5"/>
        <v>51</v>
      </c>
      <c r="B348" t="s">
        <v>1164</v>
      </c>
      <c r="C348" t="s">
        <v>1165</v>
      </c>
      <c r="D348" t="s">
        <v>192</v>
      </c>
      <c r="E348" t="s">
        <v>1166</v>
      </c>
      <c r="F348" t="s">
        <v>749</v>
      </c>
      <c r="G348" t="s">
        <v>750</v>
      </c>
      <c r="H348" t="s">
        <v>751</v>
      </c>
      <c r="I348" t="s">
        <v>201</v>
      </c>
      <c r="J348" t="s">
        <v>1171</v>
      </c>
      <c r="K348" s="30">
        <v>43060</v>
      </c>
      <c r="L348" s="8">
        <v>43060.397789351853</v>
      </c>
      <c r="M348" s="21">
        <f>LEN(ProjTextTable[[#This Row],[text]])</f>
        <v>531</v>
      </c>
      <c r="N348" s="21">
        <f>LEN(TRIM(CLEAN(SUBSTITUTE(ProjTextTable[[#This Row],[text]],CHAR(10)," "))))+1 - LEN(SUBSTITUTE(CLEAN(SUBSTITUTE(ProjTextTable[[#This Row],[text]],CHAR(10)," "))," ",""))</f>
        <v>72</v>
      </c>
      <c r="O348" t="s">
        <v>175</v>
      </c>
      <c r="P348" t="s">
        <v>1172</v>
      </c>
    </row>
    <row r="349" spans="1:16" x14ac:dyDescent="0.4">
      <c r="A349">
        <f t="shared" si="5"/>
        <v>51</v>
      </c>
      <c r="B349" t="s">
        <v>1164</v>
      </c>
      <c r="C349" t="s">
        <v>1165</v>
      </c>
      <c r="D349" t="s">
        <v>192</v>
      </c>
      <c r="E349" t="s">
        <v>1166</v>
      </c>
      <c r="F349" t="s">
        <v>753</v>
      </c>
      <c r="G349" t="s">
        <v>754</v>
      </c>
      <c r="H349" t="s">
        <v>755</v>
      </c>
      <c r="I349" t="s">
        <v>201</v>
      </c>
      <c r="J349" t="s">
        <v>175</v>
      </c>
      <c r="K349" s="30">
        <v>43060</v>
      </c>
      <c r="L349" s="8">
        <v>43054.827337962961</v>
      </c>
      <c r="M349" s="21">
        <f>LEN(ProjTextTable[[#This Row],[text]])</f>
        <v>2608</v>
      </c>
      <c r="N349" s="21">
        <f>LEN(TRIM(CLEAN(SUBSTITUTE(ProjTextTable[[#This Row],[text]],CHAR(10)," "))))+1 - LEN(SUBSTITUTE(CLEAN(SUBSTITUTE(ProjTextTable[[#This Row],[text]],CHAR(10)," "))," ",""))</f>
        <v>407</v>
      </c>
      <c r="O349" t="s">
        <v>193</v>
      </c>
      <c r="P349" t="s">
        <v>1173</v>
      </c>
    </row>
    <row r="350" spans="1:16" x14ac:dyDescent="0.4">
      <c r="A350">
        <f t="shared" si="5"/>
        <v>51</v>
      </c>
      <c r="B350" t="s">
        <v>1164</v>
      </c>
      <c r="C350" t="s">
        <v>1165</v>
      </c>
      <c r="D350" t="s">
        <v>192</v>
      </c>
      <c r="E350" t="s">
        <v>1166</v>
      </c>
      <c r="F350" t="s">
        <v>1174</v>
      </c>
      <c r="G350" t="s">
        <v>1175</v>
      </c>
      <c r="H350" t="s">
        <v>1176</v>
      </c>
      <c r="I350" t="s">
        <v>201</v>
      </c>
      <c r="J350" t="s">
        <v>175</v>
      </c>
      <c r="K350" s="30">
        <v>43056</v>
      </c>
      <c r="L350" s="8">
        <v>43055.891493055555</v>
      </c>
      <c r="M350" s="21">
        <f>LEN(ProjTextTable[[#This Row],[text]])</f>
        <v>2468</v>
      </c>
      <c r="N350" s="21">
        <f>LEN(TRIM(CLEAN(SUBSTITUTE(ProjTextTable[[#This Row],[text]],CHAR(10)," "))))+1 - LEN(SUBSTITUTE(CLEAN(SUBSTITUTE(ProjTextTable[[#This Row],[text]],CHAR(10)," "))," ",""))</f>
        <v>370</v>
      </c>
      <c r="O350" t="s">
        <v>193</v>
      </c>
      <c r="P350" t="s">
        <v>1177</v>
      </c>
    </row>
    <row r="351" spans="1:16" x14ac:dyDescent="0.4">
      <c r="A351">
        <f t="shared" si="5"/>
        <v>51</v>
      </c>
      <c r="B351" t="s">
        <v>1164</v>
      </c>
      <c r="C351" t="s">
        <v>1165</v>
      </c>
      <c r="D351" t="s">
        <v>192</v>
      </c>
      <c r="E351" t="s">
        <v>1166</v>
      </c>
      <c r="F351" t="s">
        <v>1178</v>
      </c>
      <c r="G351" t="s">
        <v>1179</v>
      </c>
      <c r="H351" t="s">
        <v>1180</v>
      </c>
      <c r="I351" t="s">
        <v>201</v>
      </c>
      <c r="J351" t="s">
        <v>175</v>
      </c>
      <c r="K351" s="30">
        <v>43056</v>
      </c>
      <c r="L351" s="8">
        <v>43056.450486111113</v>
      </c>
      <c r="M351" s="21">
        <f>LEN(ProjTextTable[[#This Row],[text]])</f>
        <v>2741</v>
      </c>
      <c r="N351" s="21">
        <f>LEN(TRIM(CLEAN(SUBSTITUTE(ProjTextTable[[#This Row],[text]],CHAR(10)," "))))+1 - LEN(SUBSTITUTE(CLEAN(SUBSTITUTE(ProjTextTable[[#This Row],[text]],CHAR(10)," "))," ",""))</f>
        <v>390</v>
      </c>
      <c r="O351" t="s">
        <v>196</v>
      </c>
      <c r="P351" t="s">
        <v>1181</v>
      </c>
    </row>
    <row r="352" spans="1:16" x14ac:dyDescent="0.4">
      <c r="A352">
        <f t="shared" si="5"/>
        <v>51</v>
      </c>
      <c r="B352" t="s">
        <v>1164</v>
      </c>
      <c r="C352" t="s">
        <v>1165</v>
      </c>
      <c r="D352" t="s">
        <v>192</v>
      </c>
      <c r="E352" t="s">
        <v>1166</v>
      </c>
      <c r="F352" t="s">
        <v>721</v>
      </c>
      <c r="G352" t="s">
        <v>722</v>
      </c>
      <c r="H352" t="s">
        <v>723</v>
      </c>
      <c r="I352" t="s">
        <v>201</v>
      </c>
      <c r="J352" t="s">
        <v>175</v>
      </c>
      <c r="K352" s="30">
        <v>43060</v>
      </c>
      <c r="L352" s="8">
        <v>43059.398784722223</v>
      </c>
      <c r="M352" s="21">
        <f>LEN(ProjTextTable[[#This Row],[text]])</f>
        <v>1038</v>
      </c>
      <c r="N352" s="21">
        <f>LEN(TRIM(CLEAN(SUBSTITUTE(ProjTextTable[[#This Row],[text]],CHAR(10)," "))))+1 - LEN(SUBSTITUTE(CLEAN(SUBSTITUTE(ProjTextTable[[#This Row],[text]],CHAR(10)," "))," ",""))</f>
        <v>160</v>
      </c>
      <c r="O352" t="s">
        <v>175</v>
      </c>
      <c r="P352" t="s">
        <v>1182</v>
      </c>
    </row>
    <row r="353" spans="1:16" x14ac:dyDescent="0.4">
      <c r="A353">
        <f t="shared" si="5"/>
        <v>51</v>
      </c>
      <c r="B353" t="s">
        <v>1164</v>
      </c>
      <c r="C353" t="s">
        <v>1165</v>
      </c>
      <c r="D353" t="s">
        <v>192</v>
      </c>
      <c r="E353" t="s">
        <v>1166</v>
      </c>
      <c r="F353" t="s">
        <v>1183</v>
      </c>
      <c r="G353" t="s">
        <v>1184</v>
      </c>
      <c r="H353" t="s">
        <v>1185</v>
      </c>
      <c r="I353" t="s">
        <v>201</v>
      </c>
      <c r="J353" t="s">
        <v>175</v>
      </c>
      <c r="K353" s="30">
        <v>43056</v>
      </c>
      <c r="L353" s="8">
        <v>43055.670520833337</v>
      </c>
      <c r="M353" s="21">
        <f>LEN(ProjTextTable[[#This Row],[text]])</f>
        <v>4016</v>
      </c>
      <c r="N353" s="21">
        <f>LEN(TRIM(CLEAN(SUBSTITUTE(ProjTextTable[[#This Row],[text]],CHAR(10)," "))))+1 - LEN(SUBSTITUTE(CLEAN(SUBSTITUTE(ProjTextTable[[#This Row],[text]],CHAR(10)," "))," ",""))</f>
        <v>607</v>
      </c>
      <c r="O353" t="s">
        <v>197</v>
      </c>
      <c r="P353" t="s">
        <v>1186</v>
      </c>
    </row>
    <row r="354" spans="1:16" x14ac:dyDescent="0.4">
      <c r="A354">
        <f t="shared" si="5"/>
        <v>51</v>
      </c>
      <c r="B354" t="s">
        <v>1164</v>
      </c>
      <c r="C354" t="s">
        <v>1165</v>
      </c>
      <c r="D354" t="s">
        <v>192</v>
      </c>
      <c r="E354" t="s">
        <v>1166</v>
      </c>
      <c r="F354" t="s">
        <v>776</v>
      </c>
      <c r="G354" t="s">
        <v>777</v>
      </c>
      <c r="H354" t="s">
        <v>778</v>
      </c>
      <c r="I354" t="s">
        <v>201</v>
      </c>
      <c r="J354" t="s">
        <v>175</v>
      </c>
      <c r="K354" s="30">
        <v>43060</v>
      </c>
      <c r="L354" s="8">
        <v>43058.943298611113</v>
      </c>
      <c r="M354" s="21">
        <f>LEN(ProjTextTable[[#This Row],[text]])</f>
        <v>2545</v>
      </c>
      <c r="N354" s="21">
        <f>LEN(TRIM(CLEAN(SUBSTITUTE(ProjTextTable[[#This Row],[text]],CHAR(10)," "))))+1 - LEN(SUBSTITUTE(CLEAN(SUBSTITUTE(ProjTextTable[[#This Row],[text]],CHAR(10)," "))," ",""))</f>
        <v>377</v>
      </c>
      <c r="O354" t="s">
        <v>193</v>
      </c>
      <c r="P354" t="s">
        <v>1187</v>
      </c>
    </row>
    <row r="355" spans="1:16" x14ac:dyDescent="0.4">
      <c r="A355">
        <f t="shared" si="5"/>
        <v>51</v>
      </c>
      <c r="B355" t="s">
        <v>1164</v>
      </c>
      <c r="C355" t="s">
        <v>1165</v>
      </c>
      <c r="D355" t="s">
        <v>192</v>
      </c>
      <c r="E355" t="s">
        <v>1166</v>
      </c>
      <c r="F355" t="s">
        <v>1188</v>
      </c>
      <c r="G355" t="s">
        <v>1189</v>
      </c>
      <c r="H355" t="s">
        <v>1190</v>
      </c>
      <c r="I355" t="s">
        <v>175</v>
      </c>
      <c r="J355" t="s">
        <v>175</v>
      </c>
      <c r="K355" s="30">
        <v>43053</v>
      </c>
      <c r="L355" s="8">
        <v>43054.411898148152</v>
      </c>
      <c r="M355" s="21">
        <f>LEN(ProjTextTable[[#This Row],[text]])</f>
        <v>3944</v>
      </c>
      <c r="N355" s="21">
        <f>LEN(TRIM(CLEAN(SUBSTITUTE(ProjTextTable[[#This Row],[text]],CHAR(10)," "))))+1 - LEN(SUBSTITUTE(CLEAN(SUBSTITUTE(ProjTextTable[[#This Row],[text]],CHAR(10)," "))," ",""))</f>
        <v>625</v>
      </c>
      <c r="O355" t="s">
        <v>193</v>
      </c>
      <c r="P355" t="s">
        <v>1191</v>
      </c>
    </row>
    <row r="356" spans="1:16" x14ac:dyDescent="0.4">
      <c r="A356">
        <f t="shared" si="5"/>
        <v>51</v>
      </c>
      <c r="B356" t="s">
        <v>1164</v>
      </c>
      <c r="C356" t="s">
        <v>1165</v>
      </c>
      <c r="D356" t="s">
        <v>192</v>
      </c>
      <c r="E356" t="s">
        <v>1166</v>
      </c>
      <c r="F356" t="s">
        <v>891</v>
      </c>
      <c r="G356" t="s">
        <v>892</v>
      </c>
      <c r="H356" t="s">
        <v>893</v>
      </c>
      <c r="I356" t="s">
        <v>201</v>
      </c>
      <c r="J356" t="s">
        <v>175</v>
      </c>
      <c r="K356" s="30">
        <v>43060</v>
      </c>
      <c r="L356" s="8">
        <v>43058.966643518521</v>
      </c>
      <c r="M356" s="21">
        <f>LEN(ProjTextTable[[#This Row],[text]])</f>
        <v>2873</v>
      </c>
      <c r="N356" s="21">
        <f>LEN(TRIM(CLEAN(SUBSTITUTE(ProjTextTable[[#This Row],[text]],CHAR(10)," "))))+1 - LEN(SUBSTITUTE(CLEAN(SUBSTITUTE(ProjTextTable[[#This Row],[text]],CHAR(10)," "))," ",""))</f>
        <v>429</v>
      </c>
      <c r="O356" t="s">
        <v>193</v>
      </c>
      <c r="P356" t="s">
        <v>1192</v>
      </c>
    </row>
    <row r="357" spans="1:16" x14ac:dyDescent="0.4">
      <c r="A357">
        <f t="shared" si="5"/>
        <v>51</v>
      </c>
      <c r="B357" t="s">
        <v>1164</v>
      </c>
      <c r="C357" t="s">
        <v>1165</v>
      </c>
      <c r="D357" t="s">
        <v>194</v>
      </c>
      <c r="E357" t="s">
        <v>1166</v>
      </c>
      <c r="F357" t="s">
        <v>13</v>
      </c>
      <c r="G357" t="s">
        <v>13</v>
      </c>
      <c r="H357" t="s">
        <v>13</v>
      </c>
      <c r="K357" s="30"/>
      <c r="L357" s="8">
        <v>42957.042731481481</v>
      </c>
      <c r="M357" s="21">
        <f>LEN(ProjTextTable[[#This Row],[text]])</f>
        <v>2775</v>
      </c>
      <c r="N357" s="21">
        <f>LEN(TRIM(CLEAN(SUBSTITUTE(ProjTextTable[[#This Row],[text]],CHAR(10)," "))))+1 - LEN(SUBSTITUTE(CLEAN(SUBSTITUTE(ProjTextTable[[#This Row],[text]],CHAR(10)," "))," ",""))</f>
        <v>375</v>
      </c>
      <c r="O357" t="s">
        <v>13</v>
      </c>
      <c r="P357" t="s">
        <v>1193</v>
      </c>
    </row>
    <row r="358" spans="1:16" x14ac:dyDescent="0.4">
      <c r="A358">
        <f t="shared" si="5"/>
        <v>52</v>
      </c>
      <c r="B358" t="s">
        <v>1194</v>
      </c>
      <c r="C358" t="s">
        <v>1195</v>
      </c>
      <c r="D358" t="s">
        <v>533</v>
      </c>
      <c r="E358" t="s">
        <v>611</v>
      </c>
      <c r="F358" t="s">
        <v>605</v>
      </c>
      <c r="G358" t="s">
        <v>606</v>
      </c>
      <c r="H358" t="s">
        <v>539</v>
      </c>
      <c r="I358" t="s">
        <v>535</v>
      </c>
      <c r="J358" t="s">
        <v>535</v>
      </c>
      <c r="K358" s="30">
        <v>43031</v>
      </c>
      <c r="L358" s="8">
        <v>43032.667974537035</v>
      </c>
      <c r="M358" s="21">
        <f>LEN(ProjTextTable[[#This Row],[text]])</f>
        <v>2371</v>
      </c>
      <c r="N358" s="21">
        <f>LEN(TRIM(CLEAN(SUBSTITUTE(ProjTextTable[[#This Row],[text]],CHAR(10)," "))))+1 - LEN(SUBSTITUTE(CLEAN(SUBSTITUTE(ProjTextTable[[#This Row],[text]],CHAR(10)," "))," ",""))</f>
        <v>361</v>
      </c>
      <c r="O358" t="s">
        <v>540</v>
      </c>
      <c r="P358" t="s">
        <v>1196</v>
      </c>
    </row>
    <row r="359" spans="1:16" x14ac:dyDescent="0.4">
      <c r="A359">
        <f t="shared" si="5"/>
        <v>52</v>
      </c>
      <c r="B359" t="s">
        <v>1194</v>
      </c>
      <c r="C359" t="s">
        <v>1195</v>
      </c>
      <c r="D359" t="s">
        <v>192</v>
      </c>
      <c r="E359" t="s">
        <v>611</v>
      </c>
      <c r="F359" t="s">
        <v>612</v>
      </c>
      <c r="G359" t="s">
        <v>613</v>
      </c>
      <c r="H359" t="s">
        <v>614</v>
      </c>
      <c r="I359" t="s">
        <v>201</v>
      </c>
      <c r="J359" t="s">
        <v>175</v>
      </c>
      <c r="K359" s="30">
        <v>43032</v>
      </c>
      <c r="L359" s="8">
        <v>43031.767731481479</v>
      </c>
      <c r="M359" s="21">
        <f>LEN(ProjTextTable[[#This Row],[text]])</f>
        <v>3988</v>
      </c>
      <c r="N359" s="21">
        <f>LEN(TRIM(CLEAN(SUBSTITUTE(ProjTextTable[[#This Row],[text]],CHAR(10)," "))))+1 - LEN(SUBSTITUTE(CLEAN(SUBSTITUTE(ProjTextTable[[#This Row],[text]],CHAR(10)," "))," ",""))</f>
        <v>620</v>
      </c>
      <c r="O359" t="s">
        <v>198</v>
      </c>
      <c r="P359" t="s">
        <v>1197</v>
      </c>
    </row>
    <row r="360" spans="1:16" x14ac:dyDescent="0.4">
      <c r="A360">
        <f t="shared" si="5"/>
        <v>52</v>
      </c>
      <c r="B360" t="s">
        <v>1194</v>
      </c>
      <c r="C360" t="s">
        <v>1195</v>
      </c>
      <c r="D360" t="s">
        <v>192</v>
      </c>
      <c r="E360" t="s">
        <v>611</v>
      </c>
      <c r="F360" t="s">
        <v>708</v>
      </c>
      <c r="G360" t="s">
        <v>709</v>
      </c>
      <c r="H360" t="s">
        <v>710</v>
      </c>
      <c r="I360" t="s">
        <v>201</v>
      </c>
      <c r="J360" t="s">
        <v>175</v>
      </c>
      <c r="K360" s="30">
        <v>43032</v>
      </c>
      <c r="L360" s="8">
        <v>43031.147233796299</v>
      </c>
      <c r="M360" s="21">
        <f>LEN(ProjTextTable[[#This Row],[text]])</f>
        <v>1088</v>
      </c>
      <c r="N360" s="21">
        <f>LEN(TRIM(CLEAN(SUBSTITUTE(ProjTextTable[[#This Row],[text]],CHAR(10)," "))))+1 - LEN(SUBSTITUTE(CLEAN(SUBSTITUTE(ProjTextTable[[#This Row],[text]],CHAR(10)," "))," ",""))</f>
        <v>154</v>
      </c>
      <c r="O360" t="s">
        <v>196</v>
      </c>
      <c r="P360" t="s">
        <v>1198</v>
      </c>
    </row>
    <row r="361" spans="1:16" x14ac:dyDescent="0.4">
      <c r="A361">
        <f t="shared" si="5"/>
        <v>52</v>
      </c>
      <c r="B361" t="s">
        <v>1194</v>
      </c>
      <c r="C361" t="s">
        <v>1195</v>
      </c>
      <c r="D361" t="s">
        <v>192</v>
      </c>
      <c r="E361" t="s">
        <v>611</v>
      </c>
      <c r="F361" t="s">
        <v>647</v>
      </c>
      <c r="G361" t="s">
        <v>648</v>
      </c>
      <c r="H361" t="s">
        <v>649</v>
      </c>
      <c r="I361" t="s">
        <v>201</v>
      </c>
      <c r="J361" t="s">
        <v>175</v>
      </c>
      <c r="K361" s="30">
        <v>43032</v>
      </c>
      <c r="L361" s="8">
        <v>43031.020694444444</v>
      </c>
      <c r="M361" s="21">
        <f>LEN(ProjTextTable[[#This Row],[text]])</f>
        <v>2238</v>
      </c>
      <c r="N361" s="21">
        <f>LEN(TRIM(CLEAN(SUBSTITUTE(ProjTextTable[[#This Row],[text]],CHAR(10)," "))))+1 - LEN(SUBSTITUTE(CLEAN(SUBSTITUTE(ProjTextTable[[#This Row],[text]],CHAR(10)," "))," ",""))</f>
        <v>333</v>
      </c>
      <c r="O361" t="s">
        <v>198</v>
      </c>
      <c r="P361" t="s">
        <v>1199</v>
      </c>
    </row>
    <row r="362" spans="1:16" x14ac:dyDescent="0.4">
      <c r="A362">
        <f t="shared" si="5"/>
        <v>52</v>
      </c>
      <c r="B362" t="s">
        <v>1194</v>
      </c>
      <c r="C362" t="s">
        <v>1195</v>
      </c>
      <c r="D362" t="s">
        <v>194</v>
      </c>
      <c r="E362" t="s">
        <v>611</v>
      </c>
      <c r="F362" t="s">
        <v>13</v>
      </c>
      <c r="G362" t="s">
        <v>13</v>
      </c>
      <c r="H362" t="s">
        <v>13</v>
      </c>
      <c r="K362" s="30"/>
      <c r="L362" s="8">
        <v>42957.042812500003</v>
      </c>
      <c r="M362" s="21">
        <f>LEN(ProjTextTable[[#This Row],[text]])</f>
        <v>2797</v>
      </c>
      <c r="N362" s="21">
        <f>LEN(TRIM(CLEAN(SUBSTITUTE(ProjTextTable[[#This Row],[text]],CHAR(10)," "))))+1 - LEN(SUBSTITUTE(CLEAN(SUBSTITUTE(ProjTextTable[[#This Row],[text]],CHAR(10)," "))," ",""))</f>
        <v>393</v>
      </c>
      <c r="O362" t="s">
        <v>13</v>
      </c>
      <c r="P362" t="s">
        <v>1200</v>
      </c>
    </row>
    <row r="363" spans="1:16" x14ac:dyDescent="0.4">
      <c r="A363">
        <f t="shared" si="5"/>
        <v>53</v>
      </c>
      <c r="B363" t="s">
        <v>1201</v>
      </c>
      <c r="C363" t="s">
        <v>1202</v>
      </c>
      <c r="D363" t="s">
        <v>533</v>
      </c>
      <c r="E363" t="s">
        <v>604</v>
      </c>
      <c r="F363" t="s">
        <v>605</v>
      </c>
      <c r="G363" t="s">
        <v>606</v>
      </c>
      <c r="H363" t="s">
        <v>546</v>
      </c>
      <c r="I363" t="s">
        <v>538</v>
      </c>
      <c r="J363" t="s">
        <v>534</v>
      </c>
      <c r="K363" s="30">
        <v>43031</v>
      </c>
      <c r="L363" s="8">
        <v>43032.656527777777</v>
      </c>
      <c r="M363" s="21">
        <f>LEN(ProjTextTable[[#This Row],[text]])</f>
        <v>3554</v>
      </c>
      <c r="N363" s="21">
        <f>LEN(TRIM(CLEAN(SUBSTITUTE(ProjTextTable[[#This Row],[text]],CHAR(10)," "))))+1 - LEN(SUBSTITUTE(CLEAN(SUBSTITUTE(ProjTextTable[[#This Row],[text]],CHAR(10)," "))," ",""))</f>
        <v>563</v>
      </c>
      <c r="O363" t="s">
        <v>309</v>
      </c>
      <c r="P363" t="s">
        <v>1203</v>
      </c>
    </row>
    <row r="364" spans="1:16" x14ac:dyDescent="0.4">
      <c r="A364">
        <f t="shared" si="5"/>
        <v>53</v>
      </c>
      <c r="B364" t="s">
        <v>1201</v>
      </c>
      <c r="C364" t="s">
        <v>1202</v>
      </c>
      <c r="D364" t="s">
        <v>2</v>
      </c>
      <c r="E364" t="s">
        <v>604</v>
      </c>
      <c r="F364" t="s">
        <v>13</v>
      </c>
      <c r="G364" t="s">
        <v>609</v>
      </c>
      <c r="H364" t="s">
        <v>13</v>
      </c>
      <c r="I364" t="s">
        <v>13</v>
      </c>
      <c r="K364" s="30"/>
      <c r="L364" s="8">
        <v>43082.669189814813</v>
      </c>
      <c r="M364" s="21">
        <f>LEN(ProjTextTable[[#This Row],[text]])</f>
        <v>2013</v>
      </c>
      <c r="N364" s="21">
        <f>LEN(TRIM(CLEAN(SUBSTITUTE(ProjTextTable[[#This Row],[text]],CHAR(10)," "))))+1 - LEN(SUBSTITUTE(CLEAN(SUBSTITUTE(ProjTextTable[[#This Row],[text]],CHAR(10)," "))," ",""))</f>
        <v>293</v>
      </c>
      <c r="O364" t="s">
        <v>13</v>
      </c>
      <c r="P364" t="s">
        <v>1204</v>
      </c>
    </row>
    <row r="365" spans="1:16" x14ac:dyDescent="0.4">
      <c r="A365">
        <f t="shared" si="5"/>
        <v>53</v>
      </c>
      <c r="B365" t="s">
        <v>1201</v>
      </c>
      <c r="C365" t="s">
        <v>1202</v>
      </c>
      <c r="D365" t="s">
        <v>192</v>
      </c>
      <c r="E365" t="s">
        <v>611</v>
      </c>
      <c r="F365" t="s">
        <v>688</v>
      </c>
      <c r="G365" t="s">
        <v>689</v>
      </c>
      <c r="H365" t="s">
        <v>690</v>
      </c>
      <c r="I365" t="s">
        <v>201</v>
      </c>
      <c r="J365" t="s">
        <v>175</v>
      </c>
      <c r="K365" s="30">
        <v>43032</v>
      </c>
      <c r="L365" s="8">
        <v>43030.886724537035</v>
      </c>
      <c r="M365" s="21">
        <f>LEN(ProjTextTable[[#This Row],[text]])</f>
        <v>2250</v>
      </c>
      <c r="N365" s="21">
        <f>LEN(TRIM(CLEAN(SUBSTITUTE(ProjTextTable[[#This Row],[text]],CHAR(10)," "))))+1 - LEN(SUBSTITUTE(CLEAN(SUBSTITUTE(ProjTextTable[[#This Row],[text]],CHAR(10)," "))," ",""))</f>
        <v>331</v>
      </c>
      <c r="O365" t="s">
        <v>193</v>
      </c>
      <c r="P365" t="s">
        <v>1205</v>
      </c>
    </row>
    <row r="366" spans="1:16" x14ac:dyDescent="0.4">
      <c r="A366">
        <f t="shared" si="5"/>
        <v>53</v>
      </c>
      <c r="B366" t="s">
        <v>1201</v>
      </c>
      <c r="C366" t="s">
        <v>1202</v>
      </c>
      <c r="D366" t="s">
        <v>192</v>
      </c>
      <c r="E366" t="s">
        <v>611</v>
      </c>
      <c r="F366" t="s">
        <v>612</v>
      </c>
      <c r="G366" t="s">
        <v>613</v>
      </c>
      <c r="H366" t="s">
        <v>614</v>
      </c>
      <c r="I366" t="s">
        <v>201</v>
      </c>
      <c r="J366" t="s">
        <v>175</v>
      </c>
      <c r="K366" s="30">
        <v>43032</v>
      </c>
      <c r="L366" s="8">
        <v>43025.633287037039</v>
      </c>
      <c r="M366" s="21">
        <f>LEN(ProjTextTable[[#This Row],[text]])</f>
        <v>2071</v>
      </c>
      <c r="N366" s="21">
        <f>LEN(TRIM(CLEAN(SUBSTITUTE(ProjTextTable[[#This Row],[text]],CHAR(10)," "))))+1 - LEN(SUBSTITUTE(CLEAN(SUBSTITUTE(ProjTextTable[[#This Row],[text]],CHAR(10)," "))," ",""))</f>
        <v>314</v>
      </c>
      <c r="O366" t="s">
        <v>195</v>
      </c>
      <c r="P366" t="s">
        <v>1206</v>
      </c>
    </row>
    <row r="367" spans="1:16" x14ac:dyDescent="0.4">
      <c r="A367">
        <f t="shared" si="5"/>
        <v>53</v>
      </c>
      <c r="B367" t="s">
        <v>1201</v>
      </c>
      <c r="C367" t="s">
        <v>1202</v>
      </c>
      <c r="D367" t="s">
        <v>192</v>
      </c>
      <c r="E367" t="s">
        <v>611</v>
      </c>
      <c r="F367" t="s">
        <v>643</v>
      </c>
      <c r="G367" t="s">
        <v>644</v>
      </c>
      <c r="H367" t="s">
        <v>645</v>
      </c>
      <c r="I367" t="s">
        <v>201</v>
      </c>
      <c r="J367" t="s">
        <v>175</v>
      </c>
      <c r="K367" s="30">
        <v>43032</v>
      </c>
      <c r="L367" s="8">
        <v>43031.742314814815</v>
      </c>
      <c r="M367" s="21">
        <f>LEN(ProjTextTable[[#This Row],[text]])</f>
        <v>1610</v>
      </c>
      <c r="N367" s="21">
        <f>LEN(TRIM(CLEAN(SUBSTITUTE(ProjTextTable[[#This Row],[text]],CHAR(10)," "))))+1 - LEN(SUBSTITUTE(CLEAN(SUBSTITUTE(ProjTextTable[[#This Row],[text]],CHAR(10)," "))," ",""))</f>
        <v>237</v>
      </c>
      <c r="O367" t="s">
        <v>197</v>
      </c>
      <c r="P367" t="s">
        <v>1207</v>
      </c>
    </row>
    <row r="368" spans="1:16" x14ac:dyDescent="0.4">
      <c r="A368">
        <f t="shared" si="5"/>
        <v>53</v>
      </c>
      <c r="B368" t="s">
        <v>1201</v>
      </c>
      <c r="C368" t="s">
        <v>1202</v>
      </c>
      <c r="D368" t="s">
        <v>194</v>
      </c>
      <c r="E368" t="s">
        <v>604</v>
      </c>
      <c r="F368" t="s">
        <v>13</v>
      </c>
      <c r="G368" t="s">
        <v>13</v>
      </c>
      <c r="H368" t="s">
        <v>13</v>
      </c>
      <c r="K368" s="30"/>
      <c r="L368" s="8">
        <v>42957.042870370373</v>
      </c>
      <c r="M368" s="21">
        <f>LEN(ProjTextTable[[#This Row],[text]])</f>
        <v>4426</v>
      </c>
      <c r="N368" s="21">
        <f>LEN(TRIM(CLEAN(SUBSTITUTE(ProjTextTable[[#This Row],[text]],CHAR(10)," "))))+1 - LEN(SUBSTITUTE(CLEAN(SUBSTITUTE(ProjTextTable[[#This Row],[text]],CHAR(10)," "))," ",""))</f>
        <v>577</v>
      </c>
      <c r="O368" t="s">
        <v>13</v>
      </c>
      <c r="P368" t="s">
        <v>1208</v>
      </c>
    </row>
    <row r="369" spans="1:16" x14ac:dyDescent="0.4">
      <c r="A369">
        <f t="shared" si="5"/>
        <v>54</v>
      </c>
      <c r="B369" t="s">
        <v>1209</v>
      </c>
      <c r="C369" t="s">
        <v>1210</v>
      </c>
      <c r="D369" t="s">
        <v>533</v>
      </c>
      <c r="E369" t="s">
        <v>611</v>
      </c>
      <c r="F369" t="s">
        <v>714</v>
      </c>
      <c r="G369" t="s">
        <v>715</v>
      </c>
      <c r="H369" t="s">
        <v>541</v>
      </c>
      <c r="I369" t="s">
        <v>536</v>
      </c>
      <c r="J369" t="s">
        <v>534</v>
      </c>
      <c r="K369" s="30">
        <v>43059</v>
      </c>
      <c r="L369" s="8">
        <v>43060.618263888886</v>
      </c>
      <c r="M369" s="21">
        <f>LEN(ProjTextTable[[#This Row],[text]])</f>
        <v>1859</v>
      </c>
      <c r="N369" s="21">
        <f>LEN(TRIM(CLEAN(SUBSTITUTE(ProjTextTable[[#This Row],[text]],CHAR(10)," "))))+1 - LEN(SUBSTITUTE(CLEAN(SUBSTITUTE(ProjTextTable[[#This Row],[text]],CHAR(10)," "))," ",""))</f>
        <v>279</v>
      </c>
      <c r="O369" t="s">
        <v>542</v>
      </c>
      <c r="P369" t="s">
        <v>1211</v>
      </c>
    </row>
    <row r="370" spans="1:16" x14ac:dyDescent="0.4">
      <c r="A370">
        <f t="shared" si="5"/>
        <v>54</v>
      </c>
      <c r="B370" t="s">
        <v>1209</v>
      </c>
      <c r="C370" t="s">
        <v>1210</v>
      </c>
      <c r="D370" t="s">
        <v>2</v>
      </c>
      <c r="E370" t="s">
        <v>611</v>
      </c>
      <c r="F370" t="s">
        <v>13</v>
      </c>
      <c r="G370" t="s">
        <v>609</v>
      </c>
      <c r="H370" t="s">
        <v>13</v>
      </c>
      <c r="I370" t="s">
        <v>13</v>
      </c>
      <c r="K370" s="30"/>
      <c r="L370" s="8">
        <v>43082.662939814814</v>
      </c>
      <c r="M370" s="21">
        <f>LEN(ProjTextTable[[#This Row],[text]])</f>
        <v>1986</v>
      </c>
      <c r="N370" s="21">
        <f>LEN(TRIM(CLEAN(SUBSTITUTE(ProjTextTable[[#This Row],[text]],CHAR(10)," "))))+1 - LEN(SUBSTITUTE(CLEAN(SUBSTITUTE(ProjTextTable[[#This Row],[text]],CHAR(10)," "))," ",""))</f>
        <v>294</v>
      </c>
      <c r="O370" t="s">
        <v>13</v>
      </c>
      <c r="P370" t="s">
        <v>1212</v>
      </c>
    </row>
    <row r="371" spans="1:16" x14ac:dyDescent="0.4">
      <c r="A371">
        <f t="shared" si="5"/>
        <v>54</v>
      </c>
      <c r="B371" t="s">
        <v>1209</v>
      </c>
      <c r="C371" t="s">
        <v>1210</v>
      </c>
      <c r="D371" t="s">
        <v>192</v>
      </c>
      <c r="E371" t="s">
        <v>611</v>
      </c>
      <c r="F371" t="s">
        <v>799</v>
      </c>
      <c r="G371" t="s">
        <v>800</v>
      </c>
      <c r="H371" t="s">
        <v>801</v>
      </c>
      <c r="I371" t="s">
        <v>201</v>
      </c>
      <c r="J371" t="s">
        <v>175</v>
      </c>
      <c r="K371" s="30">
        <v>43060</v>
      </c>
      <c r="L371" s="8">
        <v>43056.633599537039</v>
      </c>
      <c r="M371" s="21">
        <f>LEN(ProjTextTable[[#This Row],[text]])</f>
        <v>3570</v>
      </c>
      <c r="N371" s="21">
        <f>LEN(TRIM(CLEAN(SUBSTITUTE(ProjTextTable[[#This Row],[text]],CHAR(10)," "))))+1 - LEN(SUBSTITUTE(CLEAN(SUBSTITUTE(ProjTextTable[[#This Row],[text]],CHAR(10)," "))," ",""))</f>
        <v>569</v>
      </c>
      <c r="O371" t="s">
        <v>193</v>
      </c>
      <c r="P371" t="s">
        <v>1213</v>
      </c>
    </row>
    <row r="372" spans="1:16" x14ac:dyDescent="0.4">
      <c r="A372">
        <f t="shared" si="5"/>
        <v>54</v>
      </c>
      <c r="B372" t="s">
        <v>1209</v>
      </c>
      <c r="C372" t="s">
        <v>1210</v>
      </c>
      <c r="D372" t="s">
        <v>192</v>
      </c>
      <c r="E372" t="s">
        <v>611</v>
      </c>
      <c r="F372" t="s">
        <v>749</v>
      </c>
      <c r="G372" t="s">
        <v>750</v>
      </c>
      <c r="H372" t="s">
        <v>751</v>
      </c>
      <c r="I372" t="s">
        <v>201</v>
      </c>
      <c r="J372" t="s">
        <v>175</v>
      </c>
      <c r="K372" s="30">
        <v>43060</v>
      </c>
      <c r="L372" s="8">
        <v>43059.231377314813</v>
      </c>
      <c r="M372" s="21">
        <f>LEN(ProjTextTable[[#This Row],[text]])</f>
        <v>1366</v>
      </c>
      <c r="N372" s="21">
        <f>LEN(TRIM(CLEAN(SUBSTITUTE(ProjTextTable[[#This Row],[text]],CHAR(10)," "))))+1 - LEN(SUBSTITUTE(CLEAN(SUBSTITUTE(ProjTextTable[[#This Row],[text]],CHAR(10)," "))," ",""))</f>
        <v>195</v>
      </c>
      <c r="O372" t="s">
        <v>196</v>
      </c>
      <c r="P372" t="s">
        <v>1214</v>
      </c>
    </row>
    <row r="373" spans="1:16" x14ac:dyDescent="0.4">
      <c r="A373">
        <f t="shared" si="5"/>
        <v>54</v>
      </c>
      <c r="B373" t="s">
        <v>1209</v>
      </c>
      <c r="C373" t="s">
        <v>1210</v>
      </c>
      <c r="D373" t="s">
        <v>192</v>
      </c>
      <c r="E373" t="s">
        <v>611</v>
      </c>
      <c r="F373" t="s">
        <v>964</v>
      </c>
      <c r="G373" t="s">
        <v>965</v>
      </c>
      <c r="H373" t="s">
        <v>966</v>
      </c>
      <c r="I373" t="s">
        <v>201</v>
      </c>
      <c r="J373" t="s">
        <v>175</v>
      </c>
      <c r="K373" s="30">
        <v>43060</v>
      </c>
      <c r="L373" s="8">
        <v>43058.043298611112</v>
      </c>
      <c r="M373" s="21">
        <f>LEN(ProjTextTable[[#This Row],[text]])</f>
        <v>2059</v>
      </c>
      <c r="N373" s="21">
        <f>LEN(TRIM(CLEAN(SUBSTITUTE(ProjTextTable[[#This Row],[text]],CHAR(10)," "))))+1 - LEN(SUBSTITUTE(CLEAN(SUBSTITUTE(ProjTextTable[[#This Row],[text]],CHAR(10)," "))," ",""))</f>
        <v>304</v>
      </c>
      <c r="O373" t="s">
        <v>193</v>
      </c>
      <c r="P373" t="s">
        <v>1215</v>
      </c>
    </row>
    <row r="374" spans="1:16" x14ac:dyDescent="0.4">
      <c r="A374">
        <f t="shared" si="5"/>
        <v>54</v>
      </c>
      <c r="B374" t="s">
        <v>1209</v>
      </c>
      <c r="C374" t="s">
        <v>1210</v>
      </c>
      <c r="D374" t="s">
        <v>194</v>
      </c>
      <c r="E374" t="s">
        <v>611</v>
      </c>
      <c r="F374" t="s">
        <v>13</v>
      </c>
      <c r="G374" t="s">
        <v>13</v>
      </c>
      <c r="H374" t="s">
        <v>13</v>
      </c>
      <c r="K374" s="30"/>
      <c r="L374" s="8">
        <v>42957.042881944442</v>
      </c>
      <c r="M374" s="21">
        <f>LEN(ProjTextTable[[#This Row],[text]])</f>
        <v>3662</v>
      </c>
      <c r="N374" s="21">
        <f>LEN(TRIM(CLEAN(SUBSTITUTE(ProjTextTable[[#This Row],[text]],CHAR(10)," "))))+1 - LEN(SUBSTITUTE(CLEAN(SUBSTITUTE(ProjTextTable[[#This Row],[text]],CHAR(10)," "))," ",""))</f>
        <v>510</v>
      </c>
      <c r="O374" t="s">
        <v>13</v>
      </c>
      <c r="P374" t="s">
        <v>1216</v>
      </c>
    </row>
    <row r="375" spans="1:16" x14ac:dyDescent="0.4">
      <c r="A375">
        <f t="shared" si="5"/>
        <v>55</v>
      </c>
      <c r="B375" t="s">
        <v>1217</v>
      </c>
      <c r="C375" t="s">
        <v>1218</v>
      </c>
      <c r="D375" t="s">
        <v>533</v>
      </c>
      <c r="E375" t="s">
        <v>611</v>
      </c>
      <c r="F375" t="s">
        <v>714</v>
      </c>
      <c r="G375" t="s">
        <v>715</v>
      </c>
      <c r="H375" t="s">
        <v>543</v>
      </c>
      <c r="I375" t="s">
        <v>537</v>
      </c>
      <c r="J375" t="s">
        <v>537</v>
      </c>
      <c r="K375" s="30">
        <v>43059</v>
      </c>
      <c r="L375" s="8">
        <v>43060.622777777775</v>
      </c>
      <c r="M375" s="21">
        <f>LEN(ProjTextTable[[#This Row],[text]])</f>
        <v>1408</v>
      </c>
      <c r="N375" s="21">
        <f>LEN(TRIM(CLEAN(SUBSTITUTE(ProjTextTable[[#This Row],[text]],CHAR(10)," "))))+1 - LEN(SUBSTITUTE(CLEAN(SUBSTITUTE(ProjTextTable[[#This Row],[text]],CHAR(10)," "))," ",""))</f>
        <v>207</v>
      </c>
      <c r="O375" t="s">
        <v>544</v>
      </c>
      <c r="P375" t="s">
        <v>1219</v>
      </c>
    </row>
    <row r="376" spans="1:16" x14ac:dyDescent="0.4">
      <c r="A376">
        <f t="shared" si="5"/>
        <v>55</v>
      </c>
      <c r="B376" t="s">
        <v>1217</v>
      </c>
      <c r="C376" t="s">
        <v>1218</v>
      </c>
      <c r="D376" t="s">
        <v>192</v>
      </c>
      <c r="E376" t="s">
        <v>611</v>
      </c>
      <c r="F376" t="s">
        <v>725</v>
      </c>
      <c r="G376" t="s">
        <v>726</v>
      </c>
      <c r="H376" t="s">
        <v>727</v>
      </c>
      <c r="I376" t="s">
        <v>201</v>
      </c>
      <c r="J376" t="s">
        <v>175</v>
      </c>
      <c r="K376" s="30">
        <v>43060</v>
      </c>
      <c r="L376" s="8">
        <v>43060.396203703705</v>
      </c>
      <c r="M376" s="21">
        <f>LEN(ProjTextTable[[#This Row],[text]])</f>
        <v>1508</v>
      </c>
      <c r="N376" s="21">
        <f>LEN(TRIM(CLEAN(SUBSTITUTE(ProjTextTable[[#This Row],[text]],CHAR(10)," "))))+1 - LEN(SUBSTITUTE(CLEAN(SUBSTITUTE(ProjTextTable[[#This Row],[text]],CHAR(10)," "))," ",""))</f>
        <v>224</v>
      </c>
      <c r="O376" t="s">
        <v>229</v>
      </c>
      <c r="P376" t="s">
        <v>1220</v>
      </c>
    </row>
    <row r="377" spans="1:16" x14ac:dyDescent="0.4">
      <c r="A377">
        <f t="shared" si="5"/>
        <v>55</v>
      </c>
      <c r="B377" t="s">
        <v>1217</v>
      </c>
      <c r="C377" t="s">
        <v>1218</v>
      </c>
      <c r="D377" t="s">
        <v>192</v>
      </c>
      <c r="E377" t="s">
        <v>611</v>
      </c>
      <c r="F377" t="s">
        <v>776</v>
      </c>
      <c r="G377" t="s">
        <v>777</v>
      </c>
      <c r="H377" t="s">
        <v>778</v>
      </c>
      <c r="I377" t="s">
        <v>201</v>
      </c>
      <c r="J377" t="s">
        <v>175</v>
      </c>
      <c r="K377" s="30">
        <v>43060</v>
      </c>
      <c r="L377" s="8">
        <v>43058.906793981485</v>
      </c>
      <c r="M377" s="21">
        <f>LEN(ProjTextTable[[#This Row],[text]])</f>
        <v>1783</v>
      </c>
      <c r="N377" s="21">
        <f>LEN(TRIM(CLEAN(SUBSTITUTE(ProjTextTable[[#This Row],[text]],CHAR(10)," "))))+1 - LEN(SUBSTITUTE(CLEAN(SUBSTITUTE(ProjTextTable[[#This Row],[text]],CHAR(10)," "))," ",""))</f>
        <v>248</v>
      </c>
      <c r="O377" t="s">
        <v>229</v>
      </c>
      <c r="P377" t="s">
        <v>1221</v>
      </c>
    </row>
    <row r="378" spans="1:16" x14ac:dyDescent="0.4">
      <c r="A378">
        <f t="shared" si="5"/>
        <v>55</v>
      </c>
      <c r="B378" t="s">
        <v>1217</v>
      </c>
      <c r="C378" t="s">
        <v>1218</v>
      </c>
      <c r="D378" t="s">
        <v>192</v>
      </c>
      <c r="E378" t="s">
        <v>611</v>
      </c>
      <c r="F378" t="s">
        <v>729</v>
      </c>
      <c r="G378" t="s">
        <v>730</v>
      </c>
      <c r="H378" t="s">
        <v>731</v>
      </c>
      <c r="I378" t="s">
        <v>201</v>
      </c>
      <c r="J378" t="s">
        <v>175</v>
      </c>
      <c r="K378" s="30">
        <v>43060</v>
      </c>
      <c r="L378" s="8">
        <v>43057.490289351852</v>
      </c>
      <c r="M378" s="21">
        <f>LEN(ProjTextTable[[#This Row],[text]])</f>
        <v>1538</v>
      </c>
      <c r="N378" s="21">
        <f>LEN(TRIM(CLEAN(SUBSTITUTE(ProjTextTable[[#This Row],[text]],CHAR(10)," "))))+1 - LEN(SUBSTITUTE(CLEAN(SUBSTITUTE(ProjTextTable[[#This Row],[text]],CHAR(10)," "))," ",""))</f>
        <v>224</v>
      </c>
      <c r="O378" t="s">
        <v>195</v>
      </c>
      <c r="P378" t="s">
        <v>1222</v>
      </c>
    </row>
    <row r="379" spans="1:16" x14ac:dyDescent="0.4">
      <c r="A379">
        <f t="shared" si="5"/>
        <v>55</v>
      </c>
      <c r="B379" t="s">
        <v>1217</v>
      </c>
      <c r="C379" t="s">
        <v>1218</v>
      </c>
      <c r="D379" t="s">
        <v>194</v>
      </c>
      <c r="E379" t="s">
        <v>611</v>
      </c>
      <c r="F379" t="s">
        <v>13</v>
      </c>
      <c r="G379" t="s">
        <v>13</v>
      </c>
      <c r="H379" t="s">
        <v>13</v>
      </c>
      <c r="K379" s="30"/>
      <c r="L379" s="8">
        <v>42957.042951388888</v>
      </c>
      <c r="M379" s="21">
        <f>LEN(ProjTextTable[[#This Row],[text]])</f>
        <v>3667</v>
      </c>
      <c r="N379" s="21">
        <f>LEN(TRIM(CLEAN(SUBSTITUTE(ProjTextTable[[#This Row],[text]],CHAR(10)," "))))+1 - LEN(SUBSTITUTE(CLEAN(SUBSTITUTE(ProjTextTable[[#This Row],[text]],CHAR(10)," "))," ",""))</f>
        <v>501</v>
      </c>
      <c r="O379" t="s">
        <v>13</v>
      </c>
      <c r="P379" t="s">
        <v>1223</v>
      </c>
    </row>
    <row r="380" spans="1:16" x14ac:dyDescent="0.4">
      <c r="A380">
        <f t="shared" si="5"/>
        <v>56</v>
      </c>
      <c r="B380" t="s">
        <v>1224</v>
      </c>
      <c r="C380" t="s">
        <v>1225</v>
      </c>
      <c r="D380" t="s">
        <v>533</v>
      </c>
      <c r="E380" t="s">
        <v>611</v>
      </c>
      <c r="F380" t="s">
        <v>714</v>
      </c>
      <c r="G380" t="s">
        <v>715</v>
      </c>
      <c r="H380" t="s">
        <v>541</v>
      </c>
      <c r="I380" t="s">
        <v>536</v>
      </c>
      <c r="J380" t="s">
        <v>534</v>
      </c>
      <c r="K380" s="30">
        <v>43059</v>
      </c>
      <c r="L380" s="8">
        <v>43060.662372685183</v>
      </c>
      <c r="M380" s="21">
        <f>LEN(ProjTextTable[[#This Row],[text]])</f>
        <v>3012</v>
      </c>
      <c r="N380" s="21">
        <f>LEN(TRIM(CLEAN(SUBSTITUTE(ProjTextTable[[#This Row],[text]],CHAR(10)," "))))+1 - LEN(SUBSTITUTE(CLEAN(SUBSTITUTE(ProjTextTable[[#This Row],[text]],CHAR(10)," "))," ",""))</f>
        <v>439</v>
      </c>
      <c r="O380" t="s">
        <v>542</v>
      </c>
      <c r="P380" t="s">
        <v>1226</v>
      </c>
    </row>
    <row r="381" spans="1:16" x14ac:dyDescent="0.4">
      <c r="A381">
        <f t="shared" si="5"/>
        <v>56</v>
      </c>
      <c r="B381" t="s">
        <v>1224</v>
      </c>
      <c r="C381" t="s">
        <v>1225</v>
      </c>
      <c r="D381" t="s">
        <v>2</v>
      </c>
      <c r="E381" t="s">
        <v>611</v>
      </c>
      <c r="F381" t="s">
        <v>13</v>
      </c>
      <c r="G381" t="s">
        <v>609</v>
      </c>
      <c r="H381" t="s">
        <v>13</v>
      </c>
      <c r="I381" t="s">
        <v>13</v>
      </c>
      <c r="K381" s="30"/>
      <c r="L381" s="8">
        <v>43082.66300925926</v>
      </c>
      <c r="M381" s="21">
        <f>LEN(ProjTextTable[[#This Row],[text]])</f>
        <v>2011</v>
      </c>
      <c r="N381" s="21">
        <f>LEN(TRIM(CLEAN(SUBSTITUTE(ProjTextTable[[#This Row],[text]],CHAR(10)," "))))+1 - LEN(SUBSTITUTE(CLEAN(SUBSTITUTE(ProjTextTable[[#This Row],[text]],CHAR(10)," "))," ",""))</f>
        <v>295</v>
      </c>
      <c r="O381" t="s">
        <v>13</v>
      </c>
      <c r="P381" t="s">
        <v>1227</v>
      </c>
    </row>
    <row r="382" spans="1:16" x14ac:dyDescent="0.4">
      <c r="A382">
        <f t="shared" si="5"/>
        <v>56</v>
      </c>
      <c r="B382" t="s">
        <v>1224</v>
      </c>
      <c r="C382" t="s">
        <v>1225</v>
      </c>
      <c r="D382" t="s">
        <v>192</v>
      </c>
      <c r="E382" t="s">
        <v>611</v>
      </c>
      <c r="F382" t="s">
        <v>964</v>
      </c>
      <c r="G382" t="s">
        <v>965</v>
      </c>
      <c r="H382" t="s">
        <v>966</v>
      </c>
      <c r="I382" t="s">
        <v>201</v>
      </c>
      <c r="J382" t="s">
        <v>175</v>
      </c>
      <c r="K382" s="30">
        <v>43060</v>
      </c>
      <c r="L382" s="8">
        <v>43054.490324074075</v>
      </c>
      <c r="M382" s="21">
        <f>LEN(ProjTextTable[[#This Row],[text]])</f>
        <v>1664</v>
      </c>
      <c r="N382" s="21">
        <f>LEN(TRIM(CLEAN(SUBSTITUTE(ProjTextTable[[#This Row],[text]],CHAR(10)," "))))+1 - LEN(SUBSTITUTE(CLEAN(SUBSTITUTE(ProjTextTable[[#This Row],[text]],CHAR(10)," "))," ",""))</f>
        <v>250</v>
      </c>
      <c r="O382" t="s">
        <v>199</v>
      </c>
      <c r="P382" t="s">
        <v>1228</v>
      </c>
    </row>
    <row r="383" spans="1:16" x14ac:dyDescent="0.4">
      <c r="A383">
        <f t="shared" si="5"/>
        <v>56</v>
      </c>
      <c r="B383" t="s">
        <v>1224</v>
      </c>
      <c r="C383" t="s">
        <v>1225</v>
      </c>
      <c r="D383" t="s">
        <v>192</v>
      </c>
      <c r="E383" t="s">
        <v>611</v>
      </c>
      <c r="F383" t="s">
        <v>757</v>
      </c>
      <c r="G383" t="s">
        <v>758</v>
      </c>
      <c r="H383" t="s">
        <v>759</v>
      </c>
      <c r="I383" t="s">
        <v>201</v>
      </c>
      <c r="J383" t="s">
        <v>175</v>
      </c>
      <c r="K383" s="30">
        <v>43060</v>
      </c>
      <c r="L383" s="8">
        <v>43057.351238425923</v>
      </c>
      <c r="M383" s="21">
        <f>LEN(ProjTextTable[[#This Row],[text]])</f>
        <v>4714</v>
      </c>
      <c r="N383" s="21">
        <f>LEN(TRIM(CLEAN(SUBSTITUTE(ProjTextTable[[#This Row],[text]],CHAR(10)," "))))+1 - LEN(SUBSTITUTE(CLEAN(SUBSTITUTE(ProjTextTable[[#This Row],[text]],CHAR(10)," "))," ",""))</f>
        <v>704</v>
      </c>
      <c r="O383" t="s">
        <v>193</v>
      </c>
      <c r="P383" t="s">
        <v>1229</v>
      </c>
    </row>
    <row r="384" spans="1:16" x14ac:dyDescent="0.4">
      <c r="A384">
        <f t="shared" si="5"/>
        <v>56</v>
      </c>
      <c r="B384" t="s">
        <v>1224</v>
      </c>
      <c r="C384" t="s">
        <v>1225</v>
      </c>
      <c r="D384" t="s">
        <v>192</v>
      </c>
      <c r="E384" t="s">
        <v>611</v>
      </c>
      <c r="F384" t="s">
        <v>891</v>
      </c>
      <c r="G384" t="s">
        <v>892</v>
      </c>
      <c r="H384" t="s">
        <v>893</v>
      </c>
      <c r="I384" t="s">
        <v>201</v>
      </c>
      <c r="J384" t="s">
        <v>175</v>
      </c>
      <c r="K384" s="30">
        <v>43060</v>
      </c>
      <c r="L384" s="8">
        <v>43058.973240740743</v>
      </c>
      <c r="M384" s="21">
        <f>LEN(ProjTextTable[[#This Row],[text]])</f>
        <v>3655</v>
      </c>
      <c r="N384" s="21">
        <f>LEN(TRIM(CLEAN(SUBSTITUTE(ProjTextTable[[#This Row],[text]],CHAR(10)," "))))+1 - LEN(SUBSTITUTE(CLEAN(SUBSTITUTE(ProjTextTable[[#This Row],[text]],CHAR(10)," "))," ",""))</f>
        <v>581</v>
      </c>
      <c r="O384" t="s">
        <v>198</v>
      </c>
      <c r="P384" t="s">
        <v>1230</v>
      </c>
    </row>
    <row r="385" spans="1:16" x14ac:dyDescent="0.4">
      <c r="A385">
        <f t="shared" si="5"/>
        <v>56</v>
      </c>
      <c r="B385" t="s">
        <v>1224</v>
      </c>
      <c r="C385" t="s">
        <v>1225</v>
      </c>
      <c r="D385" t="s">
        <v>194</v>
      </c>
      <c r="E385" t="s">
        <v>611</v>
      </c>
      <c r="F385" t="s">
        <v>13</v>
      </c>
      <c r="G385" t="s">
        <v>13</v>
      </c>
      <c r="H385" t="s">
        <v>13</v>
      </c>
      <c r="K385" s="30"/>
      <c r="L385" s="8">
        <v>42957.043009259258</v>
      </c>
      <c r="M385" s="21">
        <f>LEN(ProjTextTable[[#This Row],[text]])</f>
        <v>4616</v>
      </c>
      <c r="N385" s="21">
        <f>LEN(TRIM(CLEAN(SUBSTITUTE(ProjTextTable[[#This Row],[text]],CHAR(10)," "))))+1 - LEN(SUBSTITUTE(CLEAN(SUBSTITUTE(ProjTextTable[[#This Row],[text]],CHAR(10)," "))," ",""))</f>
        <v>624</v>
      </c>
      <c r="O385" t="s">
        <v>13</v>
      </c>
      <c r="P385" t="s">
        <v>1231</v>
      </c>
    </row>
    <row r="386" spans="1:16" x14ac:dyDescent="0.4">
      <c r="A386">
        <f t="shared" ref="A386:A449" si="6">A385+(B386&lt;&gt;B385)</f>
        <v>57</v>
      </c>
      <c r="B386" t="s">
        <v>1232</v>
      </c>
      <c r="C386" t="s">
        <v>1233</v>
      </c>
      <c r="D386" t="s">
        <v>533</v>
      </c>
      <c r="E386" t="s">
        <v>604</v>
      </c>
      <c r="F386" t="s">
        <v>1234</v>
      </c>
      <c r="G386" t="s">
        <v>606</v>
      </c>
      <c r="H386" t="s">
        <v>546</v>
      </c>
      <c r="I386" t="s">
        <v>538</v>
      </c>
      <c r="J386" t="s">
        <v>534</v>
      </c>
      <c r="K386" s="30">
        <v>43031</v>
      </c>
      <c r="L386" s="8">
        <v>43032.683645833335</v>
      </c>
      <c r="M386" s="21">
        <f>LEN(ProjTextTable[[#This Row],[text]])</f>
        <v>1785</v>
      </c>
      <c r="N386" s="21">
        <f>LEN(TRIM(CLEAN(SUBSTITUTE(ProjTextTable[[#This Row],[text]],CHAR(10)," "))))+1 - LEN(SUBSTITUTE(CLEAN(SUBSTITUTE(ProjTextTable[[#This Row],[text]],CHAR(10)," "))," ",""))</f>
        <v>268</v>
      </c>
      <c r="O386" t="s">
        <v>309</v>
      </c>
      <c r="P386" t="s">
        <v>1235</v>
      </c>
    </row>
    <row r="387" spans="1:16" x14ac:dyDescent="0.4">
      <c r="A387">
        <f t="shared" si="6"/>
        <v>57</v>
      </c>
      <c r="B387" t="s">
        <v>1232</v>
      </c>
      <c r="C387" t="s">
        <v>1233</v>
      </c>
      <c r="D387" t="s">
        <v>2</v>
      </c>
      <c r="E387" t="s">
        <v>604</v>
      </c>
      <c r="F387" t="s">
        <v>13</v>
      </c>
      <c r="G387" t="s">
        <v>609</v>
      </c>
      <c r="H387" t="s">
        <v>13</v>
      </c>
      <c r="I387" t="s">
        <v>13</v>
      </c>
      <c r="K387" s="30"/>
      <c r="L387" s="8">
        <v>43076.608877314815</v>
      </c>
      <c r="M387" s="21">
        <f>LEN(ProjTextTable[[#This Row],[text]])</f>
        <v>2093</v>
      </c>
      <c r="N387" s="21">
        <f>LEN(TRIM(CLEAN(SUBSTITUTE(ProjTextTable[[#This Row],[text]],CHAR(10)," "))))+1 - LEN(SUBSTITUTE(CLEAN(SUBSTITUTE(ProjTextTable[[#This Row],[text]],CHAR(10)," "))," ",""))</f>
        <v>304</v>
      </c>
      <c r="O387" t="s">
        <v>13</v>
      </c>
      <c r="P387" t="s">
        <v>1236</v>
      </c>
    </row>
    <row r="388" spans="1:16" x14ac:dyDescent="0.4">
      <c r="A388">
        <f t="shared" si="6"/>
        <v>57</v>
      </c>
      <c r="B388" t="s">
        <v>1232</v>
      </c>
      <c r="C388" t="s">
        <v>1233</v>
      </c>
      <c r="D388" t="s">
        <v>192</v>
      </c>
      <c r="E388" t="s">
        <v>611</v>
      </c>
      <c r="F388" t="s">
        <v>617</v>
      </c>
      <c r="G388" t="s">
        <v>618</v>
      </c>
      <c r="H388" t="s">
        <v>619</v>
      </c>
      <c r="I388" t="s">
        <v>201</v>
      </c>
      <c r="J388" t="s">
        <v>175</v>
      </c>
      <c r="K388" s="30">
        <v>43032</v>
      </c>
      <c r="L388" s="8">
        <v>43030.825844907406</v>
      </c>
      <c r="M388" s="21">
        <f>LEN(ProjTextTable[[#This Row],[text]])</f>
        <v>1433</v>
      </c>
      <c r="N388" s="21">
        <f>LEN(TRIM(CLEAN(SUBSTITUTE(ProjTextTable[[#This Row],[text]],CHAR(10)," "))))+1 - LEN(SUBSTITUTE(CLEAN(SUBSTITUTE(ProjTextTable[[#This Row],[text]],CHAR(10)," "))," ",""))</f>
        <v>209</v>
      </c>
      <c r="O388" t="s">
        <v>193</v>
      </c>
      <c r="P388" t="s">
        <v>1237</v>
      </c>
    </row>
    <row r="389" spans="1:16" x14ac:dyDescent="0.4">
      <c r="A389">
        <f t="shared" si="6"/>
        <v>57</v>
      </c>
      <c r="B389" t="s">
        <v>1232</v>
      </c>
      <c r="C389" t="s">
        <v>1233</v>
      </c>
      <c r="D389" t="s">
        <v>192</v>
      </c>
      <c r="E389" t="s">
        <v>604</v>
      </c>
      <c r="F389" t="s">
        <v>625</v>
      </c>
      <c r="G389" t="s">
        <v>626</v>
      </c>
      <c r="H389" t="s">
        <v>627</v>
      </c>
      <c r="I389" t="s">
        <v>201</v>
      </c>
      <c r="J389" t="s">
        <v>175</v>
      </c>
      <c r="K389" s="30">
        <v>43032</v>
      </c>
      <c r="L389" s="8">
        <v>43032.675833333335</v>
      </c>
      <c r="M389" s="21">
        <f>LEN(ProjTextTable[[#This Row],[text]])</f>
        <v>2823</v>
      </c>
      <c r="N389" s="21">
        <f>LEN(TRIM(CLEAN(SUBSTITUTE(ProjTextTable[[#This Row],[text]],CHAR(10)," "))))+1 - LEN(SUBSTITUTE(CLEAN(SUBSTITUTE(ProjTextTable[[#This Row],[text]],CHAR(10)," "))," ",""))</f>
        <v>475</v>
      </c>
      <c r="O389" t="s">
        <v>199</v>
      </c>
      <c r="P389" t="s">
        <v>1238</v>
      </c>
    </row>
    <row r="390" spans="1:16" x14ac:dyDescent="0.4">
      <c r="A390">
        <f t="shared" si="6"/>
        <v>57</v>
      </c>
      <c r="B390" t="s">
        <v>1232</v>
      </c>
      <c r="C390" t="s">
        <v>1233</v>
      </c>
      <c r="D390" t="s">
        <v>192</v>
      </c>
      <c r="E390" t="s">
        <v>611</v>
      </c>
      <c r="F390" t="s">
        <v>659</v>
      </c>
      <c r="G390" t="s">
        <v>660</v>
      </c>
      <c r="H390" t="s">
        <v>661</v>
      </c>
      <c r="I390" t="s">
        <v>201</v>
      </c>
      <c r="J390" t="s">
        <v>175</v>
      </c>
      <c r="K390" s="30">
        <v>43032</v>
      </c>
      <c r="L390" s="8">
        <v>43032.53087962963</v>
      </c>
      <c r="M390" s="21">
        <f>LEN(ProjTextTable[[#This Row],[text]])</f>
        <v>5656</v>
      </c>
      <c r="N390" s="21">
        <f>LEN(TRIM(CLEAN(SUBSTITUTE(ProjTextTable[[#This Row],[text]],CHAR(10)," "))))+1 - LEN(SUBSTITUTE(CLEAN(SUBSTITUTE(ProjTextTable[[#This Row],[text]],CHAR(10)," "))," ",""))</f>
        <v>946</v>
      </c>
      <c r="O390" t="s">
        <v>196</v>
      </c>
      <c r="P390" t="s">
        <v>1239</v>
      </c>
    </row>
    <row r="391" spans="1:16" x14ac:dyDescent="0.4">
      <c r="A391">
        <f t="shared" si="6"/>
        <v>57</v>
      </c>
      <c r="B391" t="s">
        <v>1232</v>
      </c>
      <c r="C391" t="s">
        <v>1233</v>
      </c>
      <c r="D391" t="s">
        <v>194</v>
      </c>
      <c r="E391" t="s">
        <v>604</v>
      </c>
      <c r="F391" t="s">
        <v>13</v>
      </c>
      <c r="G391" t="s">
        <v>13</v>
      </c>
      <c r="H391" t="s">
        <v>13</v>
      </c>
      <c r="K391" s="30"/>
      <c r="L391" s="8">
        <v>42957.043009259258</v>
      </c>
      <c r="M391" s="21">
        <f>LEN(ProjTextTable[[#This Row],[text]])</f>
        <v>4368</v>
      </c>
      <c r="N391" s="21">
        <f>LEN(TRIM(CLEAN(SUBSTITUTE(ProjTextTable[[#This Row],[text]],CHAR(10)," "))))+1 - LEN(SUBSTITUTE(CLEAN(SUBSTITUTE(ProjTextTable[[#This Row],[text]],CHAR(10)," "))," ",""))</f>
        <v>604</v>
      </c>
      <c r="O391" t="s">
        <v>13</v>
      </c>
      <c r="P391" t="s">
        <v>1240</v>
      </c>
    </row>
    <row r="392" spans="1:16" x14ac:dyDescent="0.4">
      <c r="A392">
        <f t="shared" si="6"/>
        <v>58</v>
      </c>
      <c r="B392" t="s">
        <v>1241</v>
      </c>
      <c r="C392" t="s">
        <v>1031</v>
      </c>
      <c r="D392" t="s">
        <v>533</v>
      </c>
      <c r="E392" t="s">
        <v>611</v>
      </c>
      <c r="F392" t="s">
        <v>714</v>
      </c>
      <c r="G392" t="s">
        <v>715</v>
      </c>
      <c r="H392" t="s">
        <v>539</v>
      </c>
      <c r="I392" t="s">
        <v>535</v>
      </c>
      <c r="J392" t="s">
        <v>536</v>
      </c>
      <c r="K392" s="30">
        <v>43059</v>
      </c>
      <c r="L392" s="8">
        <v>43060.66642361111</v>
      </c>
      <c r="M392" s="21">
        <f>LEN(ProjTextTable[[#This Row],[text]])</f>
        <v>3676</v>
      </c>
      <c r="N392" s="21">
        <f>LEN(TRIM(CLEAN(SUBSTITUTE(ProjTextTable[[#This Row],[text]],CHAR(10)," "))))+1 - LEN(SUBSTITUTE(CLEAN(SUBSTITUTE(ProjTextTable[[#This Row],[text]],CHAR(10)," "))," ",""))</f>
        <v>552</v>
      </c>
      <c r="O392" t="s">
        <v>540</v>
      </c>
      <c r="P392" t="s">
        <v>1242</v>
      </c>
    </row>
    <row r="393" spans="1:16" x14ac:dyDescent="0.4">
      <c r="A393">
        <f t="shared" si="6"/>
        <v>58</v>
      </c>
      <c r="B393" t="s">
        <v>1241</v>
      </c>
      <c r="C393" t="s">
        <v>1031</v>
      </c>
      <c r="D393" t="s">
        <v>192</v>
      </c>
      <c r="E393" t="s">
        <v>611</v>
      </c>
      <c r="F393" t="s">
        <v>799</v>
      </c>
      <c r="G393" t="s">
        <v>800</v>
      </c>
      <c r="H393" t="s">
        <v>801</v>
      </c>
      <c r="I393" t="s">
        <v>201</v>
      </c>
      <c r="J393" t="s">
        <v>175</v>
      </c>
      <c r="K393" s="30">
        <v>43060</v>
      </c>
      <c r="L393" s="8">
        <v>43056.613564814812</v>
      </c>
      <c r="M393" s="21">
        <f>LEN(ProjTextTable[[#This Row],[text]])</f>
        <v>2469</v>
      </c>
      <c r="N393" s="21">
        <f>LEN(TRIM(CLEAN(SUBSTITUTE(ProjTextTable[[#This Row],[text]],CHAR(10)," "))))+1 - LEN(SUBSTITUTE(CLEAN(SUBSTITUTE(ProjTextTable[[#This Row],[text]],CHAR(10)," "))," ",""))</f>
        <v>386</v>
      </c>
      <c r="O393" t="s">
        <v>196</v>
      </c>
      <c r="P393" t="s">
        <v>1243</v>
      </c>
    </row>
    <row r="394" spans="1:16" x14ac:dyDescent="0.4">
      <c r="A394">
        <f t="shared" si="6"/>
        <v>58</v>
      </c>
      <c r="B394" t="s">
        <v>1241</v>
      </c>
      <c r="C394" t="s">
        <v>1031</v>
      </c>
      <c r="D394" t="s">
        <v>192</v>
      </c>
      <c r="E394" t="s">
        <v>611</v>
      </c>
      <c r="F394" t="s">
        <v>749</v>
      </c>
      <c r="G394" t="s">
        <v>750</v>
      </c>
      <c r="H394" t="s">
        <v>751</v>
      </c>
      <c r="I394" t="s">
        <v>201</v>
      </c>
      <c r="J394" t="s">
        <v>175</v>
      </c>
      <c r="K394" s="30">
        <v>43060</v>
      </c>
      <c r="L394" s="8">
        <v>43059.232060185182</v>
      </c>
      <c r="M394" s="21">
        <f>LEN(ProjTextTable[[#This Row],[text]])</f>
        <v>1235</v>
      </c>
      <c r="N394" s="21">
        <f>LEN(TRIM(CLEAN(SUBSTITUTE(ProjTextTable[[#This Row],[text]],CHAR(10)," "))))+1 - LEN(SUBSTITUTE(CLEAN(SUBSTITUTE(ProjTextTable[[#This Row],[text]],CHAR(10)," "))," ",""))</f>
        <v>175</v>
      </c>
      <c r="O394" t="s">
        <v>196</v>
      </c>
      <c r="P394" t="s">
        <v>1244</v>
      </c>
    </row>
    <row r="395" spans="1:16" x14ac:dyDescent="0.4">
      <c r="A395">
        <f t="shared" si="6"/>
        <v>58</v>
      </c>
      <c r="B395" t="s">
        <v>1241</v>
      </c>
      <c r="C395" t="s">
        <v>1031</v>
      </c>
      <c r="D395" t="s">
        <v>192</v>
      </c>
      <c r="E395" t="s">
        <v>611</v>
      </c>
      <c r="F395" t="s">
        <v>757</v>
      </c>
      <c r="G395" t="s">
        <v>758</v>
      </c>
      <c r="H395" t="s">
        <v>759</v>
      </c>
      <c r="I395" t="s">
        <v>201</v>
      </c>
      <c r="J395" t="s">
        <v>175</v>
      </c>
      <c r="K395" s="30">
        <v>43060</v>
      </c>
      <c r="L395" s="8">
        <v>43060.398576388892</v>
      </c>
      <c r="M395" s="21">
        <f>LEN(ProjTextTable[[#This Row],[text]])</f>
        <v>4632</v>
      </c>
      <c r="N395" s="21">
        <f>LEN(TRIM(CLEAN(SUBSTITUTE(ProjTextTable[[#This Row],[text]],CHAR(10)," "))))+1 - LEN(SUBSTITUTE(CLEAN(SUBSTITUTE(ProjTextTable[[#This Row],[text]],CHAR(10)," "))," ",""))</f>
        <v>693</v>
      </c>
      <c r="O395" t="s">
        <v>196</v>
      </c>
      <c r="P395" t="s">
        <v>1245</v>
      </c>
    </row>
    <row r="396" spans="1:16" x14ac:dyDescent="0.4">
      <c r="A396">
        <f t="shared" si="6"/>
        <v>58</v>
      </c>
      <c r="B396" t="s">
        <v>1241</v>
      </c>
      <c r="C396" t="s">
        <v>1031</v>
      </c>
      <c r="D396" t="s">
        <v>194</v>
      </c>
      <c r="E396" t="s">
        <v>611</v>
      </c>
      <c r="F396" t="s">
        <v>13</v>
      </c>
      <c r="G396" t="s">
        <v>13</v>
      </c>
      <c r="H396" t="s">
        <v>13</v>
      </c>
      <c r="K396" s="30"/>
      <c r="L396" s="8">
        <v>42957.043020833335</v>
      </c>
      <c r="M396" s="21">
        <f>LEN(ProjTextTable[[#This Row],[text]])</f>
        <v>3793</v>
      </c>
      <c r="N396" s="21">
        <f>LEN(TRIM(CLEAN(SUBSTITUTE(ProjTextTable[[#This Row],[text]],CHAR(10)," "))))+1 - LEN(SUBSTITUTE(CLEAN(SUBSTITUTE(ProjTextTable[[#This Row],[text]],CHAR(10)," "))," ",""))</f>
        <v>556</v>
      </c>
      <c r="O396" t="s">
        <v>13</v>
      </c>
      <c r="P396" t="s">
        <v>1246</v>
      </c>
    </row>
    <row r="397" spans="1:16" x14ac:dyDescent="0.4">
      <c r="A397">
        <f t="shared" si="6"/>
        <v>59</v>
      </c>
      <c r="B397" t="s">
        <v>1247</v>
      </c>
      <c r="C397" t="s">
        <v>1248</v>
      </c>
      <c r="D397" t="s">
        <v>533</v>
      </c>
      <c r="E397" t="s">
        <v>604</v>
      </c>
      <c r="F397" t="s">
        <v>605</v>
      </c>
      <c r="G397" t="s">
        <v>606</v>
      </c>
      <c r="H397" t="s">
        <v>546</v>
      </c>
      <c r="I397" t="s">
        <v>538</v>
      </c>
      <c r="J397" t="s">
        <v>534</v>
      </c>
      <c r="K397" s="30">
        <v>43031</v>
      </c>
      <c r="L397" s="8">
        <v>43032.684108796297</v>
      </c>
      <c r="M397" s="21">
        <f>LEN(ProjTextTable[[#This Row],[text]])</f>
        <v>2340</v>
      </c>
      <c r="N397" s="21">
        <f>LEN(TRIM(CLEAN(SUBSTITUTE(ProjTextTable[[#This Row],[text]],CHAR(10)," "))))+1 - LEN(SUBSTITUTE(CLEAN(SUBSTITUTE(ProjTextTable[[#This Row],[text]],CHAR(10)," "))," ",""))</f>
        <v>356</v>
      </c>
      <c r="O397" t="s">
        <v>309</v>
      </c>
      <c r="P397" t="s">
        <v>1249</v>
      </c>
    </row>
    <row r="398" spans="1:16" x14ac:dyDescent="0.4">
      <c r="A398">
        <f t="shared" si="6"/>
        <v>59</v>
      </c>
      <c r="B398" t="s">
        <v>1247</v>
      </c>
      <c r="C398" t="s">
        <v>1248</v>
      </c>
      <c r="D398" t="s">
        <v>2</v>
      </c>
      <c r="E398" t="s">
        <v>604</v>
      </c>
      <c r="F398" t="s">
        <v>13</v>
      </c>
      <c r="G398" t="s">
        <v>609</v>
      </c>
      <c r="H398" t="s">
        <v>13</v>
      </c>
      <c r="I398" t="s">
        <v>13</v>
      </c>
      <c r="K398" s="30"/>
      <c r="L398" s="8">
        <v>43076.608923611115</v>
      </c>
      <c r="M398" s="21">
        <f>LEN(ProjTextTable[[#This Row],[text]])</f>
        <v>2051</v>
      </c>
      <c r="N398" s="21">
        <f>LEN(TRIM(CLEAN(SUBSTITUTE(ProjTextTable[[#This Row],[text]],CHAR(10)," "))))+1 - LEN(SUBSTITUTE(CLEAN(SUBSTITUTE(ProjTextTable[[#This Row],[text]],CHAR(10)," "))," ",""))</f>
        <v>295</v>
      </c>
      <c r="O398" t="s">
        <v>13</v>
      </c>
      <c r="P398" t="s">
        <v>1250</v>
      </c>
    </row>
    <row r="399" spans="1:16" x14ac:dyDescent="0.4">
      <c r="A399">
        <f t="shared" si="6"/>
        <v>59</v>
      </c>
      <c r="B399" t="s">
        <v>1247</v>
      </c>
      <c r="C399" t="s">
        <v>1248</v>
      </c>
      <c r="D399" t="s">
        <v>192</v>
      </c>
      <c r="E399" t="s">
        <v>611</v>
      </c>
      <c r="F399" t="s">
        <v>612</v>
      </c>
      <c r="G399" t="s">
        <v>613</v>
      </c>
      <c r="H399" t="s">
        <v>614</v>
      </c>
      <c r="I399" t="s">
        <v>201</v>
      </c>
      <c r="J399" t="s">
        <v>175</v>
      </c>
      <c r="K399" s="30">
        <v>43032</v>
      </c>
      <c r="L399" s="8">
        <v>43031.750081018516</v>
      </c>
      <c r="M399" s="21">
        <f>LEN(ProjTextTable[[#This Row],[text]])</f>
        <v>3285</v>
      </c>
      <c r="N399" s="21">
        <f>LEN(TRIM(CLEAN(SUBSTITUTE(ProjTextTable[[#This Row],[text]],CHAR(10)," "))))+1 - LEN(SUBSTITUTE(CLEAN(SUBSTITUTE(ProjTextTable[[#This Row],[text]],CHAR(10)," "))," ",""))</f>
        <v>514</v>
      </c>
      <c r="O399" t="s">
        <v>198</v>
      </c>
      <c r="P399" t="s">
        <v>1251</v>
      </c>
    </row>
    <row r="400" spans="1:16" x14ac:dyDescent="0.4">
      <c r="A400">
        <f t="shared" si="6"/>
        <v>59</v>
      </c>
      <c r="B400" t="s">
        <v>1247</v>
      </c>
      <c r="C400" t="s">
        <v>1248</v>
      </c>
      <c r="D400" t="s">
        <v>192</v>
      </c>
      <c r="E400" t="s">
        <v>611</v>
      </c>
      <c r="F400" t="s">
        <v>692</v>
      </c>
      <c r="G400" t="s">
        <v>693</v>
      </c>
      <c r="H400" t="s">
        <v>694</v>
      </c>
      <c r="I400" t="s">
        <v>201</v>
      </c>
      <c r="J400" t="s">
        <v>175</v>
      </c>
      <c r="K400" s="30">
        <v>43032</v>
      </c>
      <c r="L400" s="8">
        <v>43027.933842592596</v>
      </c>
      <c r="M400" s="21">
        <f>LEN(ProjTextTable[[#This Row],[text]])</f>
        <v>2177</v>
      </c>
      <c r="N400" s="21">
        <f>LEN(TRIM(CLEAN(SUBSTITUTE(ProjTextTable[[#This Row],[text]],CHAR(10)," "))))+1 - LEN(SUBSTITUTE(CLEAN(SUBSTITUTE(ProjTextTable[[#This Row],[text]],CHAR(10)," "))," ",""))</f>
        <v>316</v>
      </c>
      <c r="O400" t="s">
        <v>193</v>
      </c>
      <c r="P400" t="s">
        <v>1252</v>
      </c>
    </row>
    <row r="401" spans="1:16" x14ac:dyDescent="0.4">
      <c r="A401">
        <f t="shared" si="6"/>
        <v>59</v>
      </c>
      <c r="B401" t="s">
        <v>1247</v>
      </c>
      <c r="C401" t="s">
        <v>1248</v>
      </c>
      <c r="D401" t="s">
        <v>192</v>
      </c>
      <c r="E401" t="s">
        <v>604</v>
      </c>
      <c r="F401" t="s">
        <v>625</v>
      </c>
      <c r="G401" t="s">
        <v>626</v>
      </c>
      <c r="H401" t="s">
        <v>627</v>
      </c>
      <c r="I401" t="s">
        <v>201</v>
      </c>
      <c r="J401" t="s">
        <v>175</v>
      </c>
      <c r="K401" s="30">
        <v>43032</v>
      </c>
      <c r="L401" s="8">
        <v>43030.934814814813</v>
      </c>
      <c r="M401" s="21">
        <f>LEN(ProjTextTable[[#This Row],[text]])</f>
        <v>1966</v>
      </c>
      <c r="N401" s="21">
        <f>LEN(TRIM(CLEAN(SUBSTITUTE(ProjTextTable[[#This Row],[text]],CHAR(10)," "))))+1 - LEN(SUBSTITUTE(CLEAN(SUBSTITUTE(ProjTextTable[[#This Row],[text]],CHAR(10)," "))," ",""))</f>
        <v>299</v>
      </c>
      <c r="O401" t="s">
        <v>197</v>
      </c>
      <c r="P401" t="s">
        <v>1253</v>
      </c>
    </row>
    <row r="402" spans="1:16" x14ac:dyDescent="0.4">
      <c r="A402">
        <f t="shared" si="6"/>
        <v>59</v>
      </c>
      <c r="B402" t="s">
        <v>1247</v>
      </c>
      <c r="C402" t="s">
        <v>1248</v>
      </c>
      <c r="D402" t="s">
        <v>194</v>
      </c>
      <c r="E402" t="s">
        <v>604</v>
      </c>
      <c r="F402" t="s">
        <v>13</v>
      </c>
      <c r="G402" t="s">
        <v>13</v>
      </c>
      <c r="H402" t="s">
        <v>13</v>
      </c>
      <c r="K402" s="30"/>
      <c r="L402" s="8">
        <v>42957.043055555558</v>
      </c>
      <c r="M402" s="21">
        <f>LEN(ProjTextTable[[#This Row],[text]])</f>
        <v>3067</v>
      </c>
      <c r="N402" s="21">
        <f>LEN(TRIM(CLEAN(SUBSTITUTE(ProjTextTable[[#This Row],[text]],CHAR(10)," "))))+1 - LEN(SUBSTITUTE(CLEAN(SUBSTITUTE(ProjTextTable[[#This Row],[text]],CHAR(10)," "))," ",""))</f>
        <v>414</v>
      </c>
      <c r="O402" t="s">
        <v>13</v>
      </c>
      <c r="P402" t="s">
        <v>1254</v>
      </c>
    </row>
    <row r="403" spans="1:16" x14ac:dyDescent="0.4">
      <c r="A403">
        <f t="shared" si="6"/>
        <v>60</v>
      </c>
      <c r="B403" t="s">
        <v>1255</v>
      </c>
      <c r="C403" t="s">
        <v>750</v>
      </c>
      <c r="D403" t="s">
        <v>533</v>
      </c>
      <c r="E403" t="s">
        <v>654</v>
      </c>
      <c r="F403" t="s">
        <v>605</v>
      </c>
      <c r="G403" t="s">
        <v>606</v>
      </c>
      <c r="H403" t="s">
        <v>539</v>
      </c>
      <c r="I403" t="s">
        <v>535</v>
      </c>
      <c r="J403" t="s">
        <v>536</v>
      </c>
      <c r="K403" s="30">
        <v>43031</v>
      </c>
      <c r="L403" s="8">
        <v>43032.68074074074</v>
      </c>
      <c r="M403" s="21">
        <f>LEN(ProjTextTable[[#This Row],[text]])</f>
        <v>3360</v>
      </c>
      <c r="N403" s="21">
        <f>LEN(TRIM(CLEAN(SUBSTITUTE(ProjTextTable[[#This Row],[text]],CHAR(10)," "))))+1 - LEN(SUBSTITUTE(CLEAN(SUBSTITUTE(ProjTextTable[[#This Row],[text]],CHAR(10)," "))," ",""))</f>
        <v>522</v>
      </c>
      <c r="O403" t="s">
        <v>540</v>
      </c>
      <c r="P403" t="s">
        <v>1256</v>
      </c>
    </row>
    <row r="404" spans="1:16" x14ac:dyDescent="0.4">
      <c r="A404">
        <f t="shared" si="6"/>
        <v>60</v>
      </c>
      <c r="B404" t="s">
        <v>1255</v>
      </c>
      <c r="C404" t="s">
        <v>750</v>
      </c>
      <c r="D404" t="s">
        <v>192</v>
      </c>
      <c r="E404" t="s">
        <v>611</v>
      </c>
      <c r="F404" t="s">
        <v>639</v>
      </c>
      <c r="G404" t="s">
        <v>640</v>
      </c>
      <c r="H404" t="s">
        <v>641</v>
      </c>
      <c r="I404" t="s">
        <v>201</v>
      </c>
      <c r="J404" t="s">
        <v>175</v>
      </c>
      <c r="K404" s="30">
        <v>43032</v>
      </c>
      <c r="L404" s="8">
        <v>43030.166759259257</v>
      </c>
      <c r="M404" s="21">
        <f>LEN(ProjTextTable[[#This Row],[text]])</f>
        <v>1615</v>
      </c>
      <c r="N404" s="21">
        <f>LEN(TRIM(CLEAN(SUBSTITUTE(ProjTextTable[[#This Row],[text]],CHAR(10)," "))))+1 - LEN(SUBSTITUTE(CLEAN(SUBSTITUTE(ProjTextTable[[#This Row],[text]],CHAR(10)," "))," ",""))</f>
        <v>241</v>
      </c>
      <c r="O404" t="s">
        <v>193</v>
      </c>
      <c r="P404" t="s">
        <v>1257</v>
      </c>
    </row>
    <row r="405" spans="1:16" x14ac:dyDescent="0.4">
      <c r="A405">
        <f t="shared" si="6"/>
        <v>60</v>
      </c>
      <c r="B405" t="s">
        <v>1255</v>
      </c>
      <c r="C405" t="s">
        <v>750</v>
      </c>
      <c r="D405" t="s">
        <v>192</v>
      </c>
      <c r="E405" t="s">
        <v>611</v>
      </c>
      <c r="F405" t="s">
        <v>643</v>
      </c>
      <c r="G405" t="s">
        <v>644</v>
      </c>
      <c r="H405" t="s">
        <v>645</v>
      </c>
      <c r="I405" t="s">
        <v>201</v>
      </c>
      <c r="J405" t="s">
        <v>175</v>
      </c>
      <c r="K405" s="30">
        <v>43032</v>
      </c>
      <c r="L405" s="8">
        <v>43031.734490740739</v>
      </c>
      <c r="M405" s="21">
        <f>LEN(ProjTextTable[[#This Row],[text]])</f>
        <v>2978</v>
      </c>
      <c r="N405" s="21">
        <f>LEN(TRIM(CLEAN(SUBSTITUTE(ProjTextTable[[#This Row],[text]],CHAR(10)," "))))+1 - LEN(SUBSTITUTE(CLEAN(SUBSTITUTE(ProjTextTable[[#This Row],[text]],CHAR(10)," "))," ",""))</f>
        <v>447</v>
      </c>
      <c r="O405" t="s">
        <v>198</v>
      </c>
      <c r="P405" t="s">
        <v>1258</v>
      </c>
    </row>
    <row r="406" spans="1:16" x14ac:dyDescent="0.4">
      <c r="A406">
        <f t="shared" si="6"/>
        <v>60</v>
      </c>
      <c r="B406" t="s">
        <v>1255</v>
      </c>
      <c r="C406" t="s">
        <v>750</v>
      </c>
      <c r="D406" t="s">
        <v>192</v>
      </c>
      <c r="E406" t="s">
        <v>611</v>
      </c>
      <c r="F406" t="s">
        <v>664</v>
      </c>
      <c r="G406" t="s">
        <v>665</v>
      </c>
      <c r="H406" t="s">
        <v>666</v>
      </c>
      <c r="I406" t="s">
        <v>201</v>
      </c>
      <c r="J406" t="s">
        <v>175</v>
      </c>
      <c r="K406" s="30">
        <v>43032</v>
      </c>
      <c r="L406" s="8">
        <v>43028.558368055557</v>
      </c>
      <c r="M406" s="21">
        <f>LEN(ProjTextTable[[#This Row],[text]])</f>
        <v>1434</v>
      </c>
      <c r="N406" s="21">
        <f>LEN(TRIM(CLEAN(SUBSTITUTE(ProjTextTable[[#This Row],[text]],CHAR(10)," "))))+1 - LEN(SUBSTITUTE(CLEAN(SUBSTITUTE(ProjTextTable[[#This Row],[text]],CHAR(10)," "))," ",""))</f>
        <v>212</v>
      </c>
      <c r="O406" t="s">
        <v>196</v>
      </c>
      <c r="P406" t="s">
        <v>1259</v>
      </c>
    </row>
    <row r="407" spans="1:16" x14ac:dyDescent="0.4">
      <c r="A407">
        <f t="shared" si="6"/>
        <v>61</v>
      </c>
      <c r="B407" t="s">
        <v>1260</v>
      </c>
      <c r="C407" t="s">
        <v>1261</v>
      </c>
      <c r="D407" t="s">
        <v>533</v>
      </c>
      <c r="E407" t="s">
        <v>611</v>
      </c>
      <c r="F407" t="s">
        <v>1262</v>
      </c>
      <c r="G407" t="s">
        <v>1263</v>
      </c>
      <c r="H407" t="s">
        <v>539</v>
      </c>
      <c r="I407" t="s">
        <v>535</v>
      </c>
      <c r="J407" t="s">
        <v>735</v>
      </c>
      <c r="K407" s="30">
        <v>43080</v>
      </c>
      <c r="L407" s="8">
        <v>43081.558055555557</v>
      </c>
      <c r="M407" s="21">
        <f>LEN(ProjTextTable[[#This Row],[text]])</f>
        <v>4819</v>
      </c>
      <c r="N407" s="21">
        <f>LEN(TRIM(CLEAN(SUBSTITUTE(ProjTextTable[[#This Row],[text]],CHAR(10)," "))))+1 - LEN(SUBSTITUTE(CLEAN(SUBSTITUTE(ProjTextTable[[#This Row],[text]],CHAR(10)," "))," ",""))</f>
        <v>731</v>
      </c>
      <c r="O407" t="s">
        <v>540</v>
      </c>
      <c r="P407" t="s">
        <v>1264</v>
      </c>
    </row>
    <row r="408" spans="1:16" x14ac:dyDescent="0.4">
      <c r="A408">
        <f t="shared" si="6"/>
        <v>61</v>
      </c>
      <c r="B408" t="s">
        <v>1260</v>
      </c>
      <c r="C408" t="s">
        <v>1261</v>
      </c>
      <c r="D408" t="s">
        <v>192</v>
      </c>
      <c r="E408" t="s">
        <v>611</v>
      </c>
      <c r="F408" t="s">
        <v>521</v>
      </c>
      <c r="G408" t="s">
        <v>522</v>
      </c>
      <c r="H408" t="s">
        <v>523</v>
      </c>
      <c r="I408" t="s">
        <v>201</v>
      </c>
      <c r="J408" t="s">
        <v>175</v>
      </c>
      <c r="K408" s="30">
        <v>43081</v>
      </c>
      <c r="L408" s="8">
        <v>43080.081053240741</v>
      </c>
      <c r="M408" s="21">
        <f>LEN(ProjTextTable[[#This Row],[text]])</f>
        <v>2791</v>
      </c>
      <c r="N408" s="21">
        <f>LEN(TRIM(CLEAN(SUBSTITUTE(ProjTextTable[[#This Row],[text]],CHAR(10)," "))))+1 - LEN(SUBSTITUTE(CLEAN(SUBSTITUTE(ProjTextTable[[#This Row],[text]],CHAR(10)," "))," ",""))</f>
        <v>429</v>
      </c>
      <c r="O408" t="s">
        <v>195</v>
      </c>
      <c r="P408" t="s">
        <v>1265</v>
      </c>
    </row>
    <row r="409" spans="1:16" x14ac:dyDescent="0.4">
      <c r="A409">
        <f t="shared" si="6"/>
        <v>61</v>
      </c>
      <c r="B409" t="s">
        <v>1260</v>
      </c>
      <c r="C409" t="s">
        <v>1261</v>
      </c>
      <c r="D409" t="s">
        <v>192</v>
      </c>
      <c r="E409" t="s">
        <v>611</v>
      </c>
      <c r="F409" t="s">
        <v>1266</v>
      </c>
      <c r="G409" t="s">
        <v>1267</v>
      </c>
      <c r="H409" t="s">
        <v>1268</v>
      </c>
      <c r="I409" t="s">
        <v>201</v>
      </c>
      <c r="J409" t="s">
        <v>175</v>
      </c>
      <c r="K409" s="30">
        <v>43081</v>
      </c>
      <c r="L409" s="8">
        <v>43078.941793981481</v>
      </c>
      <c r="M409" s="21">
        <f>LEN(ProjTextTable[[#This Row],[text]])</f>
        <v>6921</v>
      </c>
      <c r="N409" s="21">
        <f>LEN(TRIM(CLEAN(SUBSTITUTE(ProjTextTable[[#This Row],[text]],CHAR(10)," "))))+1 - LEN(SUBSTITUTE(CLEAN(SUBSTITUTE(ProjTextTable[[#This Row],[text]],CHAR(10)," "))," ",""))</f>
        <v>1095</v>
      </c>
      <c r="O409" t="s">
        <v>197</v>
      </c>
      <c r="P409" t="s">
        <v>1269</v>
      </c>
    </row>
    <row r="410" spans="1:16" x14ac:dyDescent="0.4">
      <c r="A410">
        <f t="shared" si="6"/>
        <v>61</v>
      </c>
      <c r="B410" t="s">
        <v>1260</v>
      </c>
      <c r="C410" t="s">
        <v>1261</v>
      </c>
      <c r="D410" t="s">
        <v>192</v>
      </c>
      <c r="E410" t="s">
        <v>611</v>
      </c>
      <c r="F410" t="s">
        <v>1270</v>
      </c>
      <c r="G410" t="s">
        <v>1271</v>
      </c>
      <c r="H410" t="s">
        <v>1272</v>
      </c>
      <c r="I410" t="s">
        <v>201</v>
      </c>
      <c r="J410" t="s">
        <v>175</v>
      </c>
      <c r="K410" s="30">
        <v>43081</v>
      </c>
      <c r="L410" s="8">
        <v>43078.636458333334</v>
      </c>
      <c r="M410" s="21">
        <f>LEN(ProjTextTable[[#This Row],[text]])</f>
        <v>3597</v>
      </c>
      <c r="N410" s="21">
        <f>LEN(TRIM(CLEAN(SUBSTITUTE(ProjTextTable[[#This Row],[text]],CHAR(10)," "))))+1 - LEN(SUBSTITUTE(CLEAN(SUBSTITUTE(ProjTextTable[[#This Row],[text]],CHAR(10)," "))," ",""))</f>
        <v>559</v>
      </c>
      <c r="O410" t="s">
        <v>196</v>
      </c>
      <c r="P410" t="s">
        <v>1273</v>
      </c>
    </row>
    <row r="411" spans="1:16" x14ac:dyDescent="0.4">
      <c r="A411">
        <f t="shared" si="6"/>
        <v>61</v>
      </c>
      <c r="B411" t="s">
        <v>1260</v>
      </c>
      <c r="C411" t="s">
        <v>1261</v>
      </c>
      <c r="D411" t="s">
        <v>192</v>
      </c>
      <c r="E411" t="s">
        <v>611</v>
      </c>
      <c r="F411" t="s">
        <v>1274</v>
      </c>
      <c r="G411" t="s">
        <v>1275</v>
      </c>
      <c r="H411" t="s">
        <v>1276</v>
      </c>
      <c r="I411" t="s">
        <v>201</v>
      </c>
      <c r="J411" t="s">
        <v>175</v>
      </c>
      <c r="K411" s="30">
        <v>43081</v>
      </c>
      <c r="L411" s="8">
        <v>43077.422488425924</v>
      </c>
      <c r="M411" s="21">
        <f>LEN(ProjTextTable[[#This Row],[text]])</f>
        <v>2195</v>
      </c>
      <c r="N411" s="21">
        <f>LEN(TRIM(CLEAN(SUBSTITUTE(ProjTextTable[[#This Row],[text]],CHAR(10)," "))))+1 - LEN(SUBSTITUTE(CLEAN(SUBSTITUTE(ProjTextTable[[#This Row],[text]],CHAR(10)," "))," ",""))</f>
        <v>317</v>
      </c>
      <c r="O411" t="s">
        <v>196</v>
      </c>
      <c r="P411" t="s">
        <v>1277</v>
      </c>
    </row>
    <row r="412" spans="1:16" x14ac:dyDescent="0.4">
      <c r="A412">
        <f t="shared" si="6"/>
        <v>61</v>
      </c>
      <c r="B412" t="s">
        <v>1260</v>
      </c>
      <c r="C412" t="s">
        <v>1261</v>
      </c>
      <c r="D412" t="s">
        <v>194</v>
      </c>
      <c r="E412" t="s">
        <v>611</v>
      </c>
      <c r="F412" t="s">
        <v>13</v>
      </c>
      <c r="G412" t="s">
        <v>13</v>
      </c>
      <c r="H412" t="s">
        <v>13</v>
      </c>
      <c r="K412" s="30"/>
      <c r="L412" s="8">
        <v>43005.042511574073</v>
      </c>
      <c r="M412" s="21">
        <f>LEN(ProjTextTable[[#This Row],[text]])</f>
        <v>3441</v>
      </c>
      <c r="N412" s="21">
        <f>LEN(TRIM(CLEAN(SUBSTITUTE(ProjTextTable[[#This Row],[text]],CHAR(10)," "))))+1 - LEN(SUBSTITUTE(CLEAN(SUBSTITUTE(ProjTextTable[[#This Row],[text]],CHAR(10)," "))," ",""))</f>
        <v>480</v>
      </c>
      <c r="O412" t="s">
        <v>13</v>
      </c>
      <c r="P412" t="s">
        <v>1278</v>
      </c>
    </row>
    <row r="413" spans="1:16" x14ac:dyDescent="0.4">
      <c r="A413">
        <f t="shared" si="6"/>
        <v>62</v>
      </c>
      <c r="B413" t="s">
        <v>1279</v>
      </c>
      <c r="C413" t="s">
        <v>1280</v>
      </c>
      <c r="D413" t="s">
        <v>533</v>
      </c>
      <c r="E413" t="s">
        <v>654</v>
      </c>
      <c r="F413" t="s">
        <v>1262</v>
      </c>
      <c r="G413" t="s">
        <v>1263</v>
      </c>
      <c r="H413" t="s">
        <v>541</v>
      </c>
      <c r="I413" t="s">
        <v>536</v>
      </c>
      <c r="J413" t="s">
        <v>1075</v>
      </c>
      <c r="K413" s="30">
        <v>43080</v>
      </c>
      <c r="L413" s="8">
        <v>43081.558148148149</v>
      </c>
      <c r="M413" s="21">
        <f>LEN(ProjTextTable[[#This Row],[text]])</f>
        <v>2638</v>
      </c>
      <c r="N413" s="21">
        <f>LEN(TRIM(CLEAN(SUBSTITUTE(ProjTextTable[[#This Row],[text]],CHAR(10)," "))))+1 - LEN(SUBSTITUTE(CLEAN(SUBSTITUTE(ProjTextTable[[#This Row],[text]],CHAR(10)," "))," ",""))</f>
        <v>377</v>
      </c>
      <c r="O413" t="s">
        <v>542</v>
      </c>
      <c r="P413" t="s">
        <v>1281</v>
      </c>
    </row>
    <row r="414" spans="1:16" x14ac:dyDescent="0.4">
      <c r="A414">
        <f t="shared" si="6"/>
        <v>62</v>
      </c>
      <c r="B414" t="s">
        <v>1279</v>
      </c>
      <c r="C414" t="s">
        <v>1280</v>
      </c>
      <c r="D414" t="s">
        <v>2</v>
      </c>
      <c r="E414" t="s">
        <v>654</v>
      </c>
      <c r="F414" t="s">
        <v>13</v>
      </c>
      <c r="G414" t="s">
        <v>609</v>
      </c>
      <c r="H414" t="s">
        <v>13</v>
      </c>
      <c r="I414" t="s">
        <v>13</v>
      </c>
      <c r="K414" s="30"/>
      <c r="L414" s="8">
        <v>43082.529826388891</v>
      </c>
      <c r="M414" s="21">
        <f>LEN(ProjTextTable[[#This Row],[text]])</f>
        <v>1919</v>
      </c>
      <c r="N414" s="21">
        <f>LEN(TRIM(CLEAN(SUBSTITUTE(ProjTextTable[[#This Row],[text]],CHAR(10)," "))))+1 - LEN(SUBSTITUTE(CLEAN(SUBSTITUTE(ProjTextTable[[#This Row],[text]],CHAR(10)," "))," ",""))</f>
        <v>285</v>
      </c>
      <c r="O414" t="s">
        <v>13</v>
      </c>
      <c r="P414" t="s">
        <v>1282</v>
      </c>
    </row>
    <row r="415" spans="1:16" x14ac:dyDescent="0.4">
      <c r="A415">
        <f t="shared" si="6"/>
        <v>62</v>
      </c>
      <c r="B415" t="s">
        <v>1279</v>
      </c>
      <c r="C415" t="s">
        <v>1280</v>
      </c>
      <c r="D415" t="s">
        <v>192</v>
      </c>
      <c r="E415" t="s">
        <v>654</v>
      </c>
      <c r="F415" t="s">
        <v>1283</v>
      </c>
      <c r="G415" t="s">
        <v>1284</v>
      </c>
      <c r="H415" t="s">
        <v>1285</v>
      </c>
      <c r="I415" t="s">
        <v>201</v>
      </c>
      <c r="J415" t="s">
        <v>175</v>
      </c>
      <c r="K415" s="30">
        <v>43081</v>
      </c>
      <c r="L415" s="8">
        <v>43080.424861111111</v>
      </c>
      <c r="M415" s="21">
        <f>LEN(ProjTextTable[[#This Row],[text]])</f>
        <v>4324</v>
      </c>
      <c r="N415" s="21">
        <f>LEN(TRIM(CLEAN(SUBSTITUTE(ProjTextTable[[#This Row],[text]],CHAR(10)," "))))+1 - LEN(SUBSTITUTE(CLEAN(SUBSTITUTE(ProjTextTable[[#This Row],[text]],CHAR(10)," "))," ",""))</f>
        <v>654</v>
      </c>
      <c r="O415" t="s">
        <v>198</v>
      </c>
      <c r="P415" t="s">
        <v>1286</v>
      </c>
    </row>
    <row r="416" spans="1:16" x14ac:dyDescent="0.4">
      <c r="A416">
        <f t="shared" si="6"/>
        <v>62</v>
      </c>
      <c r="B416" t="s">
        <v>1279</v>
      </c>
      <c r="C416" t="s">
        <v>1280</v>
      </c>
      <c r="D416" t="s">
        <v>192</v>
      </c>
      <c r="E416" t="s">
        <v>654</v>
      </c>
      <c r="F416" t="s">
        <v>1287</v>
      </c>
      <c r="G416" t="s">
        <v>1031</v>
      </c>
      <c r="H416" t="s">
        <v>1288</v>
      </c>
      <c r="I416" t="s">
        <v>201</v>
      </c>
      <c r="J416" t="s">
        <v>175</v>
      </c>
      <c r="K416" s="30">
        <v>43081</v>
      </c>
      <c r="L416" s="8">
        <v>43080.038368055553</v>
      </c>
      <c r="M416" s="21">
        <f>LEN(ProjTextTable[[#This Row],[text]])</f>
        <v>2729</v>
      </c>
      <c r="N416" s="21">
        <f>LEN(TRIM(CLEAN(SUBSTITUTE(ProjTextTable[[#This Row],[text]],CHAR(10)," "))))+1 - LEN(SUBSTITUTE(CLEAN(SUBSTITUTE(ProjTextTable[[#This Row],[text]],CHAR(10)," "))," ",""))</f>
        <v>423</v>
      </c>
      <c r="O416" t="s">
        <v>193</v>
      </c>
      <c r="P416" t="s">
        <v>1289</v>
      </c>
    </row>
    <row r="417" spans="1:16" x14ac:dyDescent="0.4">
      <c r="A417">
        <f t="shared" si="6"/>
        <v>62</v>
      </c>
      <c r="B417" t="s">
        <v>1279</v>
      </c>
      <c r="C417" t="s">
        <v>1280</v>
      </c>
      <c r="D417" t="s">
        <v>192</v>
      </c>
      <c r="E417" t="s">
        <v>654</v>
      </c>
      <c r="F417" t="s">
        <v>1290</v>
      </c>
      <c r="G417" t="s">
        <v>1291</v>
      </c>
      <c r="H417" t="s">
        <v>1292</v>
      </c>
      <c r="I417" t="s">
        <v>201</v>
      </c>
      <c r="J417" t="s">
        <v>175</v>
      </c>
      <c r="K417" s="30">
        <v>43081</v>
      </c>
      <c r="L417" s="8">
        <v>43081.234895833331</v>
      </c>
      <c r="M417" s="21">
        <f>LEN(ProjTextTable[[#This Row],[text]])</f>
        <v>2835</v>
      </c>
      <c r="N417" s="21">
        <f>LEN(TRIM(CLEAN(SUBSTITUTE(ProjTextTable[[#This Row],[text]],CHAR(10)," "))))+1 - LEN(SUBSTITUTE(CLEAN(SUBSTITUTE(ProjTextTable[[#This Row],[text]],CHAR(10)," "))," ",""))</f>
        <v>390</v>
      </c>
      <c r="O417" t="s">
        <v>196</v>
      </c>
      <c r="P417" t="s">
        <v>1293</v>
      </c>
    </row>
    <row r="418" spans="1:16" x14ac:dyDescent="0.4">
      <c r="A418">
        <f t="shared" si="6"/>
        <v>62</v>
      </c>
      <c r="B418" t="s">
        <v>1279</v>
      </c>
      <c r="C418" t="s">
        <v>1280</v>
      </c>
      <c r="D418" t="s">
        <v>192</v>
      </c>
      <c r="E418" t="s">
        <v>654</v>
      </c>
      <c r="F418" t="s">
        <v>1270</v>
      </c>
      <c r="G418" t="s">
        <v>1271</v>
      </c>
      <c r="H418" t="s">
        <v>1272</v>
      </c>
      <c r="I418" t="s">
        <v>201</v>
      </c>
      <c r="J418" t="s">
        <v>175</v>
      </c>
      <c r="K418" s="30">
        <v>43081</v>
      </c>
      <c r="L418" s="8">
        <v>43078.639791666668</v>
      </c>
      <c r="M418" s="21">
        <f>LEN(ProjTextTable[[#This Row],[text]])</f>
        <v>3320</v>
      </c>
      <c r="N418" s="21">
        <f>LEN(TRIM(CLEAN(SUBSTITUTE(ProjTextTable[[#This Row],[text]],CHAR(10)," "))))+1 - LEN(SUBSTITUTE(CLEAN(SUBSTITUTE(ProjTextTable[[#This Row],[text]],CHAR(10)," "))," ",""))</f>
        <v>525</v>
      </c>
      <c r="O418" t="s">
        <v>193</v>
      </c>
      <c r="P418" t="s">
        <v>1294</v>
      </c>
    </row>
    <row r="419" spans="1:16" x14ac:dyDescent="0.4">
      <c r="A419">
        <f t="shared" si="6"/>
        <v>63</v>
      </c>
      <c r="B419" t="s">
        <v>1295</v>
      </c>
      <c r="C419" t="s">
        <v>1296</v>
      </c>
      <c r="D419" t="s">
        <v>533</v>
      </c>
      <c r="E419" t="s">
        <v>611</v>
      </c>
      <c r="F419" t="s">
        <v>1262</v>
      </c>
      <c r="G419" t="s">
        <v>1263</v>
      </c>
      <c r="H419" t="s">
        <v>539</v>
      </c>
      <c r="I419" t="s">
        <v>535</v>
      </c>
      <c r="J419" t="s">
        <v>534</v>
      </c>
      <c r="K419" s="30">
        <v>43080</v>
      </c>
      <c r="L419" s="8">
        <v>43081.560532407406</v>
      </c>
      <c r="M419" s="21">
        <f>LEN(ProjTextTable[[#This Row],[text]])</f>
        <v>6051</v>
      </c>
      <c r="N419" s="21">
        <f>LEN(TRIM(CLEAN(SUBSTITUTE(ProjTextTable[[#This Row],[text]],CHAR(10)," "))))+1 - LEN(SUBSTITUTE(CLEAN(SUBSTITUTE(ProjTextTable[[#This Row],[text]],CHAR(10)," "))," ",""))</f>
        <v>961</v>
      </c>
      <c r="O419" t="s">
        <v>540</v>
      </c>
      <c r="P419" t="s">
        <v>1297</v>
      </c>
    </row>
    <row r="420" spans="1:16" x14ac:dyDescent="0.4">
      <c r="A420">
        <f t="shared" si="6"/>
        <v>63</v>
      </c>
      <c r="B420" t="s">
        <v>1295</v>
      </c>
      <c r="C420" t="s">
        <v>1296</v>
      </c>
      <c r="D420" t="s">
        <v>192</v>
      </c>
      <c r="E420" t="s">
        <v>611</v>
      </c>
      <c r="F420" t="s">
        <v>1287</v>
      </c>
      <c r="G420" t="s">
        <v>1031</v>
      </c>
      <c r="H420" t="s">
        <v>1288</v>
      </c>
      <c r="I420" t="s">
        <v>201</v>
      </c>
      <c r="J420" t="s">
        <v>175</v>
      </c>
      <c r="K420" s="30">
        <v>43081</v>
      </c>
      <c r="L420" s="8">
        <v>43080.71298611111</v>
      </c>
      <c r="M420" s="21">
        <f>LEN(ProjTextTable[[#This Row],[text]])</f>
        <v>3772</v>
      </c>
      <c r="N420" s="21">
        <f>LEN(TRIM(CLEAN(SUBSTITUTE(ProjTextTable[[#This Row],[text]],CHAR(10)," "))))+1 - LEN(SUBSTITUTE(CLEAN(SUBSTITUTE(ProjTextTable[[#This Row],[text]],CHAR(10)," "))," ",""))</f>
        <v>593</v>
      </c>
      <c r="O420" t="s">
        <v>196</v>
      </c>
      <c r="P420" t="s">
        <v>1298</v>
      </c>
    </row>
    <row r="421" spans="1:16" x14ac:dyDescent="0.4">
      <c r="A421">
        <f t="shared" si="6"/>
        <v>63</v>
      </c>
      <c r="B421" t="s">
        <v>1295</v>
      </c>
      <c r="C421" t="s">
        <v>1296</v>
      </c>
      <c r="D421" t="s">
        <v>192</v>
      </c>
      <c r="E421" t="s">
        <v>611</v>
      </c>
      <c r="F421" t="s">
        <v>1290</v>
      </c>
      <c r="G421" t="s">
        <v>1291</v>
      </c>
      <c r="H421" t="s">
        <v>1292</v>
      </c>
      <c r="I421" t="s">
        <v>201</v>
      </c>
      <c r="J421" t="s">
        <v>175</v>
      </c>
      <c r="K421" s="30">
        <v>43081</v>
      </c>
      <c r="L421" s="8">
        <v>43079.23</v>
      </c>
      <c r="M421" s="21">
        <f>LEN(ProjTextTable[[#This Row],[text]])</f>
        <v>1636</v>
      </c>
      <c r="N421" s="21">
        <f>LEN(TRIM(CLEAN(SUBSTITUTE(ProjTextTable[[#This Row],[text]],CHAR(10)," "))))+1 - LEN(SUBSTITUTE(CLEAN(SUBSTITUTE(ProjTextTable[[#This Row],[text]],CHAR(10)," "))," ",""))</f>
        <v>235</v>
      </c>
      <c r="O421" t="s">
        <v>195</v>
      </c>
      <c r="P421" t="s">
        <v>1299</v>
      </c>
    </row>
    <row r="422" spans="1:16" x14ac:dyDescent="0.4">
      <c r="A422">
        <f t="shared" si="6"/>
        <v>63</v>
      </c>
      <c r="B422" t="s">
        <v>1295</v>
      </c>
      <c r="C422" t="s">
        <v>1296</v>
      </c>
      <c r="D422" t="s">
        <v>192</v>
      </c>
      <c r="E422" t="s">
        <v>611</v>
      </c>
      <c r="F422" t="s">
        <v>1300</v>
      </c>
      <c r="G422" t="s">
        <v>1022</v>
      </c>
      <c r="H422" t="s">
        <v>1301</v>
      </c>
      <c r="I422" t="s">
        <v>201</v>
      </c>
      <c r="J422" t="s">
        <v>175</v>
      </c>
      <c r="K422" s="30">
        <v>43081</v>
      </c>
      <c r="L422" s="8">
        <v>43080.355497685188</v>
      </c>
      <c r="M422" s="21">
        <f>LEN(ProjTextTable[[#This Row],[text]])</f>
        <v>1221</v>
      </c>
      <c r="N422" s="21">
        <f>LEN(TRIM(CLEAN(SUBSTITUTE(ProjTextTable[[#This Row],[text]],CHAR(10)," "))))+1 - LEN(SUBSTITUTE(CLEAN(SUBSTITUTE(ProjTextTable[[#This Row],[text]],CHAR(10)," "))," ",""))</f>
        <v>184</v>
      </c>
      <c r="O422" t="s">
        <v>193</v>
      </c>
      <c r="P422" t="s">
        <v>1302</v>
      </c>
    </row>
    <row r="423" spans="1:16" x14ac:dyDescent="0.4">
      <c r="A423">
        <f t="shared" si="6"/>
        <v>63</v>
      </c>
      <c r="B423" t="s">
        <v>1295</v>
      </c>
      <c r="C423" t="s">
        <v>1296</v>
      </c>
      <c r="D423" t="s">
        <v>192</v>
      </c>
      <c r="E423" t="s">
        <v>611</v>
      </c>
      <c r="F423" t="s">
        <v>1270</v>
      </c>
      <c r="G423" t="s">
        <v>1271</v>
      </c>
      <c r="H423" t="s">
        <v>1272</v>
      </c>
      <c r="I423" t="s">
        <v>201</v>
      </c>
      <c r="J423" t="s">
        <v>175</v>
      </c>
      <c r="K423" s="30">
        <v>43081</v>
      </c>
      <c r="L423" s="8">
        <v>43078.79173611111</v>
      </c>
      <c r="M423" s="21">
        <f>LEN(ProjTextTable[[#This Row],[text]])</f>
        <v>2408</v>
      </c>
      <c r="N423" s="21">
        <f>LEN(TRIM(CLEAN(SUBSTITUTE(ProjTextTable[[#This Row],[text]],CHAR(10)," "))))+1 - LEN(SUBSTITUTE(CLEAN(SUBSTITUTE(ProjTextTable[[#This Row],[text]],CHAR(10)," "))," ",""))</f>
        <v>354</v>
      </c>
      <c r="O423" t="s">
        <v>195</v>
      </c>
      <c r="P423" t="s">
        <v>1303</v>
      </c>
    </row>
    <row r="424" spans="1:16" x14ac:dyDescent="0.4">
      <c r="A424">
        <f t="shared" si="6"/>
        <v>63</v>
      </c>
      <c r="B424" t="s">
        <v>1295</v>
      </c>
      <c r="C424" t="s">
        <v>1296</v>
      </c>
      <c r="D424" t="s">
        <v>194</v>
      </c>
      <c r="E424" t="s">
        <v>611</v>
      </c>
      <c r="F424" t="s">
        <v>13</v>
      </c>
      <c r="G424" t="s">
        <v>13</v>
      </c>
      <c r="H424" t="s">
        <v>13</v>
      </c>
      <c r="K424" s="30"/>
      <c r="L424" s="8">
        <v>43005.042592592596</v>
      </c>
      <c r="M424" s="21">
        <f>LEN(ProjTextTable[[#This Row],[text]])</f>
        <v>3881</v>
      </c>
      <c r="N424" s="21">
        <f>LEN(TRIM(CLEAN(SUBSTITUTE(ProjTextTable[[#This Row],[text]],CHAR(10)," "))))+1 - LEN(SUBSTITUTE(CLEAN(SUBSTITUTE(ProjTextTable[[#This Row],[text]],CHAR(10)," "))," ",""))</f>
        <v>553</v>
      </c>
      <c r="O424" t="s">
        <v>13</v>
      </c>
      <c r="P424" t="s">
        <v>1304</v>
      </c>
    </row>
    <row r="425" spans="1:16" x14ac:dyDescent="0.4">
      <c r="A425">
        <f t="shared" si="6"/>
        <v>64</v>
      </c>
      <c r="B425" t="s">
        <v>1305</v>
      </c>
      <c r="C425" t="s">
        <v>1306</v>
      </c>
      <c r="D425" t="s">
        <v>533</v>
      </c>
      <c r="E425" t="s">
        <v>611</v>
      </c>
      <c r="F425" t="s">
        <v>1262</v>
      </c>
      <c r="G425" t="s">
        <v>1263</v>
      </c>
      <c r="H425" t="s">
        <v>543</v>
      </c>
      <c r="I425" t="s">
        <v>537</v>
      </c>
      <c r="J425" t="s">
        <v>535</v>
      </c>
      <c r="K425" s="30">
        <v>43080</v>
      </c>
      <c r="L425" s="8">
        <v>43081.561307870368</v>
      </c>
      <c r="M425" s="21">
        <f>LEN(ProjTextTable[[#This Row],[text]])</f>
        <v>3502</v>
      </c>
      <c r="N425" s="21">
        <f>LEN(TRIM(CLEAN(SUBSTITUTE(ProjTextTable[[#This Row],[text]],CHAR(10)," "))))+1 - LEN(SUBSTITUTE(CLEAN(SUBSTITUTE(ProjTextTable[[#This Row],[text]],CHAR(10)," "))," ",""))</f>
        <v>494</v>
      </c>
      <c r="O425" t="s">
        <v>544</v>
      </c>
      <c r="P425" t="s">
        <v>1307</v>
      </c>
    </row>
    <row r="426" spans="1:16" x14ac:dyDescent="0.4">
      <c r="A426">
        <f t="shared" si="6"/>
        <v>64</v>
      </c>
      <c r="B426" t="s">
        <v>1305</v>
      </c>
      <c r="C426" t="s">
        <v>1306</v>
      </c>
      <c r="D426" t="s">
        <v>192</v>
      </c>
      <c r="E426" t="s">
        <v>611</v>
      </c>
      <c r="F426" t="s">
        <v>1308</v>
      </c>
      <c r="G426" t="s">
        <v>1065</v>
      </c>
      <c r="H426" t="s">
        <v>1309</v>
      </c>
      <c r="I426" t="s">
        <v>201</v>
      </c>
      <c r="J426" t="s">
        <v>175</v>
      </c>
      <c r="K426" s="30">
        <v>43081</v>
      </c>
      <c r="L426" s="8">
        <v>43080.346261574072</v>
      </c>
      <c r="M426" s="21">
        <f>LEN(ProjTextTable[[#This Row],[text]])</f>
        <v>3453</v>
      </c>
      <c r="N426" s="21">
        <f>LEN(TRIM(CLEAN(SUBSTITUTE(ProjTextTable[[#This Row],[text]],CHAR(10)," "))))+1 - LEN(SUBSTITUTE(CLEAN(SUBSTITUTE(ProjTextTable[[#This Row],[text]],CHAR(10)," "))," ",""))</f>
        <v>503</v>
      </c>
      <c r="O426" t="s">
        <v>196</v>
      </c>
      <c r="P426" t="s">
        <v>1310</v>
      </c>
    </row>
    <row r="427" spans="1:16" x14ac:dyDescent="0.4">
      <c r="A427">
        <f t="shared" si="6"/>
        <v>64</v>
      </c>
      <c r="B427" t="s">
        <v>1305</v>
      </c>
      <c r="C427" t="s">
        <v>1306</v>
      </c>
      <c r="D427" t="s">
        <v>192</v>
      </c>
      <c r="E427" t="s">
        <v>611</v>
      </c>
      <c r="F427" t="s">
        <v>521</v>
      </c>
      <c r="G427" t="s">
        <v>522</v>
      </c>
      <c r="H427" t="s">
        <v>523</v>
      </c>
      <c r="I427" t="s">
        <v>201</v>
      </c>
      <c r="J427" t="s">
        <v>175</v>
      </c>
      <c r="K427" s="30">
        <v>43081</v>
      </c>
      <c r="L427" s="8">
        <v>43080.471909722219</v>
      </c>
      <c r="M427" s="21">
        <f>LEN(ProjTextTable[[#This Row],[text]])</f>
        <v>3160</v>
      </c>
      <c r="N427" s="21">
        <f>LEN(TRIM(CLEAN(SUBSTITUTE(ProjTextTable[[#This Row],[text]],CHAR(10)," "))))+1 - LEN(SUBSTITUTE(CLEAN(SUBSTITUTE(ProjTextTable[[#This Row],[text]],CHAR(10)," "))," ",""))</f>
        <v>470</v>
      </c>
      <c r="O427" t="s">
        <v>229</v>
      </c>
      <c r="P427" t="s">
        <v>1311</v>
      </c>
    </row>
    <row r="428" spans="1:16" x14ac:dyDescent="0.4">
      <c r="A428">
        <f t="shared" si="6"/>
        <v>64</v>
      </c>
      <c r="B428" t="s">
        <v>1305</v>
      </c>
      <c r="C428" t="s">
        <v>1306</v>
      </c>
      <c r="D428" t="s">
        <v>192</v>
      </c>
      <c r="E428" t="s">
        <v>611</v>
      </c>
      <c r="F428" t="s">
        <v>1300</v>
      </c>
      <c r="G428" t="s">
        <v>1022</v>
      </c>
      <c r="H428" t="s">
        <v>1301</v>
      </c>
      <c r="I428" t="s">
        <v>201</v>
      </c>
      <c r="J428" t="s">
        <v>175</v>
      </c>
      <c r="K428" s="30">
        <v>43081</v>
      </c>
      <c r="L428" s="8">
        <v>43080.329062500001</v>
      </c>
      <c r="M428" s="21">
        <f>LEN(ProjTextTable[[#This Row],[text]])</f>
        <v>2928</v>
      </c>
      <c r="N428" s="21">
        <f>LEN(TRIM(CLEAN(SUBSTITUTE(ProjTextTable[[#This Row],[text]],CHAR(10)," "))))+1 - LEN(SUBSTITUTE(CLEAN(SUBSTITUTE(ProjTextTable[[#This Row],[text]],CHAR(10)," "))," ",""))</f>
        <v>435</v>
      </c>
      <c r="O428" t="s">
        <v>229</v>
      </c>
      <c r="P428" t="s">
        <v>1312</v>
      </c>
    </row>
    <row r="429" spans="1:16" x14ac:dyDescent="0.4">
      <c r="A429">
        <f t="shared" si="6"/>
        <v>64</v>
      </c>
      <c r="B429" t="s">
        <v>1305</v>
      </c>
      <c r="C429" t="s">
        <v>1306</v>
      </c>
      <c r="D429" t="s">
        <v>192</v>
      </c>
      <c r="E429" t="s">
        <v>611</v>
      </c>
      <c r="F429" t="s">
        <v>1274</v>
      </c>
      <c r="G429" t="s">
        <v>1275</v>
      </c>
      <c r="H429" t="s">
        <v>1276</v>
      </c>
      <c r="I429" t="s">
        <v>201</v>
      </c>
      <c r="J429" t="s">
        <v>175</v>
      </c>
      <c r="K429" s="30">
        <v>43081</v>
      </c>
      <c r="L429" s="8">
        <v>43079.833495370367</v>
      </c>
      <c r="M429" s="21">
        <f>LEN(ProjTextTable[[#This Row],[text]])</f>
        <v>2330</v>
      </c>
      <c r="N429" s="21">
        <f>LEN(TRIM(CLEAN(SUBSTITUTE(ProjTextTable[[#This Row],[text]],CHAR(10)," "))))+1 - LEN(SUBSTITUTE(CLEAN(SUBSTITUTE(ProjTextTable[[#This Row],[text]],CHAR(10)," "))," ",""))</f>
        <v>352</v>
      </c>
      <c r="O429" t="s">
        <v>196</v>
      </c>
      <c r="P429" t="s">
        <v>1313</v>
      </c>
    </row>
    <row r="430" spans="1:16" x14ac:dyDescent="0.4">
      <c r="A430">
        <f t="shared" si="6"/>
        <v>64</v>
      </c>
      <c r="B430" t="s">
        <v>1305</v>
      </c>
      <c r="C430" t="s">
        <v>1306</v>
      </c>
      <c r="D430" t="s">
        <v>194</v>
      </c>
      <c r="E430" t="s">
        <v>611</v>
      </c>
      <c r="F430" t="s">
        <v>13</v>
      </c>
      <c r="G430" t="s">
        <v>13</v>
      </c>
      <c r="H430" t="s">
        <v>13</v>
      </c>
      <c r="K430" s="30"/>
      <c r="L430" s="8">
        <v>43005.042604166665</v>
      </c>
      <c r="M430" s="21">
        <f>LEN(ProjTextTable[[#This Row],[text]])</f>
        <v>3299</v>
      </c>
      <c r="N430" s="21">
        <f>LEN(TRIM(CLEAN(SUBSTITUTE(ProjTextTable[[#This Row],[text]],CHAR(10)," "))))+1 - LEN(SUBSTITUTE(CLEAN(SUBSTITUTE(ProjTextTable[[#This Row],[text]],CHAR(10)," "))," ",""))</f>
        <v>460</v>
      </c>
      <c r="O430" t="s">
        <v>13</v>
      </c>
      <c r="P430" t="s">
        <v>1314</v>
      </c>
    </row>
    <row r="431" spans="1:16" x14ac:dyDescent="0.4">
      <c r="A431">
        <f t="shared" si="6"/>
        <v>65</v>
      </c>
      <c r="B431" t="s">
        <v>1315</v>
      </c>
      <c r="C431" t="s">
        <v>1296</v>
      </c>
      <c r="D431" t="s">
        <v>533</v>
      </c>
      <c r="E431" t="s">
        <v>611</v>
      </c>
      <c r="F431" t="s">
        <v>1262</v>
      </c>
      <c r="G431" t="s">
        <v>1263</v>
      </c>
      <c r="H431" t="s">
        <v>539</v>
      </c>
      <c r="I431" t="s">
        <v>535</v>
      </c>
      <c r="J431" t="s">
        <v>536</v>
      </c>
      <c r="K431" s="30">
        <v>43080</v>
      </c>
      <c r="L431" s="8">
        <v>43081.577418981484</v>
      </c>
      <c r="M431" s="21">
        <f>LEN(ProjTextTable[[#This Row],[text]])</f>
        <v>3984</v>
      </c>
      <c r="N431" s="21">
        <f>LEN(TRIM(CLEAN(SUBSTITUTE(ProjTextTable[[#This Row],[text]],CHAR(10)," "))))+1 - LEN(SUBSTITUTE(CLEAN(SUBSTITUTE(ProjTextTable[[#This Row],[text]],CHAR(10)," "))," ",""))</f>
        <v>584</v>
      </c>
      <c r="O431" t="s">
        <v>540</v>
      </c>
      <c r="P431" t="s">
        <v>1316</v>
      </c>
    </row>
    <row r="432" spans="1:16" x14ac:dyDescent="0.4">
      <c r="A432">
        <f t="shared" si="6"/>
        <v>65</v>
      </c>
      <c r="B432" t="s">
        <v>1315</v>
      </c>
      <c r="C432" t="s">
        <v>1296</v>
      </c>
      <c r="D432" t="s">
        <v>192</v>
      </c>
      <c r="E432" t="s">
        <v>611</v>
      </c>
      <c r="F432" t="s">
        <v>1283</v>
      </c>
      <c r="G432" t="s">
        <v>1284</v>
      </c>
      <c r="H432" t="s">
        <v>1285</v>
      </c>
      <c r="I432" t="s">
        <v>201</v>
      </c>
      <c r="J432" t="s">
        <v>175</v>
      </c>
      <c r="K432" s="30">
        <v>43081</v>
      </c>
      <c r="L432" s="8">
        <v>43080.493645833332</v>
      </c>
      <c r="M432" s="21">
        <f>LEN(ProjTextTable[[#This Row],[text]])</f>
        <v>2589</v>
      </c>
      <c r="N432" s="21">
        <f>LEN(TRIM(CLEAN(SUBSTITUTE(ProjTextTable[[#This Row],[text]],CHAR(10)," "))))+1 - LEN(SUBSTITUTE(CLEAN(SUBSTITUTE(ProjTextTable[[#This Row],[text]],CHAR(10)," "))," ",""))</f>
        <v>389</v>
      </c>
      <c r="O432" t="s">
        <v>196</v>
      </c>
      <c r="P432" t="s">
        <v>1317</v>
      </c>
    </row>
    <row r="433" spans="1:16" x14ac:dyDescent="0.4">
      <c r="A433">
        <f t="shared" si="6"/>
        <v>65</v>
      </c>
      <c r="B433" t="s">
        <v>1315</v>
      </c>
      <c r="C433" t="s">
        <v>1296</v>
      </c>
      <c r="D433" t="s">
        <v>192</v>
      </c>
      <c r="E433" t="s">
        <v>611</v>
      </c>
      <c r="F433" t="s">
        <v>1308</v>
      </c>
      <c r="G433" t="s">
        <v>1065</v>
      </c>
      <c r="H433" t="s">
        <v>1309</v>
      </c>
      <c r="I433" t="s">
        <v>201</v>
      </c>
      <c r="J433" t="s">
        <v>175</v>
      </c>
      <c r="K433" s="30">
        <v>43081</v>
      </c>
      <c r="L433" s="8">
        <v>43081.366064814814</v>
      </c>
      <c r="M433" s="21">
        <f>LEN(ProjTextTable[[#This Row],[text]])</f>
        <v>2550</v>
      </c>
      <c r="N433" s="21">
        <f>LEN(TRIM(CLEAN(SUBSTITUTE(ProjTextTable[[#This Row],[text]],CHAR(10)," "))))+1 - LEN(SUBSTITUTE(CLEAN(SUBSTITUTE(ProjTextTable[[#This Row],[text]],CHAR(10)," "))," ",""))</f>
        <v>399</v>
      </c>
      <c r="O433" t="s">
        <v>195</v>
      </c>
      <c r="P433" t="s">
        <v>1318</v>
      </c>
    </row>
    <row r="434" spans="1:16" x14ac:dyDescent="0.4">
      <c r="A434">
        <f t="shared" si="6"/>
        <v>65</v>
      </c>
      <c r="B434" t="s">
        <v>1315</v>
      </c>
      <c r="C434" t="s">
        <v>1296</v>
      </c>
      <c r="D434" t="s">
        <v>192</v>
      </c>
      <c r="E434" t="s">
        <v>611</v>
      </c>
      <c r="F434" t="s">
        <v>1290</v>
      </c>
      <c r="G434" t="s">
        <v>1291</v>
      </c>
      <c r="H434" t="s">
        <v>1292</v>
      </c>
      <c r="I434" t="s">
        <v>201</v>
      </c>
      <c r="J434" t="s">
        <v>175</v>
      </c>
      <c r="K434" s="30">
        <v>43081</v>
      </c>
      <c r="L434" s="8">
        <v>43081.235844907409</v>
      </c>
      <c r="M434" s="21">
        <f>LEN(ProjTextTable[[#This Row],[text]])</f>
        <v>2882</v>
      </c>
      <c r="N434" s="21">
        <f>LEN(TRIM(CLEAN(SUBSTITUTE(ProjTextTable[[#This Row],[text]],CHAR(10)," "))))+1 - LEN(SUBSTITUTE(CLEAN(SUBSTITUTE(ProjTextTable[[#This Row],[text]],CHAR(10)," "))," ",""))</f>
        <v>422</v>
      </c>
      <c r="O434" t="s">
        <v>195</v>
      </c>
      <c r="P434" t="s">
        <v>1319</v>
      </c>
    </row>
    <row r="435" spans="1:16" x14ac:dyDescent="0.4">
      <c r="A435">
        <f t="shared" si="6"/>
        <v>65</v>
      </c>
      <c r="B435" t="s">
        <v>1315</v>
      </c>
      <c r="C435" t="s">
        <v>1296</v>
      </c>
      <c r="D435" t="s">
        <v>192</v>
      </c>
      <c r="E435" t="s">
        <v>611</v>
      </c>
      <c r="F435" t="s">
        <v>1300</v>
      </c>
      <c r="G435" t="s">
        <v>1022</v>
      </c>
      <c r="H435" t="s">
        <v>1301</v>
      </c>
      <c r="I435" t="s">
        <v>201</v>
      </c>
      <c r="J435" t="s">
        <v>175</v>
      </c>
      <c r="K435" s="30">
        <v>43081</v>
      </c>
      <c r="L435" s="8">
        <v>43080.35015046296</v>
      </c>
      <c r="M435" s="21">
        <f>LEN(ProjTextTable[[#This Row],[text]])</f>
        <v>1377</v>
      </c>
      <c r="N435" s="21">
        <f>LEN(TRIM(CLEAN(SUBSTITUTE(ProjTextTable[[#This Row],[text]],CHAR(10)," "))))+1 - LEN(SUBSTITUTE(CLEAN(SUBSTITUTE(ProjTextTable[[#This Row],[text]],CHAR(10)," "))," ",""))</f>
        <v>198</v>
      </c>
      <c r="O435" t="s">
        <v>229</v>
      </c>
      <c r="P435" t="s">
        <v>1320</v>
      </c>
    </row>
    <row r="436" spans="1:16" x14ac:dyDescent="0.4">
      <c r="A436">
        <f t="shared" si="6"/>
        <v>65</v>
      </c>
      <c r="B436" t="s">
        <v>1315</v>
      </c>
      <c r="C436" t="s">
        <v>1296</v>
      </c>
      <c r="D436" t="s">
        <v>194</v>
      </c>
      <c r="E436" t="s">
        <v>611</v>
      </c>
      <c r="F436" t="s">
        <v>13</v>
      </c>
      <c r="G436" t="s">
        <v>13</v>
      </c>
      <c r="H436" t="s">
        <v>13</v>
      </c>
      <c r="K436" s="30"/>
      <c r="L436" s="8">
        <v>43006.042500000003</v>
      </c>
      <c r="M436" s="21">
        <f>LEN(ProjTextTable[[#This Row],[text]])</f>
        <v>4189</v>
      </c>
      <c r="N436" s="21">
        <f>LEN(TRIM(CLEAN(SUBSTITUTE(ProjTextTable[[#This Row],[text]],CHAR(10)," "))))+1 - LEN(SUBSTITUTE(CLEAN(SUBSTITUTE(ProjTextTable[[#This Row],[text]],CHAR(10)," "))," ",""))</f>
        <v>610</v>
      </c>
      <c r="O436" t="s">
        <v>13</v>
      </c>
      <c r="P436" t="s">
        <v>1321</v>
      </c>
    </row>
    <row r="437" spans="1:16" x14ac:dyDescent="0.4">
      <c r="A437">
        <f t="shared" si="6"/>
        <v>66</v>
      </c>
      <c r="B437" t="s">
        <v>1322</v>
      </c>
      <c r="C437" t="s">
        <v>1323</v>
      </c>
      <c r="D437" t="s">
        <v>533</v>
      </c>
      <c r="E437" t="s">
        <v>611</v>
      </c>
      <c r="F437" t="s">
        <v>1262</v>
      </c>
      <c r="G437" t="s">
        <v>1263</v>
      </c>
      <c r="H437" t="s">
        <v>541</v>
      </c>
      <c r="I437" t="s">
        <v>536</v>
      </c>
      <c r="J437" t="s">
        <v>1075</v>
      </c>
      <c r="K437" s="30">
        <v>43080</v>
      </c>
      <c r="L437" s="8">
        <v>43081.596516203703</v>
      </c>
      <c r="M437" s="21">
        <f>LEN(ProjTextTable[[#This Row],[text]])</f>
        <v>2923</v>
      </c>
      <c r="N437" s="21">
        <f>LEN(TRIM(CLEAN(SUBSTITUTE(ProjTextTable[[#This Row],[text]],CHAR(10)," "))))+1 - LEN(SUBSTITUTE(CLEAN(SUBSTITUTE(ProjTextTable[[#This Row],[text]],CHAR(10)," "))," ",""))</f>
        <v>429</v>
      </c>
      <c r="O437" t="s">
        <v>542</v>
      </c>
      <c r="P437" t="s">
        <v>1324</v>
      </c>
    </row>
    <row r="438" spans="1:16" x14ac:dyDescent="0.4">
      <c r="A438">
        <f t="shared" si="6"/>
        <v>66</v>
      </c>
      <c r="B438" t="s">
        <v>1322</v>
      </c>
      <c r="C438" t="s">
        <v>1323</v>
      </c>
      <c r="D438" t="s">
        <v>2</v>
      </c>
      <c r="E438" t="s">
        <v>611</v>
      </c>
      <c r="F438" t="s">
        <v>13</v>
      </c>
      <c r="G438" t="s">
        <v>609</v>
      </c>
      <c r="H438" t="s">
        <v>13</v>
      </c>
      <c r="I438" t="s">
        <v>13</v>
      </c>
      <c r="K438" s="30"/>
      <c r="L438" s="8">
        <v>43082.529895833337</v>
      </c>
      <c r="M438" s="21">
        <f>LEN(ProjTextTable[[#This Row],[text]])</f>
        <v>2100</v>
      </c>
      <c r="N438" s="21">
        <f>LEN(TRIM(CLEAN(SUBSTITUTE(ProjTextTable[[#This Row],[text]],CHAR(10)," "))))+1 - LEN(SUBSTITUTE(CLEAN(SUBSTITUTE(ProjTextTable[[#This Row],[text]],CHAR(10)," "))," ",""))</f>
        <v>309</v>
      </c>
      <c r="O438" t="s">
        <v>13</v>
      </c>
      <c r="P438" t="s">
        <v>1325</v>
      </c>
    </row>
    <row r="439" spans="1:16" x14ac:dyDescent="0.4">
      <c r="A439">
        <f t="shared" si="6"/>
        <v>66</v>
      </c>
      <c r="B439" t="s">
        <v>1322</v>
      </c>
      <c r="C439" t="s">
        <v>1323</v>
      </c>
      <c r="D439" t="s">
        <v>192</v>
      </c>
      <c r="E439" t="s">
        <v>611</v>
      </c>
      <c r="F439" t="s">
        <v>521</v>
      </c>
      <c r="G439" t="s">
        <v>522</v>
      </c>
      <c r="H439" t="s">
        <v>523</v>
      </c>
      <c r="I439" t="s">
        <v>201</v>
      </c>
      <c r="J439" t="s">
        <v>175</v>
      </c>
      <c r="K439" s="30">
        <v>43081</v>
      </c>
      <c r="L439" s="8">
        <v>43079.053113425929</v>
      </c>
      <c r="M439" s="21">
        <f>LEN(ProjTextTable[[#This Row],[text]])</f>
        <v>3955</v>
      </c>
      <c r="N439" s="21">
        <f>LEN(TRIM(CLEAN(SUBSTITUTE(ProjTextTable[[#This Row],[text]],CHAR(10)," "))))+1 - LEN(SUBSTITUTE(CLEAN(SUBSTITUTE(ProjTextTable[[#This Row],[text]],CHAR(10)," "))," ",""))</f>
        <v>621</v>
      </c>
      <c r="O439" t="s">
        <v>196</v>
      </c>
      <c r="P439" t="s">
        <v>1326</v>
      </c>
    </row>
    <row r="440" spans="1:16" x14ac:dyDescent="0.4">
      <c r="A440">
        <f t="shared" si="6"/>
        <v>66</v>
      </c>
      <c r="B440" t="s">
        <v>1322</v>
      </c>
      <c r="C440" t="s">
        <v>1323</v>
      </c>
      <c r="D440" t="s">
        <v>192</v>
      </c>
      <c r="E440" t="s">
        <v>611</v>
      </c>
      <c r="F440" t="s">
        <v>1287</v>
      </c>
      <c r="G440" t="s">
        <v>1031</v>
      </c>
      <c r="H440" t="s">
        <v>1288</v>
      </c>
      <c r="I440" t="s">
        <v>201</v>
      </c>
      <c r="J440" t="s">
        <v>175</v>
      </c>
      <c r="K440" s="30">
        <v>43081</v>
      </c>
      <c r="L440" s="8">
        <v>43077.867951388886</v>
      </c>
      <c r="M440" s="21">
        <f>LEN(ProjTextTable[[#This Row],[text]])</f>
        <v>4023</v>
      </c>
      <c r="N440" s="21">
        <f>LEN(TRIM(CLEAN(SUBSTITUTE(ProjTextTable[[#This Row],[text]],CHAR(10)," "))))+1 - LEN(SUBSTITUTE(CLEAN(SUBSTITUTE(ProjTextTable[[#This Row],[text]],CHAR(10)," "))," ",""))</f>
        <v>634</v>
      </c>
      <c r="O440" t="s">
        <v>198</v>
      </c>
      <c r="P440" t="s">
        <v>1327</v>
      </c>
    </row>
    <row r="441" spans="1:16" x14ac:dyDescent="0.4">
      <c r="A441">
        <f t="shared" si="6"/>
        <v>66</v>
      </c>
      <c r="B441" t="s">
        <v>1322</v>
      </c>
      <c r="C441" t="s">
        <v>1323</v>
      </c>
      <c r="D441" t="s">
        <v>192</v>
      </c>
      <c r="E441" t="s">
        <v>611</v>
      </c>
      <c r="F441" t="s">
        <v>1274</v>
      </c>
      <c r="G441" t="s">
        <v>1275</v>
      </c>
      <c r="H441" t="s">
        <v>1276</v>
      </c>
      <c r="I441" t="s">
        <v>201</v>
      </c>
      <c r="J441" t="s">
        <v>175</v>
      </c>
      <c r="K441" s="30">
        <v>43081</v>
      </c>
      <c r="L441" s="8">
        <v>43081.282500000001</v>
      </c>
      <c r="M441" s="21">
        <f>LEN(ProjTextTable[[#This Row],[text]])</f>
        <v>2069</v>
      </c>
      <c r="N441" s="21">
        <f>LEN(TRIM(CLEAN(SUBSTITUTE(ProjTextTable[[#This Row],[text]],CHAR(10)," "))))+1 - LEN(SUBSTITUTE(CLEAN(SUBSTITUTE(ProjTextTable[[#This Row],[text]],CHAR(10)," "))," ",""))</f>
        <v>327</v>
      </c>
      <c r="O441" t="s">
        <v>197</v>
      </c>
      <c r="P441" t="s">
        <v>1328</v>
      </c>
    </row>
    <row r="442" spans="1:16" x14ac:dyDescent="0.4">
      <c r="A442">
        <f t="shared" si="6"/>
        <v>66</v>
      </c>
      <c r="B442" t="s">
        <v>1322</v>
      </c>
      <c r="C442" t="s">
        <v>1323</v>
      </c>
      <c r="D442" t="s">
        <v>192</v>
      </c>
      <c r="E442" t="s">
        <v>611</v>
      </c>
      <c r="F442" t="s">
        <v>1329</v>
      </c>
      <c r="G442" t="s">
        <v>1330</v>
      </c>
      <c r="H442" t="s">
        <v>1331</v>
      </c>
      <c r="I442" t="s">
        <v>175</v>
      </c>
      <c r="J442" t="s">
        <v>175</v>
      </c>
      <c r="K442" s="30">
        <v>43075</v>
      </c>
      <c r="L442" s="8">
        <v>43075.669409722221</v>
      </c>
      <c r="M442" s="21">
        <f>LEN(ProjTextTable[[#This Row],[text]])</f>
        <v>2331</v>
      </c>
      <c r="N442" s="21">
        <f>LEN(TRIM(CLEAN(SUBSTITUTE(ProjTextTable[[#This Row],[text]],CHAR(10)," "))))+1 - LEN(SUBSTITUTE(CLEAN(SUBSTITUTE(ProjTextTable[[#This Row],[text]],CHAR(10)," "))," ",""))</f>
        <v>367</v>
      </c>
      <c r="O442" t="s">
        <v>199</v>
      </c>
      <c r="P442" t="s">
        <v>1332</v>
      </c>
    </row>
    <row r="443" spans="1:16" x14ac:dyDescent="0.4">
      <c r="A443">
        <f t="shared" si="6"/>
        <v>66</v>
      </c>
      <c r="B443" t="s">
        <v>1322</v>
      </c>
      <c r="C443" t="s">
        <v>1323</v>
      </c>
      <c r="D443" t="s">
        <v>194</v>
      </c>
      <c r="E443" t="s">
        <v>611</v>
      </c>
      <c r="F443" t="s">
        <v>13</v>
      </c>
      <c r="G443" t="s">
        <v>13</v>
      </c>
      <c r="H443" t="s">
        <v>13</v>
      </c>
      <c r="K443" s="30"/>
      <c r="L443" s="8">
        <v>43005.042615740742</v>
      </c>
      <c r="M443" s="21">
        <f>LEN(ProjTextTable[[#This Row],[text]])</f>
        <v>3294</v>
      </c>
      <c r="N443" s="21">
        <f>LEN(TRIM(CLEAN(SUBSTITUTE(ProjTextTable[[#This Row],[text]],CHAR(10)," "))))+1 - LEN(SUBSTITUTE(CLEAN(SUBSTITUTE(ProjTextTable[[#This Row],[text]],CHAR(10)," "))," ",""))</f>
        <v>470</v>
      </c>
      <c r="O443" t="s">
        <v>13</v>
      </c>
      <c r="P443" t="s">
        <v>1333</v>
      </c>
    </row>
    <row r="444" spans="1:16" x14ac:dyDescent="0.4">
      <c r="A444">
        <f t="shared" si="6"/>
        <v>67</v>
      </c>
      <c r="B444" t="s">
        <v>1334</v>
      </c>
      <c r="C444" t="s">
        <v>1335</v>
      </c>
      <c r="D444" t="s">
        <v>533</v>
      </c>
      <c r="E444" t="s">
        <v>654</v>
      </c>
      <c r="F444" t="s">
        <v>1262</v>
      </c>
      <c r="G444" t="s">
        <v>1263</v>
      </c>
      <c r="H444" t="s">
        <v>541</v>
      </c>
      <c r="I444" t="s">
        <v>536</v>
      </c>
      <c r="J444" t="s">
        <v>1075</v>
      </c>
      <c r="K444" s="30">
        <v>43080</v>
      </c>
      <c r="L444" s="8">
        <v>43081.589942129627</v>
      </c>
      <c r="M444" s="21">
        <f>LEN(ProjTextTable[[#This Row],[text]])</f>
        <v>3911</v>
      </c>
      <c r="N444" s="21">
        <f>LEN(TRIM(CLEAN(SUBSTITUTE(ProjTextTable[[#This Row],[text]],CHAR(10)," "))))+1 - LEN(SUBSTITUTE(CLEAN(SUBSTITUTE(ProjTextTable[[#This Row],[text]],CHAR(10)," "))," ",""))</f>
        <v>589</v>
      </c>
      <c r="O444" t="s">
        <v>542</v>
      </c>
      <c r="P444" t="s">
        <v>1336</v>
      </c>
    </row>
    <row r="445" spans="1:16" x14ac:dyDescent="0.4">
      <c r="A445">
        <f t="shared" si="6"/>
        <v>67</v>
      </c>
      <c r="B445" t="s">
        <v>1334</v>
      </c>
      <c r="C445" t="s">
        <v>1335</v>
      </c>
      <c r="D445" t="s">
        <v>2</v>
      </c>
      <c r="E445" t="s">
        <v>654</v>
      </c>
      <c r="F445" t="s">
        <v>13</v>
      </c>
      <c r="G445" t="s">
        <v>609</v>
      </c>
      <c r="H445" t="s">
        <v>13</v>
      </c>
      <c r="I445" t="s">
        <v>13</v>
      </c>
      <c r="K445" s="30"/>
      <c r="L445" s="8">
        <v>43082.529965277776</v>
      </c>
      <c r="M445" s="21">
        <f>LEN(ProjTextTable[[#This Row],[text]])</f>
        <v>2022</v>
      </c>
      <c r="N445" s="21">
        <f>LEN(TRIM(CLEAN(SUBSTITUTE(ProjTextTable[[#This Row],[text]],CHAR(10)," "))))+1 - LEN(SUBSTITUTE(CLEAN(SUBSTITUTE(ProjTextTable[[#This Row],[text]],CHAR(10)," "))," ",""))</f>
        <v>298</v>
      </c>
      <c r="O445" t="s">
        <v>13</v>
      </c>
      <c r="P445" t="s">
        <v>1337</v>
      </c>
    </row>
    <row r="446" spans="1:16" x14ac:dyDescent="0.4">
      <c r="A446">
        <f t="shared" si="6"/>
        <v>67</v>
      </c>
      <c r="B446" t="s">
        <v>1334</v>
      </c>
      <c r="C446" t="s">
        <v>1335</v>
      </c>
      <c r="D446" t="s">
        <v>192</v>
      </c>
      <c r="E446" t="s">
        <v>654</v>
      </c>
      <c r="F446" t="s">
        <v>1308</v>
      </c>
      <c r="G446" t="s">
        <v>1065</v>
      </c>
      <c r="H446" t="s">
        <v>1309</v>
      </c>
      <c r="I446" t="s">
        <v>201</v>
      </c>
      <c r="J446" t="s">
        <v>175</v>
      </c>
      <c r="K446" s="30">
        <v>43081</v>
      </c>
      <c r="L446" s="8">
        <v>43080.349953703706</v>
      </c>
      <c r="M446" s="21">
        <f>LEN(ProjTextTable[[#This Row],[text]])</f>
        <v>3384</v>
      </c>
      <c r="N446" s="21">
        <f>LEN(TRIM(CLEAN(SUBSTITUTE(ProjTextTable[[#This Row],[text]],CHAR(10)," "))))+1 - LEN(SUBSTITUTE(CLEAN(SUBSTITUTE(ProjTextTable[[#This Row],[text]],CHAR(10)," "))," ",""))</f>
        <v>525</v>
      </c>
      <c r="O446" t="s">
        <v>193</v>
      </c>
      <c r="P446" t="s">
        <v>1338</v>
      </c>
    </row>
    <row r="447" spans="1:16" x14ac:dyDescent="0.4">
      <c r="A447">
        <f t="shared" si="6"/>
        <v>67</v>
      </c>
      <c r="B447" t="s">
        <v>1334</v>
      </c>
      <c r="C447" t="s">
        <v>1335</v>
      </c>
      <c r="D447" t="s">
        <v>192</v>
      </c>
      <c r="E447" t="s">
        <v>654</v>
      </c>
      <c r="F447" t="s">
        <v>521</v>
      </c>
      <c r="G447" t="s">
        <v>522</v>
      </c>
      <c r="H447" t="s">
        <v>523</v>
      </c>
      <c r="I447" t="s">
        <v>201</v>
      </c>
      <c r="J447" t="s">
        <v>175</v>
      </c>
      <c r="K447" s="30">
        <v>43081</v>
      </c>
      <c r="L447" s="8">
        <v>43080.001446759263</v>
      </c>
      <c r="M447" s="21">
        <f>LEN(ProjTextTable[[#This Row],[text]])</f>
        <v>3125</v>
      </c>
      <c r="N447" s="21">
        <f>LEN(TRIM(CLEAN(SUBSTITUTE(ProjTextTable[[#This Row],[text]],CHAR(10)," "))))+1 - LEN(SUBSTITUTE(CLEAN(SUBSTITUTE(ProjTextTable[[#This Row],[text]],CHAR(10)," "))," ",""))</f>
        <v>479</v>
      </c>
      <c r="O447" t="s">
        <v>193</v>
      </c>
      <c r="P447" t="s">
        <v>1339</v>
      </c>
    </row>
    <row r="448" spans="1:16" x14ac:dyDescent="0.4">
      <c r="A448">
        <f t="shared" si="6"/>
        <v>67</v>
      </c>
      <c r="B448" t="s">
        <v>1334</v>
      </c>
      <c r="C448" t="s">
        <v>1335</v>
      </c>
      <c r="D448" t="s">
        <v>192</v>
      </c>
      <c r="E448" t="s">
        <v>654</v>
      </c>
      <c r="F448" t="s">
        <v>1300</v>
      </c>
      <c r="G448" t="s">
        <v>1022</v>
      </c>
      <c r="H448" t="s">
        <v>1301</v>
      </c>
      <c r="I448" t="s">
        <v>201</v>
      </c>
      <c r="J448" t="s">
        <v>175</v>
      </c>
      <c r="K448" s="30">
        <v>43081</v>
      </c>
      <c r="L448" s="8">
        <v>43081.478263888886</v>
      </c>
      <c r="M448" s="21">
        <f>LEN(ProjTextTable[[#This Row],[text]])</f>
        <v>2479</v>
      </c>
      <c r="N448" s="21">
        <f>LEN(TRIM(CLEAN(SUBSTITUTE(ProjTextTable[[#This Row],[text]],CHAR(10)," "))))+1 - LEN(SUBSTITUTE(CLEAN(SUBSTITUTE(ProjTextTable[[#This Row],[text]],CHAR(10)," "))," ",""))</f>
        <v>386</v>
      </c>
      <c r="O448" t="s">
        <v>197</v>
      </c>
      <c r="P448" t="s">
        <v>1340</v>
      </c>
    </row>
    <row r="449" spans="1:16" x14ac:dyDescent="0.4">
      <c r="A449">
        <f t="shared" si="6"/>
        <v>67</v>
      </c>
      <c r="B449" t="s">
        <v>1334</v>
      </c>
      <c r="C449" t="s">
        <v>1335</v>
      </c>
      <c r="D449" t="s">
        <v>192</v>
      </c>
      <c r="E449" t="s">
        <v>654</v>
      </c>
      <c r="F449" t="s">
        <v>1266</v>
      </c>
      <c r="G449" t="s">
        <v>1267</v>
      </c>
      <c r="H449" t="s">
        <v>1268</v>
      </c>
      <c r="I449" t="s">
        <v>201</v>
      </c>
      <c r="J449" t="s">
        <v>175</v>
      </c>
      <c r="K449" s="30">
        <v>43081</v>
      </c>
      <c r="L449" s="8">
        <v>43079.99015046296</v>
      </c>
      <c r="M449" s="21">
        <f>LEN(ProjTextTable[[#This Row],[text]])</f>
        <v>6737</v>
      </c>
      <c r="N449" s="21">
        <f>LEN(TRIM(CLEAN(SUBSTITUTE(ProjTextTable[[#This Row],[text]],CHAR(10)," "))))+1 - LEN(SUBSTITUTE(CLEAN(SUBSTITUTE(ProjTextTable[[#This Row],[text]],CHAR(10)," "))," ",""))</f>
        <v>1034</v>
      </c>
      <c r="O449" t="s">
        <v>196</v>
      </c>
      <c r="P449" t="s">
        <v>1341</v>
      </c>
    </row>
    <row r="450" spans="1:16" x14ac:dyDescent="0.4">
      <c r="A450">
        <f t="shared" ref="A450:A513" si="7">A449+(B450&lt;&gt;B449)</f>
        <v>67</v>
      </c>
      <c r="B450" t="s">
        <v>1334</v>
      </c>
      <c r="C450" t="s">
        <v>1335</v>
      </c>
      <c r="D450" t="s">
        <v>194</v>
      </c>
      <c r="E450" t="s">
        <v>654</v>
      </c>
      <c r="F450" t="s">
        <v>13</v>
      </c>
      <c r="G450" t="s">
        <v>13</v>
      </c>
      <c r="H450" t="s">
        <v>13</v>
      </c>
      <c r="K450" s="30"/>
      <c r="L450" s="8">
        <v>43006.042719907404</v>
      </c>
      <c r="M450" s="21">
        <f>LEN(ProjTextTable[[#This Row],[text]])</f>
        <v>3066</v>
      </c>
      <c r="N450" s="21">
        <f>LEN(TRIM(CLEAN(SUBSTITUTE(ProjTextTable[[#This Row],[text]],CHAR(10)," "))))+1 - LEN(SUBSTITUTE(CLEAN(SUBSTITUTE(ProjTextTable[[#This Row],[text]],CHAR(10)," "))," ",""))</f>
        <v>442</v>
      </c>
      <c r="O450" t="s">
        <v>13</v>
      </c>
      <c r="P450" t="s">
        <v>1342</v>
      </c>
    </row>
    <row r="451" spans="1:16" x14ac:dyDescent="0.4">
      <c r="A451">
        <f t="shared" si="7"/>
        <v>68</v>
      </c>
      <c r="B451" t="s">
        <v>1343</v>
      </c>
      <c r="C451" t="s">
        <v>489</v>
      </c>
      <c r="D451" t="s">
        <v>533</v>
      </c>
      <c r="E451" t="s">
        <v>654</v>
      </c>
      <c r="F451" t="s">
        <v>1262</v>
      </c>
      <c r="G451" t="s">
        <v>1263</v>
      </c>
      <c r="H451" t="s">
        <v>541</v>
      </c>
      <c r="I451" t="s">
        <v>536</v>
      </c>
      <c r="J451" t="s">
        <v>1075</v>
      </c>
      <c r="K451" s="30">
        <v>43080</v>
      </c>
      <c r="L451" s="8">
        <v>43081.611481481479</v>
      </c>
      <c r="M451" s="21">
        <f>LEN(ProjTextTable[[#This Row],[text]])</f>
        <v>5545</v>
      </c>
      <c r="N451" s="21">
        <f>LEN(TRIM(CLEAN(SUBSTITUTE(ProjTextTable[[#This Row],[text]],CHAR(10)," "))))+1 - LEN(SUBSTITUTE(CLEAN(SUBSTITUTE(ProjTextTable[[#This Row],[text]],CHAR(10)," "))," ",""))</f>
        <v>868</v>
      </c>
      <c r="O451" t="s">
        <v>542</v>
      </c>
      <c r="P451" t="s">
        <v>1344</v>
      </c>
    </row>
    <row r="452" spans="1:16" x14ac:dyDescent="0.4">
      <c r="A452">
        <f t="shared" si="7"/>
        <v>68</v>
      </c>
      <c r="B452" t="s">
        <v>1343</v>
      </c>
      <c r="C452" t="s">
        <v>489</v>
      </c>
      <c r="D452" t="s">
        <v>2</v>
      </c>
      <c r="E452" t="s">
        <v>654</v>
      </c>
      <c r="F452" t="s">
        <v>13</v>
      </c>
      <c r="G452" t="s">
        <v>609</v>
      </c>
      <c r="H452" t="s">
        <v>13</v>
      </c>
      <c r="I452" t="s">
        <v>13</v>
      </c>
      <c r="K452" s="30"/>
      <c r="L452" s="8">
        <v>43082.530034722222</v>
      </c>
      <c r="M452" s="21">
        <f>LEN(ProjTextTable[[#This Row],[text]])</f>
        <v>2031</v>
      </c>
      <c r="N452" s="21">
        <f>LEN(TRIM(CLEAN(SUBSTITUTE(ProjTextTable[[#This Row],[text]],CHAR(10)," "))))+1 - LEN(SUBSTITUTE(CLEAN(SUBSTITUTE(ProjTextTable[[#This Row],[text]],CHAR(10)," "))," ",""))</f>
        <v>299</v>
      </c>
      <c r="O452" t="s">
        <v>13</v>
      </c>
      <c r="P452" t="s">
        <v>1345</v>
      </c>
    </row>
    <row r="453" spans="1:16" x14ac:dyDescent="0.4">
      <c r="A453">
        <f t="shared" si="7"/>
        <v>68</v>
      </c>
      <c r="B453" t="s">
        <v>1343</v>
      </c>
      <c r="C453" t="s">
        <v>489</v>
      </c>
      <c r="D453" t="s">
        <v>192</v>
      </c>
      <c r="E453" t="s">
        <v>654</v>
      </c>
      <c r="F453" t="s">
        <v>521</v>
      </c>
      <c r="G453" t="s">
        <v>522</v>
      </c>
      <c r="H453" t="s">
        <v>523</v>
      </c>
      <c r="I453" t="s">
        <v>201</v>
      </c>
      <c r="J453" t="s">
        <v>175</v>
      </c>
      <c r="K453" s="30">
        <v>43081</v>
      </c>
      <c r="L453" s="8">
        <v>43079.054224537038</v>
      </c>
      <c r="M453" s="21">
        <f>LEN(ProjTextTable[[#This Row],[text]])</f>
        <v>3514</v>
      </c>
      <c r="N453" s="21">
        <f>LEN(TRIM(CLEAN(SUBSTITUTE(ProjTextTable[[#This Row],[text]],CHAR(10)," "))))+1 - LEN(SUBSTITUTE(CLEAN(SUBSTITUTE(ProjTextTable[[#This Row],[text]],CHAR(10)," "))," ",""))</f>
        <v>575</v>
      </c>
      <c r="O453" t="s">
        <v>193</v>
      </c>
      <c r="P453" t="s">
        <v>1346</v>
      </c>
    </row>
    <row r="454" spans="1:16" x14ac:dyDescent="0.4">
      <c r="A454">
        <f t="shared" si="7"/>
        <v>68</v>
      </c>
      <c r="B454" t="s">
        <v>1343</v>
      </c>
      <c r="C454" t="s">
        <v>489</v>
      </c>
      <c r="D454" t="s">
        <v>192</v>
      </c>
      <c r="E454" t="s">
        <v>654</v>
      </c>
      <c r="F454" t="s">
        <v>1287</v>
      </c>
      <c r="G454" t="s">
        <v>1031</v>
      </c>
      <c r="H454" t="s">
        <v>1288</v>
      </c>
      <c r="I454" t="s">
        <v>201</v>
      </c>
      <c r="J454" t="s">
        <v>175</v>
      </c>
      <c r="K454" s="30">
        <v>43081</v>
      </c>
      <c r="L454" s="8">
        <v>43079.452118055553</v>
      </c>
      <c r="M454" s="21">
        <f>LEN(ProjTextTable[[#This Row],[text]])</f>
        <v>2406</v>
      </c>
      <c r="N454" s="21">
        <f>LEN(TRIM(CLEAN(SUBSTITUTE(ProjTextTable[[#This Row],[text]],CHAR(10)," "))))+1 - LEN(SUBSTITUTE(CLEAN(SUBSTITUTE(ProjTextTable[[#This Row],[text]],CHAR(10)," "))," ",""))</f>
        <v>373</v>
      </c>
      <c r="O454" t="s">
        <v>196</v>
      </c>
      <c r="P454" t="s">
        <v>1347</v>
      </c>
    </row>
    <row r="455" spans="1:16" x14ac:dyDescent="0.4">
      <c r="A455">
        <f t="shared" si="7"/>
        <v>68</v>
      </c>
      <c r="B455" t="s">
        <v>1343</v>
      </c>
      <c r="C455" t="s">
        <v>489</v>
      </c>
      <c r="D455" t="s">
        <v>192</v>
      </c>
      <c r="E455" t="s">
        <v>654</v>
      </c>
      <c r="F455" t="s">
        <v>1290</v>
      </c>
      <c r="G455" t="s">
        <v>1291</v>
      </c>
      <c r="H455" t="s">
        <v>1292</v>
      </c>
      <c r="I455" t="s">
        <v>201</v>
      </c>
      <c r="J455" t="s">
        <v>175</v>
      </c>
      <c r="K455" s="30">
        <v>43081</v>
      </c>
      <c r="L455" s="8">
        <v>43080.611122685186</v>
      </c>
      <c r="M455" s="21">
        <f>LEN(ProjTextTable[[#This Row],[text]])</f>
        <v>2129</v>
      </c>
      <c r="N455" s="21">
        <f>LEN(TRIM(CLEAN(SUBSTITUTE(ProjTextTable[[#This Row],[text]],CHAR(10)," "))))+1 - LEN(SUBSTITUTE(CLEAN(SUBSTITUTE(ProjTextTable[[#This Row],[text]],CHAR(10)," "))," ",""))</f>
        <v>317</v>
      </c>
      <c r="O455" t="s">
        <v>193</v>
      </c>
      <c r="P455" t="s">
        <v>1348</v>
      </c>
    </row>
    <row r="456" spans="1:16" x14ac:dyDescent="0.4">
      <c r="A456">
        <f t="shared" si="7"/>
        <v>68</v>
      </c>
      <c r="B456" t="s">
        <v>1343</v>
      </c>
      <c r="C456" t="s">
        <v>489</v>
      </c>
      <c r="D456" t="s">
        <v>192</v>
      </c>
      <c r="E456" t="s">
        <v>654</v>
      </c>
      <c r="F456" t="s">
        <v>1274</v>
      </c>
      <c r="G456" t="s">
        <v>1275</v>
      </c>
      <c r="H456" t="s">
        <v>1276</v>
      </c>
      <c r="I456" t="s">
        <v>201</v>
      </c>
      <c r="J456" t="s">
        <v>175</v>
      </c>
      <c r="K456" s="30">
        <v>43081</v>
      </c>
      <c r="L456" s="8">
        <v>43081.395694444444</v>
      </c>
      <c r="M456" s="21">
        <f>LEN(ProjTextTable[[#This Row],[text]])</f>
        <v>2278</v>
      </c>
      <c r="N456" s="21">
        <f>LEN(TRIM(CLEAN(SUBSTITUTE(ProjTextTable[[#This Row],[text]],CHAR(10)," "))))+1 - LEN(SUBSTITUTE(CLEAN(SUBSTITUTE(ProjTextTable[[#This Row],[text]],CHAR(10)," "))," ",""))</f>
        <v>351</v>
      </c>
      <c r="O456" t="s">
        <v>193</v>
      </c>
      <c r="P456" t="s">
        <v>1349</v>
      </c>
    </row>
    <row r="457" spans="1:16" x14ac:dyDescent="0.4">
      <c r="A457">
        <f t="shared" si="7"/>
        <v>68</v>
      </c>
      <c r="B457" t="s">
        <v>1343</v>
      </c>
      <c r="C457" t="s">
        <v>489</v>
      </c>
      <c r="D457" t="s">
        <v>194</v>
      </c>
      <c r="E457" t="s">
        <v>654</v>
      </c>
      <c r="F457" t="s">
        <v>13</v>
      </c>
      <c r="G457" t="s">
        <v>13</v>
      </c>
      <c r="H457" t="s">
        <v>13</v>
      </c>
      <c r="K457" s="30"/>
      <c r="L457" s="8">
        <v>43006.042905092596</v>
      </c>
      <c r="M457" s="21">
        <f>LEN(ProjTextTable[[#This Row],[text]])</f>
        <v>4476</v>
      </c>
      <c r="N457" s="21">
        <f>LEN(TRIM(CLEAN(SUBSTITUTE(ProjTextTable[[#This Row],[text]],CHAR(10)," "))))+1 - LEN(SUBSTITUTE(CLEAN(SUBSTITUTE(ProjTextTable[[#This Row],[text]],CHAR(10)," "))," ",""))</f>
        <v>664</v>
      </c>
      <c r="O457" t="s">
        <v>13</v>
      </c>
      <c r="P457" t="s">
        <v>1350</v>
      </c>
    </row>
    <row r="458" spans="1:16" x14ac:dyDescent="0.4">
      <c r="A458">
        <f t="shared" si="7"/>
        <v>69</v>
      </c>
      <c r="B458" t="s">
        <v>1351</v>
      </c>
      <c r="C458" t="s">
        <v>1352</v>
      </c>
      <c r="D458" t="s">
        <v>533</v>
      </c>
      <c r="E458" t="s">
        <v>611</v>
      </c>
      <c r="F458" t="s">
        <v>1262</v>
      </c>
      <c r="G458" t="s">
        <v>1263</v>
      </c>
      <c r="H458" t="s">
        <v>541</v>
      </c>
      <c r="I458" t="s">
        <v>536</v>
      </c>
      <c r="J458" t="s">
        <v>1075</v>
      </c>
      <c r="K458" s="30">
        <v>43080</v>
      </c>
      <c r="L458" s="8">
        <v>43081.611643518518</v>
      </c>
      <c r="M458" s="21">
        <f>LEN(ProjTextTable[[#This Row],[text]])</f>
        <v>2502</v>
      </c>
      <c r="N458" s="21">
        <f>LEN(TRIM(CLEAN(SUBSTITUTE(ProjTextTable[[#This Row],[text]],CHAR(10)," "))))+1 - LEN(SUBSTITUTE(CLEAN(SUBSTITUTE(ProjTextTable[[#This Row],[text]],CHAR(10)," "))," ",""))</f>
        <v>395</v>
      </c>
      <c r="O458" t="s">
        <v>542</v>
      </c>
      <c r="P458" t="s">
        <v>1353</v>
      </c>
    </row>
    <row r="459" spans="1:16" x14ac:dyDescent="0.4">
      <c r="A459">
        <f t="shared" si="7"/>
        <v>69</v>
      </c>
      <c r="B459" t="s">
        <v>1351</v>
      </c>
      <c r="C459" t="s">
        <v>1352</v>
      </c>
      <c r="D459" t="s">
        <v>2</v>
      </c>
      <c r="E459" t="s">
        <v>611</v>
      </c>
      <c r="F459" t="s">
        <v>13</v>
      </c>
      <c r="G459" t="s">
        <v>609</v>
      </c>
      <c r="H459" t="s">
        <v>13</v>
      </c>
      <c r="I459" t="s">
        <v>13</v>
      </c>
      <c r="K459" s="30"/>
      <c r="L459" s="8">
        <v>43082.530104166668</v>
      </c>
      <c r="M459" s="21">
        <f>LEN(ProjTextTable[[#This Row],[text]])</f>
        <v>2116</v>
      </c>
      <c r="N459" s="21">
        <f>LEN(TRIM(CLEAN(SUBSTITUTE(ProjTextTable[[#This Row],[text]],CHAR(10)," "))))+1 - LEN(SUBSTITUTE(CLEAN(SUBSTITUTE(ProjTextTable[[#This Row],[text]],CHAR(10)," "))," ",""))</f>
        <v>316</v>
      </c>
      <c r="O459" t="s">
        <v>13</v>
      </c>
      <c r="P459" t="s">
        <v>1354</v>
      </c>
    </row>
    <row r="460" spans="1:16" x14ac:dyDescent="0.4">
      <c r="A460">
        <f t="shared" si="7"/>
        <v>69</v>
      </c>
      <c r="B460" t="s">
        <v>1351</v>
      </c>
      <c r="C460" t="s">
        <v>1352</v>
      </c>
      <c r="D460" t="s">
        <v>192</v>
      </c>
      <c r="E460" t="s">
        <v>611</v>
      </c>
      <c r="F460" t="s">
        <v>1283</v>
      </c>
      <c r="G460" t="s">
        <v>1284</v>
      </c>
      <c r="H460" t="s">
        <v>1285</v>
      </c>
      <c r="I460" t="s">
        <v>201</v>
      </c>
      <c r="J460" t="s">
        <v>175</v>
      </c>
      <c r="K460" s="30">
        <v>43081</v>
      </c>
      <c r="L460" s="8">
        <v>43079.96539351852</v>
      </c>
      <c r="M460" s="21">
        <f>LEN(ProjTextTable[[#This Row],[text]])</f>
        <v>1718</v>
      </c>
      <c r="N460" s="21">
        <f>LEN(TRIM(CLEAN(SUBSTITUTE(ProjTextTable[[#This Row],[text]],CHAR(10)," "))))+1 - LEN(SUBSTITUTE(CLEAN(SUBSTITUTE(ProjTextTable[[#This Row],[text]],CHAR(10)," "))," ",""))</f>
        <v>260</v>
      </c>
      <c r="O460" t="s">
        <v>196</v>
      </c>
      <c r="P460" t="s">
        <v>1355</v>
      </c>
    </row>
    <row r="461" spans="1:16" x14ac:dyDescent="0.4">
      <c r="A461">
        <f t="shared" si="7"/>
        <v>69</v>
      </c>
      <c r="B461" t="s">
        <v>1351</v>
      </c>
      <c r="C461" t="s">
        <v>1352</v>
      </c>
      <c r="D461" t="s">
        <v>192</v>
      </c>
      <c r="E461" t="s">
        <v>611</v>
      </c>
      <c r="F461" t="s">
        <v>521</v>
      </c>
      <c r="G461" t="s">
        <v>522</v>
      </c>
      <c r="H461" t="s">
        <v>523</v>
      </c>
      <c r="I461" t="s">
        <v>201</v>
      </c>
      <c r="J461" t="s">
        <v>175</v>
      </c>
      <c r="K461" s="30">
        <v>43081</v>
      </c>
      <c r="L461" s="8">
        <v>43081.003449074073</v>
      </c>
      <c r="M461" s="21">
        <f>LEN(ProjTextTable[[#This Row],[text]])</f>
        <v>2684</v>
      </c>
      <c r="N461" s="21">
        <f>LEN(TRIM(CLEAN(SUBSTITUTE(ProjTextTable[[#This Row],[text]],CHAR(10)," "))))+1 - LEN(SUBSTITUTE(CLEAN(SUBSTITUTE(ProjTextTable[[#This Row],[text]],CHAR(10)," "))," ",""))</f>
        <v>415</v>
      </c>
      <c r="O461" t="s">
        <v>197</v>
      </c>
      <c r="P461" t="s">
        <v>1356</v>
      </c>
    </row>
    <row r="462" spans="1:16" x14ac:dyDescent="0.4">
      <c r="A462">
        <f t="shared" si="7"/>
        <v>69</v>
      </c>
      <c r="B462" t="s">
        <v>1351</v>
      </c>
      <c r="C462" t="s">
        <v>1352</v>
      </c>
      <c r="D462" t="s">
        <v>192</v>
      </c>
      <c r="E462" t="s">
        <v>611</v>
      </c>
      <c r="F462" t="s">
        <v>1266</v>
      </c>
      <c r="G462" t="s">
        <v>1267</v>
      </c>
      <c r="H462" t="s">
        <v>1268</v>
      </c>
      <c r="I462" t="s">
        <v>201</v>
      </c>
      <c r="J462" t="s">
        <v>175</v>
      </c>
      <c r="K462" s="30">
        <v>43081</v>
      </c>
      <c r="L462" s="8">
        <v>43081.617881944447</v>
      </c>
      <c r="M462" s="21">
        <f>LEN(ProjTextTable[[#This Row],[text]])</f>
        <v>5660</v>
      </c>
      <c r="N462" s="21">
        <f>LEN(TRIM(CLEAN(SUBSTITUTE(ProjTextTable[[#This Row],[text]],CHAR(10)," "))))+1 - LEN(SUBSTITUTE(CLEAN(SUBSTITUTE(ProjTextTable[[#This Row],[text]],CHAR(10)," "))," ",""))</f>
        <v>901</v>
      </c>
      <c r="O462" t="s">
        <v>197</v>
      </c>
      <c r="P462" t="s">
        <v>1357</v>
      </c>
    </row>
    <row r="463" spans="1:16" x14ac:dyDescent="0.4">
      <c r="A463">
        <f t="shared" si="7"/>
        <v>69</v>
      </c>
      <c r="B463" t="s">
        <v>1351</v>
      </c>
      <c r="C463" t="s">
        <v>1352</v>
      </c>
      <c r="D463" t="s">
        <v>192</v>
      </c>
      <c r="E463" t="s">
        <v>611</v>
      </c>
      <c r="F463" t="s">
        <v>1274</v>
      </c>
      <c r="G463" t="s">
        <v>1275</v>
      </c>
      <c r="H463" t="s">
        <v>1276</v>
      </c>
      <c r="I463" t="s">
        <v>201</v>
      </c>
      <c r="J463" t="s">
        <v>175</v>
      </c>
      <c r="K463" s="30">
        <v>43081</v>
      </c>
      <c r="L463" s="8">
        <v>43078.819467592592</v>
      </c>
      <c r="M463" s="21">
        <f>LEN(ProjTextTable[[#This Row],[text]])</f>
        <v>1839</v>
      </c>
      <c r="N463" s="21">
        <f>LEN(TRIM(CLEAN(SUBSTITUTE(ProjTextTable[[#This Row],[text]],CHAR(10)," "))))+1 - LEN(SUBSTITUTE(CLEAN(SUBSTITUTE(ProjTextTable[[#This Row],[text]],CHAR(10)," "))," ",""))</f>
        <v>271</v>
      </c>
      <c r="O463" t="s">
        <v>196</v>
      </c>
      <c r="P463" t="s">
        <v>1358</v>
      </c>
    </row>
    <row r="464" spans="1:16" x14ac:dyDescent="0.4">
      <c r="A464">
        <f t="shared" si="7"/>
        <v>69</v>
      </c>
      <c r="B464" t="s">
        <v>1351</v>
      </c>
      <c r="C464" t="s">
        <v>1352</v>
      </c>
      <c r="D464" t="s">
        <v>194</v>
      </c>
      <c r="E464" t="s">
        <v>611</v>
      </c>
      <c r="F464" t="s">
        <v>13</v>
      </c>
      <c r="G464" t="s">
        <v>13</v>
      </c>
      <c r="H464" t="s">
        <v>13</v>
      </c>
      <c r="K464" s="30"/>
      <c r="L464" s="8">
        <v>43006.043298611112</v>
      </c>
      <c r="M464" s="21">
        <f>LEN(ProjTextTable[[#This Row],[text]])</f>
        <v>2864</v>
      </c>
      <c r="N464" s="21">
        <f>LEN(TRIM(CLEAN(SUBSTITUTE(ProjTextTable[[#This Row],[text]],CHAR(10)," "))))+1 - LEN(SUBSTITUTE(CLEAN(SUBSTITUTE(ProjTextTable[[#This Row],[text]],CHAR(10)," "))," ",""))</f>
        <v>402</v>
      </c>
      <c r="O464" t="s">
        <v>13</v>
      </c>
      <c r="P464" t="s">
        <v>1359</v>
      </c>
    </row>
    <row r="465" spans="1:16" x14ac:dyDescent="0.4">
      <c r="A465">
        <f t="shared" si="7"/>
        <v>70</v>
      </c>
      <c r="B465" t="s">
        <v>1360</v>
      </c>
      <c r="C465" t="s">
        <v>1361</v>
      </c>
      <c r="D465" t="s">
        <v>533</v>
      </c>
      <c r="E465" t="s">
        <v>611</v>
      </c>
      <c r="F465" t="s">
        <v>1262</v>
      </c>
      <c r="G465" t="s">
        <v>1263</v>
      </c>
      <c r="H465" t="s">
        <v>541</v>
      </c>
      <c r="I465" t="s">
        <v>536</v>
      </c>
      <c r="J465" t="s">
        <v>1075</v>
      </c>
      <c r="K465" s="30">
        <v>43080</v>
      </c>
      <c r="L465" s="8">
        <v>43081.610567129632</v>
      </c>
      <c r="M465" s="21">
        <f>LEN(ProjTextTable[[#This Row],[text]])</f>
        <v>3102</v>
      </c>
      <c r="N465" s="21">
        <f>LEN(TRIM(CLEAN(SUBSTITUTE(ProjTextTable[[#This Row],[text]],CHAR(10)," "))))+1 - LEN(SUBSTITUTE(CLEAN(SUBSTITUTE(ProjTextTable[[#This Row],[text]],CHAR(10)," "))," ",""))</f>
        <v>447</v>
      </c>
      <c r="O465" t="s">
        <v>542</v>
      </c>
      <c r="P465" t="s">
        <v>1362</v>
      </c>
    </row>
    <row r="466" spans="1:16" x14ac:dyDescent="0.4">
      <c r="A466">
        <f t="shared" si="7"/>
        <v>70</v>
      </c>
      <c r="B466" t="s">
        <v>1360</v>
      </c>
      <c r="C466" t="s">
        <v>1361</v>
      </c>
      <c r="D466" t="s">
        <v>2</v>
      </c>
      <c r="E466" t="s">
        <v>611</v>
      </c>
      <c r="F466" t="s">
        <v>13</v>
      </c>
      <c r="G466" t="s">
        <v>609</v>
      </c>
      <c r="H466" t="s">
        <v>13</v>
      </c>
      <c r="I466" t="s">
        <v>13</v>
      </c>
      <c r="K466" s="30"/>
      <c r="L466" s="8">
        <v>43082.530173611114</v>
      </c>
      <c r="M466" s="21">
        <f>LEN(ProjTextTable[[#This Row],[text]])</f>
        <v>2084</v>
      </c>
      <c r="N466" s="21">
        <f>LEN(TRIM(CLEAN(SUBSTITUTE(ProjTextTable[[#This Row],[text]],CHAR(10)," "))))+1 - LEN(SUBSTITUTE(CLEAN(SUBSTITUTE(ProjTextTable[[#This Row],[text]],CHAR(10)," "))," ",""))</f>
        <v>309</v>
      </c>
      <c r="O466" t="s">
        <v>13</v>
      </c>
      <c r="P466" t="s">
        <v>1363</v>
      </c>
    </row>
    <row r="467" spans="1:16" x14ac:dyDescent="0.4">
      <c r="A467">
        <f t="shared" si="7"/>
        <v>70</v>
      </c>
      <c r="B467" t="s">
        <v>1360</v>
      </c>
      <c r="C467" t="s">
        <v>1361</v>
      </c>
      <c r="D467" t="s">
        <v>192</v>
      </c>
      <c r="E467" t="s">
        <v>611</v>
      </c>
      <c r="F467" t="s">
        <v>1308</v>
      </c>
      <c r="G467" t="s">
        <v>1065</v>
      </c>
      <c r="H467" t="s">
        <v>1309</v>
      </c>
      <c r="I467" t="s">
        <v>201</v>
      </c>
      <c r="J467" t="s">
        <v>175</v>
      </c>
      <c r="K467" s="30">
        <v>43081</v>
      </c>
      <c r="L467" s="8">
        <v>43080.353252314817</v>
      </c>
      <c r="M467" s="21">
        <f>LEN(ProjTextTable[[#This Row],[text]])</f>
        <v>4144</v>
      </c>
      <c r="N467" s="21">
        <f>LEN(TRIM(CLEAN(SUBSTITUTE(ProjTextTable[[#This Row],[text]],CHAR(10)," "))))+1 - LEN(SUBSTITUTE(CLEAN(SUBSTITUTE(ProjTextTable[[#This Row],[text]],CHAR(10)," "))," ",""))</f>
        <v>624</v>
      </c>
      <c r="O467" t="s">
        <v>193</v>
      </c>
      <c r="P467" t="s">
        <v>1364</v>
      </c>
    </row>
    <row r="468" spans="1:16" x14ac:dyDescent="0.4">
      <c r="A468">
        <f t="shared" si="7"/>
        <v>70</v>
      </c>
      <c r="B468" t="s">
        <v>1360</v>
      </c>
      <c r="C468" t="s">
        <v>1361</v>
      </c>
      <c r="D468" t="s">
        <v>192</v>
      </c>
      <c r="E468" t="s">
        <v>611</v>
      </c>
      <c r="F468" t="s">
        <v>1287</v>
      </c>
      <c r="G468" t="s">
        <v>1031</v>
      </c>
      <c r="H468" t="s">
        <v>1288</v>
      </c>
      <c r="I468" t="s">
        <v>201</v>
      </c>
      <c r="J468" t="s">
        <v>175</v>
      </c>
      <c r="K468" s="30">
        <v>43081</v>
      </c>
      <c r="L468" s="8">
        <v>43079.475127314814</v>
      </c>
      <c r="M468" s="21">
        <f>LEN(ProjTextTable[[#This Row],[text]])</f>
        <v>2161</v>
      </c>
      <c r="N468" s="21">
        <f>LEN(TRIM(CLEAN(SUBSTITUTE(ProjTextTable[[#This Row],[text]],CHAR(10)," "))))+1 - LEN(SUBSTITUTE(CLEAN(SUBSTITUTE(ProjTextTable[[#This Row],[text]],CHAR(10)," "))," ",""))</f>
        <v>330</v>
      </c>
      <c r="O468" t="s">
        <v>198</v>
      </c>
      <c r="P468" t="s">
        <v>1365</v>
      </c>
    </row>
    <row r="469" spans="1:16" x14ac:dyDescent="0.4">
      <c r="A469">
        <f t="shared" si="7"/>
        <v>70</v>
      </c>
      <c r="B469" t="s">
        <v>1360</v>
      </c>
      <c r="C469" t="s">
        <v>1361</v>
      </c>
      <c r="D469" t="s">
        <v>192</v>
      </c>
      <c r="E469" t="s">
        <v>611</v>
      </c>
      <c r="F469" t="s">
        <v>1366</v>
      </c>
      <c r="G469" t="s">
        <v>1367</v>
      </c>
      <c r="H469" t="s">
        <v>1368</v>
      </c>
      <c r="I469" t="s">
        <v>175</v>
      </c>
      <c r="J469" t="s">
        <v>175</v>
      </c>
      <c r="K469" s="30">
        <v>43444</v>
      </c>
      <c r="L469" s="8">
        <v>43079.986666666664</v>
      </c>
      <c r="M469" s="21">
        <f>LEN(ProjTextTable[[#This Row],[text]])</f>
        <v>5677</v>
      </c>
      <c r="N469" s="21">
        <f>LEN(TRIM(CLEAN(SUBSTITUTE(ProjTextTable[[#This Row],[text]],CHAR(10)," "))))+1 - LEN(SUBSTITUTE(CLEAN(SUBSTITUTE(ProjTextTable[[#This Row],[text]],CHAR(10)," "))," ",""))</f>
        <v>852</v>
      </c>
      <c r="O469" t="s">
        <v>193</v>
      </c>
      <c r="P469" t="s">
        <v>1369</v>
      </c>
    </row>
    <row r="470" spans="1:16" x14ac:dyDescent="0.4">
      <c r="A470">
        <f t="shared" si="7"/>
        <v>70</v>
      </c>
      <c r="B470" t="s">
        <v>1360</v>
      </c>
      <c r="C470" t="s">
        <v>1361</v>
      </c>
      <c r="D470" t="s">
        <v>192</v>
      </c>
      <c r="E470" t="s">
        <v>611</v>
      </c>
      <c r="F470" t="s">
        <v>1266</v>
      </c>
      <c r="G470" t="s">
        <v>1267</v>
      </c>
      <c r="H470" t="s">
        <v>1268</v>
      </c>
      <c r="I470" t="s">
        <v>201</v>
      </c>
      <c r="J470" t="s">
        <v>175</v>
      </c>
      <c r="K470" s="30">
        <v>43081</v>
      </c>
      <c r="L470" s="8">
        <v>43078.944965277777</v>
      </c>
      <c r="M470" s="21">
        <f>LEN(ProjTextTable[[#This Row],[text]])</f>
        <v>6281</v>
      </c>
      <c r="N470" s="21">
        <f>LEN(TRIM(CLEAN(SUBSTITUTE(ProjTextTable[[#This Row],[text]],CHAR(10)," "))))+1 - LEN(SUBSTITUTE(CLEAN(SUBSTITUTE(ProjTextTable[[#This Row],[text]],CHAR(10)," "))," ",""))</f>
        <v>948</v>
      </c>
      <c r="O470" t="s">
        <v>196</v>
      </c>
      <c r="P470" t="s">
        <v>1370</v>
      </c>
    </row>
    <row r="471" spans="1:16" x14ac:dyDescent="0.4">
      <c r="A471">
        <f t="shared" si="7"/>
        <v>70</v>
      </c>
      <c r="B471" t="s">
        <v>1360</v>
      </c>
      <c r="C471" t="s">
        <v>1361</v>
      </c>
      <c r="D471" t="s">
        <v>194</v>
      </c>
      <c r="E471" t="s">
        <v>611</v>
      </c>
      <c r="F471" t="s">
        <v>13</v>
      </c>
      <c r="G471" t="s">
        <v>13</v>
      </c>
      <c r="H471" t="s">
        <v>13</v>
      </c>
      <c r="K471" s="30"/>
      <c r="L471" s="8">
        <v>43006.043333333335</v>
      </c>
      <c r="M471" s="21">
        <f>LEN(ProjTextTable[[#This Row],[text]])</f>
        <v>4420</v>
      </c>
      <c r="N471" s="21">
        <f>LEN(TRIM(CLEAN(SUBSTITUTE(ProjTextTable[[#This Row],[text]],CHAR(10)," "))))+1 - LEN(SUBSTITUTE(CLEAN(SUBSTITUTE(ProjTextTable[[#This Row],[text]],CHAR(10)," "))," ",""))</f>
        <v>619</v>
      </c>
      <c r="O471" t="s">
        <v>13</v>
      </c>
      <c r="P471" t="s">
        <v>1371</v>
      </c>
    </row>
    <row r="472" spans="1:16" x14ac:dyDescent="0.4">
      <c r="A472">
        <f t="shared" si="7"/>
        <v>71</v>
      </c>
      <c r="B472" t="s">
        <v>1372</v>
      </c>
      <c r="C472" t="s">
        <v>750</v>
      </c>
      <c r="D472" t="s">
        <v>533</v>
      </c>
      <c r="E472" t="s">
        <v>611</v>
      </c>
      <c r="F472" t="s">
        <v>1262</v>
      </c>
      <c r="G472" t="s">
        <v>1263</v>
      </c>
      <c r="H472" t="s">
        <v>541</v>
      </c>
      <c r="I472" t="s">
        <v>536</v>
      </c>
      <c r="J472" t="s">
        <v>1075</v>
      </c>
      <c r="K472" s="30">
        <v>43080</v>
      </c>
      <c r="L472" s="8">
        <v>43081.625219907408</v>
      </c>
      <c r="M472" s="21">
        <f>LEN(ProjTextTable[[#This Row],[text]])</f>
        <v>4823</v>
      </c>
      <c r="N472" s="21">
        <f>LEN(TRIM(CLEAN(SUBSTITUTE(ProjTextTable[[#This Row],[text]],CHAR(10)," "))))+1 - LEN(SUBSTITUTE(CLEAN(SUBSTITUTE(ProjTextTable[[#This Row],[text]],CHAR(10)," "))," ",""))</f>
        <v>691</v>
      </c>
      <c r="O472" t="s">
        <v>542</v>
      </c>
      <c r="P472" t="s">
        <v>1373</v>
      </c>
    </row>
    <row r="473" spans="1:16" x14ac:dyDescent="0.4">
      <c r="A473">
        <f t="shared" si="7"/>
        <v>71</v>
      </c>
      <c r="B473" t="s">
        <v>1372</v>
      </c>
      <c r="C473" t="s">
        <v>750</v>
      </c>
      <c r="D473" t="s">
        <v>2</v>
      </c>
      <c r="E473" t="s">
        <v>611</v>
      </c>
      <c r="F473" t="s">
        <v>13</v>
      </c>
      <c r="G473" t="s">
        <v>609</v>
      </c>
      <c r="H473" t="s">
        <v>13</v>
      </c>
      <c r="I473" t="s">
        <v>13</v>
      </c>
      <c r="K473" s="30"/>
      <c r="L473" s="8">
        <v>43082.530243055553</v>
      </c>
      <c r="M473" s="21">
        <f>LEN(ProjTextTable[[#This Row],[text]])</f>
        <v>2038</v>
      </c>
      <c r="N473" s="21">
        <f>LEN(TRIM(CLEAN(SUBSTITUTE(ProjTextTable[[#This Row],[text]],CHAR(10)," "))))+1 - LEN(SUBSTITUTE(CLEAN(SUBSTITUTE(ProjTextTable[[#This Row],[text]],CHAR(10)," "))," ",""))</f>
        <v>300</v>
      </c>
      <c r="O473" t="s">
        <v>13</v>
      </c>
      <c r="P473" t="s">
        <v>1374</v>
      </c>
    </row>
    <row r="474" spans="1:16" x14ac:dyDescent="0.4">
      <c r="A474">
        <f t="shared" si="7"/>
        <v>71</v>
      </c>
      <c r="B474" t="s">
        <v>1372</v>
      </c>
      <c r="C474" t="s">
        <v>750</v>
      </c>
      <c r="D474" t="s">
        <v>192</v>
      </c>
      <c r="E474" t="s">
        <v>611</v>
      </c>
      <c r="F474" t="s">
        <v>1283</v>
      </c>
      <c r="G474" t="s">
        <v>1284</v>
      </c>
      <c r="H474" t="s">
        <v>1285</v>
      </c>
      <c r="I474" t="s">
        <v>201</v>
      </c>
      <c r="J474" t="s">
        <v>175</v>
      </c>
      <c r="K474" s="30">
        <v>43081</v>
      </c>
      <c r="L474" s="8">
        <v>43080.400069444448</v>
      </c>
      <c r="M474" s="21">
        <f>LEN(ProjTextTable[[#This Row],[text]])</f>
        <v>2194</v>
      </c>
      <c r="N474" s="21">
        <f>LEN(TRIM(CLEAN(SUBSTITUTE(ProjTextTable[[#This Row],[text]],CHAR(10)," "))))+1 - LEN(SUBSTITUTE(CLEAN(SUBSTITUTE(ProjTextTable[[#This Row],[text]],CHAR(10)," "))," ",""))</f>
        <v>343</v>
      </c>
      <c r="O474" t="s">
        <v>193</v>
      </c>
      <c r="P474" t="s">
        <v>1375</v>
      </c>
    </row>
    <row r="475" spans="1:16" x14ac:dyDescent="0.4">
      <c r="A475">
        <f t="shared" si="7"/>
        <v>71</v>
      </c>
      <c r="B475" t="s">
        <v>1372</v>
      </c>
      <c r="C475" t="s">
        <v>750</v>
      </c>
      <c r="D475" t="s">
        <v>192</v>
      </c>
      <c r="E475" t="s">
        <v>611</v>
      </c>
      <c r="F475" t="s">
        <v>1287</v>
      </c>
      <c r="G475" t="s">
        <v>1031</v>
      </c>
      <c r="H475" t="s">
        <v>1288</v>
      </c>
      <c r="I475" t="s">
        <v>201</v>
      </c>
      <c r="J475" t="s">
        <v>175</v>
      </c>
      <c r="K475" s="30">
        <v>43081</v>
      </c>
      <c r="L475" s="8">
        <v>43079.989837962959</v>
      </c>
      <c r="M475" s="21">
        <f>LEN(ProjTextTable[[#This Row],[text]])</f>
        <v>2272</v>
      </c>
      <c r="N475" s="21">
        <f>LEN(TRIM(CLEAN(SUBSTITUTE(ProjTextTable[[#This Row],[text]],CHAR(10)," "))))+1 - LEN(SUBSTITUTE(CLEAN(SUBSTITUTE(ProjTextTable[[#This Row],[text]],CHAR(10)," "))," ",""))</f>
        <v>348</v>
      </c>
      <c r="O475" t="s">
        <v>197</v>
      </c>
      <c r="P475" t="s">
        <v>1376</v>
      </c>
    </row>
    <row r="476" spans="1:16" x14ac:dyDescent="0.4">
      <c r="A476">
        <f t="shared" si="7"/>
        <v>71</v>
      </c>
      <c r="B476" t="s">
        <v>1372</v>
      </c>
      <c r="C476" t="s">
        <v>750</v>
      </c>
      <c r="D476" t="s">
        <v>192</v>
      </c>
      <c r="E476" t="s">
        <v>611</v>
      </c>
      <c r="F476" t="s">
        <v>1300</v>
      </c>
      <c r="G476" t="s">
        <v>1022</v>
      </c>
      <c r="H476" t="s">
        <v>1301</v>
      </c>
      <c r="I476" t="s">
        <v>201</v>
      </c>
      <c r="J476" t="s">
        <v>175</v>
      </c>
      <c r="K476" s="30">
        <v>43081</v>
      </c>
      <c r="L476" s="8">
        <v>43081.454189814816</v>
      </c>
      <c r="M476" s="21">
        <f>LEN(ProjTextTable[[#This Row],[text]])</f>
        <v>1507</v>
      </c>
      <c r="N476" s="21">
        <f>LEN(TRIM(CLEAN(SUBSTITUTE(ProjTextTable[[#This Row],[text]],CHAR(10)," "))))+1 - LEN(SUBSTITUTE(CLEAN(SUBSTITUTE(ProjTextTable[[#This Row],[text]],CHAR(10)," "))," ",""))</f>
        <v>206</v>
      </c>
      <c r="O476" t="s">
        <v>199</v>
      </c>
      <c r="P476" t="s">
        <v>1377</v>
      </c>
    </row>
    <row r="477" spans="1:16" x14ac:dyDescent="0.4">
      <c r="A477">
        <f t="shared" si="7"/>
        <v>71</v>
      </c>
      <c r="B477" t="s">
        <v>1372</v>
      </c>
      <c r="C477" t="s">
        <v>750</v>
      </c>
      <c r="D477" t="s">
        <v>192</v>
      </c>
      <c r="E477" t="s">
        <v>611</v>
      </c>
      <c r="F477" t="s">
        <v>1266</v>
      </c>
      <c r="G477" t="s">
        <v>1267</v>
      </c>
      <c r="H477" t="s">
        <v>1268</v>
      </c>
      <c r="I477" t="s">
        <v>201</v>
      </c>
      <c r="J477" t="s">
        <v>175</v>
      </c>
      <c r="K477" s="30">
        <v>43081</v>
      </c>
      <c r="L477" s="8">
        <v>43080.030266203707</v>
      </c>
      <c r="M477" s="21">
        <f>LEN(ProjTextTable[[#This Row],[text]])</f>
        <v>8969</v>
      </c>
      <c r="N477" s="21">
        <f>LEN(TRIM(CLEAN(SUBSTITUTE(ProjTextTable[[#This Row],[text]],CHAR(10)," "))))+1 - LEN(SUBSTITUTE(CLEAN(SUBSTITUTE(ProjTextTable[[#This Row],[text]],CHAR(10)," "))," ",""))</f>
        <v>1438</v>
      </c>
      <c r="O477" t="s">
        <v>193</v>
      </c>
      <c r="P477" t="s">
        <v>1378</v>
      </c>
    </row>
    <row r="478" spans="1:16" x14ac:dyDescent="0.4">
      <c r="A478">
        <f t="shared" si="7"/>
        <v>72</v>
      </c>
      <c r="B478" t="s">
        <v>1379</v>
      </c>
      <c r="C478" t="s">
        <v>1380</v>
      </c>
      <c r="D478" t="s">
        <v>533</v>
      </c>
      <c r="E478" t="s">
        <v>654</v>
      </c>
      <c r="F478" t="s">
        <v>1262</v>
      </c>
      <c r="G478" t="s">
        <v>1263</v>
      </c>
      <c r="H478" t="s">
        <v>539</v>
      </c>
      <c r="I478" t="s">
        <v>535</v>
      </c>
      <c r="J478" t="s">
        <v>545</v>
      </c>
      <c r="K478" s="30">
        <v>43080</v>
      </c>
      <c r="L478" s="8">
        <v>43081.631805555553</v>
      </c>
      <c r="M478" s="21">
        <f>LEN(ProjTextTable[[#This Row],[text]])</f>
        <v>3595</v>
      </c>
      <c r="N478" s="21">
        <f>LEN(TRIM(CLEAN(SUBSTITUTE(ProjTextTable[[#This Row],[text]],CHAR(10)," "))))+1 - LEN(SUBSTITUTE(CLEAN(SUBSTITUTE(ProjTextTable[[#This Row],[text]],CHAR(10)," "))," ",""))</f>
        <v>537</v>
      </c>
      <c r="O478" t="s">
        <v>540</v>
      </c>
      <c r="P478" t="s">
        <v>1381</v>
      </c>
    </row>
    <row r="479" spans="1:16" x14ac:dyDescent="0.4">
      <c r="A479">
        <f t="shared" si="7"/>
        <v>72</v>
      </c>
      <c r="B479" t="s">
        <v>1379</v>
      </c>
      <c r="C479" t="s">
        <v>1380</v>
      </c>
      <c r="D479" t="s">
        <v>192</v>
      </c>
      <c r="E479" t="s">
        <v>654</v>
      </c>
      <c r="F479" t="s">
        <v>1308</v>
      </c>
      <c r="G479" t="s">
        <v>1065</v>
      </c>
      <c r="H479" t="s">
        <v>1309</v>
      </c>
      <c r="I479" t="s">
        <v>201</v>
      </c>
      <c r="J479" t="s">
        <v>175</v>
      </c>
      <c r="K479" s="30">
        <v>43081</v>
      </c>
      <c r="L479" s="8">
        <v>43081.394583333335</v>
      </c>
      <c r="M479" s="21">
        <f>LEN(ProjTextTable[[#This Row],[text]])</f>
        <v>3795</v>
      </c>
      <c r="N479" s="21">
        <f>LEN(TRIM(CLEAN(SUBSTITUTE(ProjTextTable[[#This Row],[text]],CHAR(10)," "))))+1 - LEN(SUBSTITUTE(CLEAN(SUBSTITUTE(ProjTextTable[[#This Row],[text]],CHAR(10)," "))," ",""))</f>
        <v>564</v>
      </c>
      <c r="O479" t="s">
        <v>196</v>
      </c>
      <c r="P479" t="s">
        <v>1382</v>
      </c>
    </row>
    <row r="480" spans="1:16" x14ac:dyDescent="0.4">
      <c r="A480">
        <f t="shared" si="7"/>
        <v>72</v>
      </c>
      <c r="B480" t="s">
        <v>1379</v>
      </c>
      <c r="C480" t="s">
        <v>1380</v>
      </c>
      <c r="D480" t="s">
        <v>192</v>
      </c>
      <c r="E480" t="s">
        <v>654</v>
      </c>
      <c r="F480" t="s">
        <v>1290</v>
      </c>
      <c r="G480" t="s">
        <v>1291</v>
      </c>
      <c r="H480" t="s">
        <v>1292</v>
      </c>
      <c r="I480" t="s">
        <v>201</v>
      </c>
      <c r="J480" t="s">
        <v>175</v>
      </c>
      <c r="K480" s="30">
        <v>43081</v>
      </c>
      <c r="L480" s="8">
        <v>43081.237442129626</v>
      </c>
      <c r="M480" s="21">
        <f>LEN(ProjTextTable[[#This Row],[text]])</f>
        <v>2299</v>
      </c>
      <c r="N480" s="21">
        <f>LEN(TRIM(CLEAN(SUBSTITUTE(ProjTextTable[[#This Row],[text]],CHAR(10)," "))))+1 - LEN(SUBSTITUTE(CLEAN(SUBSTITUTE(ProjTextTable[[#This Row],[text]],CHAR(10)," "))," ",""))</f>
        <v>317</v>
      </c>
      <c r="O480" t="s">
        <v>195</v>
      </c>
      <c r="P480" t="s">
        <v>1383</v>
      </c>
    </row>
    <row r="481" spans="1:16" x14ac:dyDescent="0.4">
      <c r="A481">
        <f t="shared" si="7"/>
        <v>72</v>
      </c>
      <c r="B481" t="s">
        <v>1379</v>
      </c>
      <c r="C481" t="s">
        <v>1380</v>
      </c>
      <c r="D481" t="s">
        <v>192</v>
      </c>
      <c r="E481" t="s">
        <v>654</v>
      </c>
      <c r="F481" t="s">
        <v>1266</v>
      </c>
      <c r="G481" t="s">
        <v>1267</v>
      </c>
      <c r="H481" t="s">
        <v>1268</v>
      </c>
      <c r="I481" t="s">
        <v>201</v>
      </c>
      <c r="J481" t="s">
        <v>175</v>
      </c>
      <c r="K481" s="30">
        <v>43081</v>
      </c>
      <c r="L481" s="8">
        <v>43081.438344907408</v>
      </c>
      <c r="M481" s="21">
        <f>LEN(ProjTextTable[[#This Row],[text]])</f>
        <v>2881</v>
      </c>
      <c r="N481" s="21">
        <f>LEN(TRIM(CLEAN(SUBSTITUTE(ProjTextTable[[#This Row],[text]],CHAR(10)," "))))+1 - LEN(SUBSTITUTE(CLEAN(SUBSTITUTE(ProjTextTable[[#This Row],[text]],CHAR(10)," "))," ",""))</f>
        <v>439</v>
      </c>
      <c r="O481" t="s">
        <v>198</v>
      </c>
      <c r="P481" t="s">
        <v>1384</v>
      </c>
    </row>
    <row r="482" spans="1:16" x14ac:dyDescent="0.4">
      <c r="A482">
        <f t="shared" si="7"/>
        <v>72</v>
      </c>
      <c r="B482" t="s">
        <v>1379</v>
      </c>
      <c r="C482" t="s">
        <v>1380</v>
      </c>
      <c r="D482" t="s">
        <v>192</v>
      </c>
      <c r="E482" t="s">
        <v>654</v>
      </c>
      <c r="F482" t="s">
        <v>1270</v>
      </c>
      <c r="G482" t="s">
        <v>1271</v>
      </c>
      <c r="H482" t="s">
        <v>1272</v>
      </c>
      <c r="I482" t="s">
        <v>201</v>
      </c>
      <c r="J482" t="s">
        <v>175</v>
      </c>
      <c r="K482" s="30">
        <v>43081</v>
      </c>
      <c r="L482" s="8">
        <v>43081.01494212963</v>
      </c>
      <c r="M482" s="21">
        <f>LEN(ProjTextTable[[#This Row],[text]])</f>
        <v>3500</v>
      </c>
      <c r="N482" s="21">
        <f>LEN(TRIM(CLEAN(SUBSTITUTE(ProjTextTable[[#This Row],[text]],CHAR(10)," "))))+1 - LEN(SUBSTITUTE(CLEAN(SUBSTITUTE(ProjTextTable[[#This Row],[text]],CHAR(10)," "))," ",""))</f>
        <v>536</v>
      </c>
      <c r="O482" t="s">
        <v>196</v>
      </c>
      <c r="P482" t="s">
        <v>1385</v>
      </c>
    </row>
    <row r="483" spans="1:16" x14ac:dyDescent="0.4">
      <c r="A483">
        <f t="shared" si="7"/>
        <v>72</v>
      </c>
      <c r="B483" t="s">
        <v>1379</v>
      </c>
      <c r="C483" t="s">
        <v>1380</v>
      </c>
      <c r="D483" t="s">
        <v>194</v>
      </c>
      <c r="E483" t="s">
        <v>654</v>
      </c>
      <c r="F483" t="s">
        <v>13</v>
      </c>
      <c r="G483" t="s">
        <v>13</v>
      </c>
      <c r="H483" t="s">
        <v>13</v>
      </c>
      <c r="K483" s="30"/>
      <c r="L483" s="8">
        <v>43006.043703703705</v>
      </c>
      <c r="M483" s="21">
        <f>LEN(ProjTextTable[[#This Row],[text]])</f>
        <v>4309</v>
      </c>
      <c r="N483" s="21">
        <f>LEN(TRIM(CLEAN(SUBSTITUTE(ProjTextTable[[#This Row],[text]],CHAR(10)," "))))+1 - LEN(SUBSTITUTE(CLEAN(SUBSTITUTE(ProjTextTable[[#This Row],[text]],CHAR(10)," "))," ",""))</f>
        <v>583</v>
      </c>
      <c r="O483" t="s">
        <v>13</v>
      </c>
      <c r="P483" t="s">
        <v>1386</v>
      </c>
    </row>
    <row r="484" spans="1:16" x14ac:dyDescent="0.4">
      <c r="A484">
        <f t="shared" si="7"/>
        <v>73</v>
      </c>
      <c r="B484" t="s">
        <v>1387</v>
      </c>
      <c r="C484" t="s">
        <v>1388</v>
      </c>
      <c r="D484" t="s">
        <v>533</v>
      </c>
      <c r="E484" t="s">
        <v>611</v>
      </c>
      <c r="F484" t="s">
        <v>1262</v>
      </c>
      <c r="G484" t="s">
        <v>1263</v>
      </c>
      <c r="H484" t="s">
        <v>539</v>
      </c>
      <c r="I484" t="s">
        <v>535</v>
      </c>
      <c r="J484" t="s">
        <v>545</v>
      </c>
      <c r="K484" s="30">
        <v>43080</v>
      </c>
      <c r="L484" s="8">
        <v>43081.631724537037</v>
      </c>
      <c r="M484" s="21">
        <f>LEN(ProjTextTable[[#This Row],[text]])</f>
        <v>5424</v>
      </c>
      <c r="N484" s="21">
        <f>LEN(TRIM(CLEAN(SUBSTITUTE(ProjTextTable[[#This Row],[text]],CHAR(10)," "))))+1 - LEN(SUBSTITUTE(CLEAN(SUBSTITUTE(ProjTextTable[[#This Row],[text]],CHAR(10)," "))," ",""))</f>
        <v>820</v>
      </c>
      <c r="O484" t="s">
        <v>540</v>
      </c>
      <c r="P484" t="s">
        <v>1389</v>
      </c>
    </row>
    <row r="485" spans="1:16" x14ac:dyDescent="0.4">
      <c r="A485">
        <f t="shared" si="7"/>
        <v>73</v>
      </c>
      <c r="B485" t="s">
        <v>1387</v>
      </c>
      <c r="C485" t="s">
        <v>1388</v>
      </c>
      <c r="D485" t="s">
        <v>192</v>
      </c>
      <c r="E485" t="s">
        <v>611</v>
      </c>
      <c r="F485" t="s">
        <v>1283</v>
      </c>
      <c r="G485" t="s">
        <v>1284</v>
      </c>
      <c r="H485" t="s">
        <v>1285</v>
      </c>
      <c r="I485" t="s">
        <v>201</v>
      </c>
      <c r="J485" t="s">
        <v>175</v>
      </c>
      <c r="K485" s="30">
        <v>43081</v>
      </c>
      <c r="L485" s="8">
        <v>43079.950520833336</v>
      </c>
      <c r="M485" s="21">
        <f>LEN(ProjTextTable[[#This Row],[text]])</f>
        <v>2152</v>
      </c>
      <c r="N485" s="21">
        <f>LEN(TRIM(CLEAN(SUBSTITUTE(ProjTextTable[[#This Row],[text]],CHAR(10)," "))))+1 - LEN(SUBSTITUTE(CLEAN(SUBSTITUTE(ProjTextTable[[#This Row],[text]],CHAR(10)," "))," ",""))</f>
        <v>313</v>
      </c>
      <c r="O485" t="s">
        <v>198</v>
      </c>
      <c r="P485" t="s">
        <v>1390</v>
      </c>
    </row>
    <row r="486" spans="1:16" x14ac:dyDescent="0.4">
      <c r="A486">
        <f t="shared" si="7"/>
        <v>73</v>
      </c>
      <c r="B486" t="s">
        <v>1387</v>
      </c>
      <c r="C486" t="s">
        <v>1388</v>
      </c>
      <c r="D486" t="s">
        <v>192</v>
      </c>
      <c r="E486" t="s">
        <v>611</v>
      </c>
      <c r="F486" t="s">
        <v>1287</v>
      </c>
      <c r="G486" t="s">
        <v>1031</v>
      </c>
      <c r="H486" t="s">
        <v>1288</v>
      </c>
      <c r="I486" t="s">
        <v>201</v>
      </c>
      <c r="J486" t="s">
        <v>175</v>
      </c>
      <c r="K486" s="30">
        <v>43081</v>
      </c>
      <c r="L486" s="8">
        <v>43080.119537037041</v>
      </c>
      <c r="M486" s="21">
        <f>LEN(ProjTextTable[[#This Row],[text]])</f>
        <v>3187</v>
      </c>
      <c r="N486" s="21">
        <f>LEN(TRIM(CLEAN(SUBSTITUTE(ProjTextTable[[#This Row],[text]],CHAR(10)," "))))+1 - LEN(SUBSTITUTE(CLEAN(SUBSTITUTE(ProjTextTable[[#This Row],[text]],CHAR(10)," "))," ",""))</f>
        <v>492</v>
      </c>
      <c r="O486" t="s">
        <v>196</v>
      </c>
      <c r="P486" t="s">
        <v>1391</v>
      </c>
    </row>
    <row r="487" spans="1:16" x14ac:dyDescent="0.4">
      <c r="A487">
        <f t="shared" si="7"/>
        <v>73</v>
      </c>
      <c r="B487" t="s">
        <v>1387</v>
      </c>
      <c r="C487" t="s">
        <v>1388</v>
      </c>
      <c r="D487" t="s">
        <v>192</v>
      </c>
      <c r="E487" t="s">
        <v>611</v>
      </c>
      <c r="F487" t="s">
        <v>1266</v>
      </c>
      <c r="G487" t="s">
        <v>1267</v>
      </c>
      <c r="H487" t="s">
        <v>1268</v>
      </c>
      <c r="I487" t="s">
        <v>201</v>
      </c>
      <c r="J487" t="s">
        <v>175</v>
      </c>
      <c r="K487" s="30">
        <v>43081</v>
      </c>
      <c r="L487" s="8">
        <v>43080.599953703706</v>
      </c>
      <c r="M487" s="21">
        <f>LEN(ProjTextTable[[#This Row],[text]])</f>
        <v>8340</v>
      </c>
      <c r="N487" s="21">
        <f>LEN(TRIM(CLEAN(SUBSTITUTE(ProjTextTable[[#This Row],[text]],CHAR(10)," "))))+1 - LEN(SUBSTITUTE(CLEAN(SUBSTITUTE(ProjTextTable[[#This Row],[text]],CHAR(10)," "))," ",""))</f>
        <v>1284</v>
      </c>
      <c r="O487" t="s">
        <v>196</v>
      </c>
      <c r="P487" t="s">
        <v>1392</v>
      </c>
    </row>
    <row r="488" spans="1:16" x14ac:dyDescent="0.4">
      <c r="A488">
        <f t="shared" si="7"/>
        <v>73</v>
      </c>
      <c r="B488" t="s">
        <v>1387</v>
      </c>
      <c r="C488" t="s">
        <v>1388</v>
      </c>
      <c r="D488" t="s">
        <v>192</v>
      </c>
      <c r="E488" t="s">
        <v>611</v>
      </c>
      <c r="F488" t="s">
        <v>1274</v>
      </c>
      <c r="G488" t="s">
        <v>1275</v>
      </c>
      <c r="H488" t="s">
        <v>1276</v>
      </c>
      <c r="I488" t="s">
        <v>201</v>
      </c>
      <c r="J488" t="s">
        <v>175</v>
      </c>
      <c r="K488" s="30">
        <v>43081</v>
      </c>
      <c r="L488" s="8">
        <v>43077.574918981481</v>
      </c>
      <c r="M488" s="21">
        <f>LEN(ProjTextTable[[#This Row],[text]])</f>
        <v>2423</v>
      </c>
      <c r="N488" s="21">
        <f>LEN(TRIM(CLEAN(SUBSTITUTE(ProjTextTable[[#This Row],[text]],CHAR(10)," "))))+1 - LEN(SUBSTITUTE(CLEAN(SUBSTITUTE(ProjTextTable[[#This Row],[text]],CHAR(10)," "))," ",""))</f>
        <v>374</v>
      </c>
      <c r="O488" t="s">
        <v>196</v>
      </c>
      <c r="P488" t="s">
        <v>1393</v>
      </c>
    </row>
    <row r="489" spans="1:16" x14ac:dyDescent="0.4">
      <c r="A489">
        <f t="shared" si="7"/>
        <v>73</v>
      </c>
      <c r="B489" t="s">
        <v>1387</v>
      </c>
      <c r="C489" t="s">
        <v>1388</v>
      </c>
      <c r="D489" t="s">
        <v>194</v>
      </c>
      <c r="E489" t="s">
        <v>611</v>
      </c>
      <c r="F489" t="s">
        <v>13</v>
      </c>
      <c r="G489" t="s">
        <v>13</v>
      </c>
      <c r="H489" t="s">
        <v>13</v>
      </c>
      <c r="K489" s="30"/>
      <c r="L489" s="8">
        <v>43006.043819444443</v>
      </c>
      <c r="M489" s="21">
        <f>LEN(ProjTextTable[[#This Row],[text]])</f>
        <v>4119</v>
      </c>
      <c r="N489" s="21">
        <f>LEN(TRIM(CLEAN(SUBSTITUTE(ProjTextTable[[#This Row],[text]],CHAR(10)," "))))+1 - LEN(SUBSTITUTE(CLEAN(SUBSTITUTE(ProjTextTable[[#This Row],[text]],CHAR(10)," "))," ",""))</f>
        <v>584</v>
      </c>
      <c r="O489" t="s">
        <v>13</v>
      </c>
      <c r="P489" t="s">
        <v>1394</v>
      </c>
    </row>
    <row r="490" spans="1:16" x14ac:dyDescent="0.4">
      <c r="A490">
        <f t="shared" si="7"/>
        <v>74</v>
      </c>
      <c r="B490" t="s">
        <v>1395</v>
      </c>
      <c r="C490" t="s">
        <v>1396</v>
      </c>
      <c r="D490" t="s">
        <v>533</v>
      </c>
      <c r="E490" t="s">
        <v>654</v>
      </c>
      <c r="F490" t="s">
        <v>1262</v>
      </c>
      <c r="G490" t="s">
        <v>1263</v>
      </c>
      <c r="H490" t="s">
        <v>543</v>
      </c>
      <c r="I490" t="s">
        <v>537</v>
      </c>
      <c r="J490" t="s">
        <v>537</v>
      </c>
      <c r="K490" s="30">
        <v>43080</v>
      </c>
      <c r="L490" s="8">
        <v>43081.623402777775</v>
      </c>
      <c r="M490" s="21">
        <f>LEN(ProjTextTable[[#This Row],[text]])</f>
        <v>4154</v>
      </c>
      <c r="N490" s="21">
        <f>LEN(TRIM(CLEAN(SUBSTITUTE(ProjTextTable[[#This Row],[text]],CHAR(10)," "))))+1 - LEN(SUBSTITUTE(CLEAN(SUBSTITUTE(ProjTextTable[[#This Row],[text]],CHAR(10)," "))," ",""))</f>
        <v>625</v>
      </c>
      <c r="O490" t="s">
        <v>544</v>
      </c>
      <c r="P490" t="s">
        <v>1397</v>
      </c>
    </row>
    <row r="491" spans="1:16" x14ac:dyDescent="0.4">
      <c r="A491">
        <f t="shared" si="7"/>
        <v>74</v>
      </c>
      <c r="B491" t="s">
        <v>1395</v>
      </c>
      <c r="C491" t="s">
        <v>1396</v>
      </c>
      <c r="D491" t="s">
        <v>192</v>
      </c>
      <c r="E491" t="s">
        <v>654</v>
      </c>
      <c r="F491" t="s">
        <v>521</v>
      </c>
      <c r="G491" t="s">
        <v>522</v>
      </c>
      <c r="H491" t="s">
        <v>523</v>
      </c>
      <c r="I491" t="s">
        <v>201</v>
      </c>
      <c r="J491" t="s">
        <v>175</v>
      </c>
      <c r="K491" s="30">
        <v>43081</v>
      </c>
      <c r="L491" s="8">
        <v>43080.080428240741</v>
      </c>
      <c r="M491" s="21">
        <f>LEN(ProjTextTable[[#This Row],[text]])</f>
        <v>3728</v>
      </c>
      <c r="N491" s="21">
        <f>LEN(TRIM(CLEAN(SUBSTITUTE(ProjTextTable[[#This Row],[text]],CHAR(10)," "))))+1 - LEN(SUBSTITUTE(CLEAN(SUBSTITUTE(ProjTextTable[[#This Row],[text]],CHAR(10)," "))," ",""))</f>
        <v>563</v>
      </c>
      <c r="O491" t="s">
        <v>196</v>
      </c>
      <c r="P491" t="s">
        <v>1398</v>
      </c>
    </row>
    <row r="492" spans="1:16" x14ac:dyDescent="0.4">
      <c r="A492">
        <f t="shared" si="7"/>
        <v>74</v>
      </c>
      <c r="B492" t="s">
        <v>1395</v>
      </c>
      <c r="C492" t="s">
        <v>1396</v>
      </c>
      <c r="D492" t="s">
        <v>192</v>
      </c>
      <c r="E492" t="s">
        <v>654</v>
      </c>
      <c r="F492" t="s">
        <v>1270</v>
      </c>
      <c r="G492" t="s">
        <v>1271</v>
      </c>
      <c r="H492" t="s">
        <v>1272</v>
      </c>
      <c r="I492" t="s">
        <v>201</v>
      </c>
      <c r="J492" t="s">
        <v>175</v>
      </c>
      <c r="K492" s="30">
        <v>43081</v>
      </c>
      <c r="L492" s="8">
        <v>43078.726284722223</v>
      </c>
      <c r="M492" s="21">
        <f>LEN(ProjTextTable[[#This Row],[text]])</f>
        <v>2293</v>
      </c>
      <c r="N492" s="21">
        <f>LEN(TRIM(CLEAN(SUBSTITUTE(ProjTextTable[[#This Row],[text]],CHAR(10)," "))))+1 - LEN(SUBSTITUTE(CLEAN(SUBSTITUTE(ProjTextTable[[#This Row],[text]],CHAR(10)," "))," ",""))</f>
        <v>364</v>
      </c>
      <c r="O492" t="s">
        <v>229</v>
      </c>
      <c r="P492" t="s">
        <v>1399</v>
      </c>
    </row>
    <row r="493" spans="1:16" x14ac:dyDescent="0.4">
      <c r="A493">
        <f t="shared" si="7"/>
        <v>74</v>
      </c>
      <c r="B493" t="s">
        <v>1395</v>
      </c>
      <c r="C493" t="s">
        <v>1396</v>
      </c>
      <c r="D493" t="s">
        <v>192</v>
      </c>
      <c r="E493" t="s">
        <v>654</v>
      </c>
      <c r="F493" t="s">
        <v>1274</v>
      </c>
      <c r="G493" t="s">
        <v>1275</v>
      </c>
      <c r="H493" t="s">
        <v>1276</v>
      </c>
      <c r="I493" t="s">
        <v>201</v>
      </c>
      <c r="J493" t="s">
        <v>175</v>
      </c>
      <c r="K493" s="30">
        <v>43081</v>
      </c>
      <c r="L493" s="8">
        <v>43077.405057870368</v>
      </c>
      <c r="M493" s="21">
        <f>LEN(ProjTextTable[[#This Row],[text]])</f>
        <v>2291</v>
      </c>
      <c r="N493" s="21">
        <f>LEN(TRIM(CLEAN(SUBSTITUTE(ProjTextTable[[#This Row],[text]],CHAR(10)," "))))+1 - LEN(SUBSTITUTE(CLEAN(SUBSTITUTE(ProjTextTable[[#This Row],[text]],CHAR(10)," "))," ",""))</f>
        <v>346</v>
      </c>
      <c r="O493" t="s">
        <v>229</v>
      </c>
      <c r="P493" t="s">
        <v>1400</v>
      </c>
    </row>
    <row r="494" spans="1:16" x14ac:dyDescent="0.4">
      <c r="A494">
        <f t="shared" si="7"/>
        <v>74</v>
      </c>
      <c r="B494" t="s">
        <v>1395</v>
      </c>
      <c r="C494" t="s">
        <v>1396</v>
      </c>
      <c r="D494" t="s">
        <v>192</v>
      </c>
      <c r="E494" t="s">
        <v>654</v>
      </c>
      <c r="F494" t="s">
        <v>1329</v>
      </c>
      <c r="G494" t="s">
        <v>1330</v>
      </c>
      <c r="H494" t="s">
        <v>1331</v>
      </c>
      <c r="I494" t="s">
        <v>175</v>
      </c>
      <c r="J494" t="s">
        <v>175</v>
      </c>
      <c r="K494" s="30">
        <v>43075</v>
      </c>
      <c r="L494" s="8">
        <v>43074.972592592596</v>
      </c>
      <c r="M494" s="21">
        <f>LEN(ProjTextTable[[#This Row],[text]])</f>
        <v>2556</v>
      </c>
      <c r="N494" s="21">
        <f>LEN(TRIM(CLEAN(SUBSTITUTE(ProjTextTable[[#This Row],[text]],CHAR(10)," "))))+1 - LEN(SUBSTITUTE(CLEAN(SUBSTITUTE(ProjTextTable[[#This Row],[text]],CHAR(10)," "))," ",""))</f>
        <v>399</v>
      </c>
      <c r="O494" t="s">
        <v>229</v>
      </c>
      <c r="P494" t="s">
        <v>1401</v>
      </c>
    </row>
    <row r="495" spans="1:16" x14ac:dyDescent="0.4">
      <c r="A495">
        <f t="shared" si="7"/>
        <v>74</v>
      </c>
      <c r="B495" t="s">
        <v>1395</v>
      </c>
      <c r="C495" t="s">
        <v>1396</v>
      </c>
      <c r="D495" t="s">
        <v>194</v>
      </c>
      <c r="E495" t="s">
        <v>654</v>
      </c>
      <c r="F495" t="s">
        <v>13</v>
      </c>
      <c r="G495" t="s">
        <v>13</v>
      </c>
      <c r="H495" t="s">
        <v>13</v>
      </c>
      <c r="K495" s="30"/>
      <c r="L495" s="8">
        <v>43006.043900462966</v>
      </c>
      <c r="M495" s="21">
        <f>LEN(ProjTextTable[[#This Row],[text]])</f>
        <v>3519</v>
      </c>
      <c r="N495" s="21">
        <f>LEN(TRIM(CLEAN(SUBSTITUTE(ProjTextTable[[#This Row],[text]],CHAR(10)," "))))+1 - LEN(SUBSTITUTE(CLEAN(SUBSTITUTE(ProjTextTable[[#This Row],[text]],CHAR(10)," "))," ",""))</f>
        <v>527</v>
      </c>
      <c r="O495" t="s">
        <v>13</v>
      </c>
      <c r="P495" t="s">
        <v>1402</v>
      </c>
    </row>
    <row r="496" spans="1:16" x14ac:dyDescent="0.4">
      <c r="A496">
        <f t="shared" si="7"/>
        <v>75</v>
      </c>
      <c r="B496" t="s">
        <v>1403</v>
      </c>
      <c r="C496" t="s">
        <v>1404</v>
      </c>
      <c r="D496" t="s">
        <v>533</v>
      </c>
      <c r="E496" t="s">
        <v>654</v>
      </c>
      <c r="F496" t="s">
        <v>1262</v>
      </c>
      <c r="G496" t="s">
        <v>1263</v>
      </c>
      <c r="H496" t="s">
        <v>539</v>
      </c>
      <c r="I496" t="s">
        <v>535</v>
      </c>
      <c r="J496" t="s">
        <v>538</v>
      </c>
      <c r="K496" s="30">
        <v>43080</v>
      </c>
      <c r="L496" s="8">
        <v>43081.623645833337</v>
      </c>
      <c r="M496" s="21">
        <f>LEN(ProjTextTable[[#This Row],[text]])</f>
        <v>3495</v>
      </c>
      <c r="N496" s="21">
        <f>LEN(TRIM(CLEAN(SUBSTITUTE(ProjTextTable[[#This Row],[text]],CHAR(10)," "))))+1 - LEN(SUBSTITUTE(CLEAN(SUBSTITUTE(ProjTextTable[[#This Row],[text]],CHAR(10)," "))," ",""))</f>
        <v>502</v>
      </c>
      <c r="O496" t="s">
        <v>540</v>
      </c>
      <c r="P496" t="s">
        <v>1405</v>
      </c>
    </row>
    <row r="497" spans="1:16" x14ac:dyDescent="0.4">
      <c r="A497">
        <f t="shared" si="7"/>
        <v>75</v>
      </c>
      <c r="B497" t="s">
        <v>1403</v>
      </c>
      <c r="C497" t="s">
        <v>1404</v>
      </c>
      <c r="D497" t="s">
        <v>192</v>
      </c>
      <c r="E497" t="s">
        <v>654</v>
      </c>
      <c r="F497" t="s">
        <v>1283</v>
      </c>
      <c r="G497" t="s">
        <v>1284</v>
      </c>
      <c r="H497" t="s">
        <v>1285</v>
      </c>
      <c r="I497" t="s">
        <v>201</v>
      </c>
      <c r="J497" t="s">
        <v>175</v>
      </c>
      <c r="K497" s="30">
        <v>43081</v>
      </c>
      <c r="L497" s="8">
        <v>43079.959131944444</v>
      </c>
      <c r="M497" s="21">
        <f>LEN(ProjTextTable[[#This Row],[text]])</f>
        <v>2935</v>
      </c>
      <c r="N497" s="21">
        <f>LEN(TRIM(CLEAN(SUBSTITUTE(ProjTextTable[[#This Row],[text]],CHAR(10)," "))))+1 - LEN(SUBSTITUTE(CLEAN(SUBSTITUTE(ProjTextTable[[#This Row],[text]],CHAR(10)," "))," ",""))</f>
        <v>442</v>
      </c>
      <c r="O497" t="s">
        <v>195</v>
      </c>
      <c r="P497" t="s">
        <v>1406</v>
      </c>
    </row>
    <row r="498" spans="1:16" x14ac:dyDescent="0.4">
      <c r="A498">
        <f t="shared" si="7"/>
        <v>75</v>
      </c>
      <c r="B498" t="s">
        <v>1403</v>
      </c>
      <c r="C498" t="s">
        <v>1404</v>
      </c>
      <c r="D498" t="s">
        <v>192</v>
      </c>
      <c r="E498" t="s">
        <v>654</v>
      </c>
      <c r="F498" t="s">
        <v>1308</v>
      </c>
      <c r="G498" t="s">
        <v>1065</v>
      </c>
      <c r="H498" t="s">
        <v>1309</v>
      </c>
      <c r="I498" t="s">
        <v>201</v>
      </c>
      <c r="J498" t="s">
        <v>175</v>
      </c>
      <c r="K498" s="30">
        <v>43081</v>
      </c>
      <c r="L498" s="8">
        <v>43080.380208333336</v>
      </c>
      <c r="M498" s="21">
        <f>LEN(ProjTextTable[[#This Row],[text]])</f>
        <v>4114</v>
      </c>
      <c r="N498" s="21">
        <f>LEN(TRIM(CLEAN(SUBSTITUTE(ProjTextTable[[#This Row],[text]],CHAR(10)," "))))+1 - LEN(SUBSTITUTE(CLEAN(SUBSTITUTE(ProjTextTable[[#This Row],[text]],CHAR(10)," "))," ",""))</f>
        <v>612</v>
      </c>
      <c r="O498" t="s">
        <v>195</v>
      </c>
      <c r="P498" t="s">
        <v>1407</v>
      </c>
    </row>
    <row r="499" spans="1:16" x14ac:dyDescent="0.4">
      <c r="A499">
        <f t="shared" si="7"/>
        <v>75</v>
      </c>
      <c r="B499" t="s">
        <v>1403</v>
      </c>
      <c r="C499" t="s">
        <v>1404</v>
      </c>
      <c r="D499" t="s">
        <v>192</v>
      </c>
      <c r="E499" t="s">
        <v>654</v>
      </c>
      <c r="F499" t="s">
        <v>1300</v>
      </c>
      <c r="G499" t="s">
        <v>1022</v>
      </c>
      <c r="H499" t="s">
        <v>1301</v>
      </c>
      <c r="I499" t="s">
        <v>201</v>
      </c>
      <c r="J499" t="s">
        <v>175</v>
      </c>
      <c r="K499" s="30">
        <v>43081</v>
      </c>
      <c r="L499" s="8">
        <v>43080.363333333335</v>
      </c>
      <c r="M499" s="21">
        <f>LEN(ProjTextTable[[#This Row],[text]])</f>
        <v>1574</v>
      </c>
      <c r="N499" s="21">
        <f>LEN(TRIM(CLEAN(SUBSTITUTE(ProjTextTable[[#This Row],[text]],CHAR(10)," "))))+1 - LEN(SUBSTITUTE(CLEAN(SUBSTITUTE(ProjTextTable[[#This Row],[text]],CHAR(10)," "))," ",""))</f>
        <v>232</v>
      </c>
      <c r="O499" t="s">
        <v>229</v>
      </c>
      <c r="P499" t="s">
        <v>1408</v>
      </c>
    </row>
    <row r="500" spans="1:16" x14ac:dyDescent="0.4">
      <c r="A500">
        <f t="shared" si="7"/>
        <v>75</v>
      </c>
      <c r="B500" t="s">
        <v>1403</v>
      </c>
      <c r="C500" t="s">
        <v>1404</v>
      </c>
      <c r="D500" t="s">
        <v>192</v>
      </c>
      <c r="E500" t="s">
        <v>654</v>
      </c>
      <c r="F500" t="s">
        <v>1270</v>
      </c>
      <c r="G500" t="s">
        <v>1271</v>
      </c>
      <c r="H500" t="s">
        <v>1272</v>
      </c>
      <c r="I500" t="s">
        <v>201</v>
      </c>
      <c r="J500" t="s">
        <v>175</v>
      </c>
      <c r="K500" s="30">
        <v>43081</v>
      </c>
      <c r="L500" s="8">
        <v>43078.907939814817</v>
      </c>
      <c r="M500" s="21">
        <f>LEN(ProjTextTable[[#This Row],[text]])</f>
        <v>2403</v>
      </c>
      <c r="N500" s="21">
        <f>LEN(TRIM(CLEAN(SUBSTITUTE(ProjTextTable[[#This Row],[text]],CHAR(10)," "))))+1 - LEN(SUBSTITUTE(CLEAN(SUBSTITUTE(ProjTextTable[[#This Row],[text]],CHAR(10)," "))," ",""))</f>
        <v>356</v>
      </c>
      <c r="O500" t="s">
        <v>196</v>
      </c>
      <c r="P500" t="s">
        <v>1409</v>
      </c>
    </row>
    <row r="501" spans="1:16" x14ac:dyDescent="0.4">
      <c r="A501">
        <f t="shared" si="7"/>
        <v>75</v>
      </c>
      <c r="B501" t="s">
        <v>1403</v>
      </c>
      <c r="C501" t="s">
        <v>1404</v>
      </c>
      <c r="D501" t="s">
        <v>194</v>
      </c>
      <c r="E501" t="s">
        <v>654</v>
      </c>
      <c r="F501" t="s">
        <v>13</v>
      </c>
      <c r="G501" t="s">
        <v>13</v>
      </c>
      <c r="H501" t="s">
        <v>13</v>
      </c>
      <c r="K501" s="30"/>
      <c r="L501" s="8">
        <v>43006.044039351851</v>
      </c>
      <c r="M501" s="21">
        <f>LEN(ProjTextTable[[#This Row],[text]])</f>
        <v>2916</v>
      </c>
      <c r="N501" s="21">
        <f>LEN(TRIM(CLEAN(SUBSTITUTE(ProjTextTable[[#This Row],[text]],CHAR(10)," "))))+1 - LEN(SUBSTITUTE(CLEAN(SUBSTITUTE(ProjTextTable[[#This Row],[text]],CHAR(10)," "))," ",""))</f>
        <v>397</v>
      </c>
      <c r="O501" t="s">
        <v>13</v>
      </c>
      <c r="P501" t="s">
        <v>1410</v>
      </c>
    </row>
    <row r="502" spans="1:16" x14ac:dyDescent="0.4">
      <c r="A502">
        <f t="shared" si="7"/>
        <v>76</v>
      </c>
      <c r="B502" t="s">
        <v>1411</v>
      </c>
      <c r="C502" t="s">
        <v>1412</v>
      </c>
      <c r="D502" t="s">
        <v>533</v>
      </c>
      <c r="E502" t="s">
        <v>1166</v>
      </c>
      <c r="F502" t="s">
        <v>1262</v>
      </c>
      <c r="G502" t="s">
        <v>1263</v>
      </c>
      <c r="H502" t="s">
        <v>541</v>
      </c>
      <c r="I502" t="s">
        <v>536</v>
      </c>
      <c r="J502" t="s">
        <v>1075</v>
      </c>
      <c r="K502" s="30">
        <v>43080</v>
      </c>
      <c r="L502" s="8">
        <v>43081.623854166668</v>
      </c>
      <c r="M502" s="21">
        <f>LEN(ProjTextTable[[#This Row],[text]])</f>
        <v>3488</v>
      </c>
      <c r="N502" s="21">
        <f>LEN(TRIM(CLEAN(SUBSTITUTE(ProjTextTable[[#This Row],[text]],CHAR(10)," "))))+1 - LEN(SUBSTITUTE(CLEAN(SUBSTITUTE(ProjTextTable[[#This Row],[text]],CHAR(10)," "))," ",""))</f>
        <v>515</v>
      </c>
      <c r="O502" t="s">
        <v>542</v>
      </c>
      <c r="P502" t="s">
        <v>1413</v>
      </c>
    </row>
    <row r="503" spans="1:16" x14ac:dyDescent="0.4">
      <c r="A503">
        <f t="shared" si="7"/>
        <v>76</v>
      </c>
      <c r="B503" t="s">
        <v>1411</v>
      </c>
      <c r="C503" t="s">
        <v>1412</v>
      </c>
      <c r="D503" t="s">
        <v>192</v>
      </c>
      <c r="E503" t="s">
        <v>1414</v>
      </c>
      <c r="F503" t="s">
        <v>1308</v>
      </c>
      <c r="G503" t="s">
        <v>1065</v>
      </c>
      <c r="H503" t="s">
        <v>1309</v>
      </c>
      <c r="I503" t="s">
        <v>201</v>
      </c>
      <c r="J503" t="s">
        <v>175</v>
      </c>
      <c r="K503" s="30">
        <v>43081</v>
      </c>
      <c r="L503" s="8">
        <v>43081.305254629631</v>
      </c>
      <c r="M503" s="21">
        <f>LEN(ProjTextTable[[#This Row],[text]])</f>
        <v>2935</v>
      </c>
      <c r="N503" s="21">
        <f>LEN(TRIM(CLEAN(SUBSTITUTE(ProjTextTable[[#This Row],[text]],CHAR(10)," "))))+1 - LEN(SUBSTITUTE(CLEAN(SUBSTITUTE(ProjTextTable[[#This Row],[text]],CHAR(10)," "))," ",""))</f>
        <v>469</v>
      </c>
      <c r="O503" t="s">
        <v>198</v>
      </c>
      <c r="P503" t="s">
        <v>1415</v>
      </c>
    </row>
    <row r="504" spans="1:16" x14ac:dyDescent="0.4">
      <c r="A504">
        <f t="shared" si="7"/>
        <v>76</v>
      </c>
      <c r="B504" t="s">
        <v>1411</v>
      </c>
      <c r="C504" t="s">
        <v>1412</v>
      </c>
      <c r="D504" t="s">
        <v>192</v>
      </c>
      <c r="E504" t="s">
        <v>1414</v>
      </c>
      <c r="F504" t="s">
        <v>1290</v>
      </c>
      <c r="G504" t="s">
        <v>1291</v>
      </c>
      <c r="H504" t="s">
        <v>1292</v>
      </c>
      <c r="I504" t="s">
        <v>201</v>
      </c>
      <c r="J504" t="s">
        <v>175</v>
      </c>
      <c r="K504" s="30">
        <v>43081</v>
      </c>
      <c r="L504" s="8">
        <v>43081.242893518516</v>
      </c>
      <c r="M504" s="21">
        <f>LEN(ProjTextTable[[#This Row],[text]])</f>
        <v>2021</v>
      </c>
      <c r="N504" s="21">
        <f>LEN(TRIM(CLEAN(SUBSTITUTE(ProjTextTable[[#This Row],[text]],CHAR(10)," "))))+1 - LEN(SUBSTITUTE(CLEAN(SUBSTITUTE(ProjTextTable[[#This Row],[text]],CHAR(10)," "))," ",""))</f>
        <v>294</v>
      </c>
      <c r="O504" t="s">
        <v>193</v>
      </c>
      <c r="P504" t="s">
        <v>1416</v>
      </c>
    </row>
    <row r="505" spans="1:16" x14ac:dyDescent="0.4">
      <c r="A505">
        <f t="shared" si="7"/>
        <v>76</v>
      </c>
      <c r="B505" t="s">
        <v>1411</v>
      </c>
      <c r="C505" t="s">
        <v>1412</v>
      </c>
      <c r="D505" t="s">
        <v>192</v>
      </c>
      <c r="E505" t="s">
        <v>1414</v>
      </c>
      <c r="F505" t="s">
        <v>1300</v>
      </c>
      <c r="G505" t="s">
        <v>1022</v>
      </c>
      <c r="H505" t="s">
        <v>1301</v>
      </c>
      <c r="I505" t="s">
        <v>201</v>
      </c>
      <c r="J505" t="s">
        <v>175</v>
      </c>
      <c r="K505" s="30">
        <v>43081</v>
      </c>
      <c r="L505" s="8">
        <v>43080.367199074077</v>
      </c>
      <c r="M505" s="21">
        <f>LEN(ProjTextTable[[#This Row],[text]])</f>
        <v>973</v>
      </c>
      <c r="N505" s="21">
        <f>LEN(TRIM(CLEAN(SUBSTITUTE(ProjTextTable[[#This Row],[text]],CHAR(10)," "))))+1 - LEN(SUBSTITUTE(CLEAN(SUBSTITUTE(ProjTextTable[[#This Row],[text]],CHAR(10)," "))," ",""))</f>
        <v>145</v>
      </c>
      <c r="O505" t="s">
        <v>193</v>
      </c>
      <c r="P505" t="s">
        <v>1417</v>
      </c>
    </row>
    <row r="506" spans="1:16" x14ac:dyDescent="0.4">
      <c r="A506">
        <f t="shared" si="7"/>
        <v>76</v>
      </c>
      <c r="B506" t="s">
        <v>1411</v>
      </c>
      <c r="C506" t="s">
        <v>1412</v>
      </c>
      <c r="D506" t="s">
        <v>192</v>
      </c>
      <c r="E506" t="s">
        <v>1414</v>
      </c>
      <c r="F506" t="s">
        <v>1270</v>
      </c>
      <c r="G506" t="s">
        <v>1271</v>
      </c>
      <c r="H506" t="s">
        <v>1272</v>
      </c>
      <c r="I506" t="s">
        <v>201</v>
      </c>
      <c r="J506" t="s">
        <v>175</v>
      </c>
      <c r="K506" s="30">
        <v>43081</v>
      </c>
      <c r="L506" s="8">
        <v>43078.867488425924</v>
      </c>
      <c r="M506" s="21">
        <f>LEN(ProjTextTable[[#This Row],[text]])</f>
        <v>2365</v>
      </c>
      <c r="N506" s="21">
        <f>LEN(TRIM(CLEAN(SUBSTITUTE(ProjTextTable[[#This Row],[text]],CHAR(10)," "))))+1 - LEN(SUBSTITUTE(CLEAN(SUBSTITUTE(ProjTextTable[[#This Row],[text]],CHAR(10)," "))," ",""))</f>
        <v>371</v>
      </c>
      <c r="O506" t="s">
        <v>193</v>
      </c>
      <c r="P506" t="s">
        <v>1418</v>
      </c>
    </row>
    <row r="507" spans="1:16" x14ac:dyDescent="0.4">
      <c r="A507">
        <f t="shared" si="7"/>
        <v>76</v>
      </c>
      <c r="B507" t="s">
        <v>1411</v>
      </c>
      <c r="C507" t="s">
        <v>1412</v>
      </c>
      <c r="D507" t="s">
        <v>194</v>
      </c>
      <c r="E507" t="s">
        <v>1166</v>
      </c>
      <c r="F507" t="s">
        <v>13</v>
      </c>
      <c r="G507" t="s">
        <v>13</v>
      </c>
      <c r="H507" t="s">
        <v>13</v>
      </c>
      <c r="K507" s="30"/>
      <c r="L507" s="8">
        <v>43006.04409722222</v>
      </c>
      <c r="M507" s="21">
        <f>LEN(ProjTextTable[[#This Row],[text]])</f>
        <v>3972</v>
      </c>
      <c r="N507" s="21">
        <f>LEN(TRIM(CLEAN(SUBSTITUTE(ProjTextTable[[#This Row],[text]],CHAR(10)," "))))+1 - LEN(SUBSTITUTE(CLEAN(SUBSTITUTE(ProjTextTable[[#This Row],[text]],CHAR(10)," "))," ",""))</f>
        <v>573</v>
      </c>
      <c r="O507" t="s">
        <v>13</v>
      </c>
      <c r="P507" t="s">
        <v>1419</v>
      </c>
    </row>
    <row r="508" spans="1:16" x14ac:dyDescent="0.4">
      <c r="A508">
        <f t="shared" si="7"/>
        <v>77</v>
      </c>
      <c r="B508" t="s">
        <v>1420</v>
      </c>
      <c r="C508" t="s">
        <v>1421</v>
      </c>
      <c r="D508" t="s">
        <v>533</v>
      </c>
      <c r="E508" t="s">
        <v>611</v>
      </c>
      <c r="F508" t="s">
        <v>1262</v>
      </c>
      <c r="G508" t="s">
        <v>1263</v>
      </c>
      <c r="H508" t="s">
        <v>546</v>
      </c>
      <c r="I508" t="s">
        <v>538</v>
      </c>
      <c r="J508" t="s">
        <v>1422</v>
      </c>
      <c r="K508" s="30">
        <v>43080</v>
      </c>
      <c r="L508" s="8">
        <v>43081.632118055553</v>
      </c>
      <c r="M508" s="21">
        <f>LEN(ProjTextTable[[#This Row],[text]])</f>
        <v>4105</v>
      </c>
      <c r="N508" s="21">
        <f>LEN(TRIM(CLEAN(SUBSTITUTE(ProjTextTable[[#This Row],[text]],CHAR(10)," "))))+1 - LEN(SUBSTITUTE(CLEAN(SUBSTITUTE(ProjTextTable[[#This Row],[text]],CHAR(10)," "))," ",""))</f>
        <v>581</v>
      </c>
      <c r="O508" t="s">
        <v>309</v>
      </c>
      <c r="P508" t="s">
        <v>1423</v>
      </c>
    </row>
    <row r="509" spans="1:16" x14ac:dyDescent="0.4">
      <c r="A509">
        <f t="shared" si="7"/>
        <v>77</v>
      </c>
      <c r="B509" t="s">
        <v>1420</v>
      </c>
      <c r="C509" t="s">
        <v>1421</v>
      </c>
      <c r="D509" t="s">
        <v>2</v>
      </c>
      <c r="E509" t="s">
        <v>611</v>
      </c>
      <c r="F509" t="s">
        <v>13</v>
      </c>
      <c r="G509" t="s">
        <v>609</v>
      </c>
      <c r="H509" t="s">
        <v>13</v>
      </c>
      <c r="I509" t="s">
        <v>13</v>
      </c>
      <c r="K509" s="30"/>
      <c r="L509" s="8">
        <v>43082.530312499999</v>
      </c>
      <c r="M509" s="21">
        <f>LEN(ProjTextTable[[#This Row],[text]])</f>
        <v>2056</v>
      </c>
      <c r="N509" s="21">
        <f>LEN(TRIM(CLEAN(SUBSTITUTE(ProjTextTable[[#This Row],[text]],CHAR(10)," "))))+1 - LEN(SUBSTITUTE(CLEAN(SUBSTITUTE(ProjTextTable[[#This Row],[text]],CHAR(10)," "))," ",""))</f>
        <v>302</v>
      </c>
      <c r="O509" t="s">
        <v>13</v>
      </c>
      <c r="P509" t="s">
        <v>1424</v>
      </c>
    </row>
    <row r="510" spans="1:16" x14ac:dyDescent="0.4">
      <c r="A510">
        <f t="shared" si="7"/>
        <v>77</v>
      </c>
      <c r="B510" t="s">
        <v>1420</v>
      </c>
      <c r="C510" t="s">
        <v>1421</v>
      </c>
      <c r="D510" t="s">
        <v>192</v>
      </c>
      <c r="E510" t="s">
        <v>611</v>
      </c>
      <c r="F510" t="s">
        <v>1283</v>
      </c>
      <c r="G510" t="s">
        <v>1284</v>
      </c>
      <c r="H510" t="s">
        <v>1285</v>
      </c>
      <c r="I510" t="s">
        <v>201</v>
      </c>
      <c r="J510" t="s">
        <v>175</v>
      </c>
      <c r="K510" s="30">
        <v>43081</v>
      </c>
      <c r="L510" s="8">
        <v>43079.956076388888</v>
      </c>
      <c r="M510" s="21">
        <f>LEN(ProjTextTable[[#This Row],[text]])</f>
        <v>2213</v>
      </c>
      <c r="N510" s="21">
        <f>LEN(TRIM(CLEAN(SUBSTITUTE(ProjTextTable[[#This Row],[text]],CHAR(10)," "))))+1 - LEN(SUBSTITUTE(CLEAN(SUBSTITUTE(ProjTextTable[[#This Row],[text]],CHAR(10)," "))," ",""))</f>
        <v>344</v>
      </c>
      <c r="O510" t="s">
        <v>193</v>
      </c>
      <c r="P510" t="s">
        <v>1425</v>
      </c>
    </row>
    <row r="511" spans="1:16" x14ac:dyDescent="0.4">
      <c r="A511">
        <f t="shared" si="7"/>
        <v>77</v>
      </c>
      <c r="B511" t="s">
        <v>1420</v>
      </c>
      <c r="C511" t="s">
        <v>1421</v>
      </c>
      <c r="D511" t="s">
        <v>192</v>
      </c>
      <c r="E511" t="s">
        <v>611</v>
      </c>
      <c r="F511" t="s">
        <v>1308</v>
      </c>
      <c r="G511" t="s">
        <v>1065</v>
      </c>
      <c r="H511" t="s">
        <v>1309</v>
      </c>
      <c r="I511" t="s">
        <v>201</v>
      </c>
      <c r="J511" t="s">
        <v>175</v>
      </c>
      <c r="K511" s="30">
        <v>43081</v>
      </c>
      <c r="L511" s="8">
        <v>43080.396932870368</v>
      </c>
      <c r="M511" s="21">
        <f>LEN(ProjTextTable[[#This Row],[text]])</f>
        <v>3710</v>
      </c>
      <c r="N511" s="21">
        <f>LEN(TRIM(CLEAN(SUBSTITUTE(ProjTextTable[[#This Row],[text]],CHAR(10)," "))))+1 - LEN(SUBSTITUTE(CLEAN(SUBSTITUTE(ProjTextTable[[#This Row],[text]],CHAR(10)," "))," ",""))</f>
        <v>558</v>
      </c>
      <c r="O511" t="s">
        <v>199</v>
      </c>
      <c r="P511" t="s">
        <v>1426</v>
      </c>
    </row>
    <row r="512" spans="1:16" x14ac:dyDescent="0.4">
      <c r="A512">
        <f t="shared" si="7"/>
        <v>77</v>
      </c>
      <c r="B512" t="s">
        <v>1420</v>
      </c>
      <c r="C512" t="s">
        <v>1421</v>
      </c>
      <c r="D512" t="s">
        <v>192</v>
      </c>
      <c r="E512" t="s">
        <v>611</v>
      </c>
      <c r="F512" t="s">
        <v>1290</v>
      </c>
      <c r="G512" t="s">
        <v>1291</v>
      </c>
      <c r="H512" t="s">
        <v>1292</v>
      </c>
      <c r="I512" t="s">
        <v>201</v>
      </c>
      <c r="J512" t="s">
        <v>175</v>
      </c>
      <c r="K512" s="30">
        <v>43081</v>
      </c>
      <c r="L512" s="8">
        <v>43081.243587962963</v>
      </c>
      <c r="M512" s="21">
        <f>LEN(ProjTextTable[[#This Row],[text]])</f>
        <v>3486</v>
      </c>
      <c r="N512" s="21">
        <f>LEN(TRIM(CLEAN(SUBSTITUTE(ProjTextTable[[#This Row],[text]],CHAR(10)," "))))+1 - LEN(SUBSTITUTE(CLEAN(SUBSTITUTE(ProjTextTable[[#This Row],[text]],CHAR(10)," "))," ",""))</f>
        <v>497</v>
      </c>
      <c r="O512" t="s">
        <v>197</v>
      </c>
      <c r="P512" t="s">
        <v>1427</v>
      </c>
    </row>
    <row r="513" spans="1:16" x14ac:dyDescent="0.4">
      <c r="A513">
        <f t="shared" si="7"/>
        <v>77</v>
      </c>
      <c r="B513" t="s">
        <v>1420</v>
      </c>
      <c r="C513" t="s">
        <v>1421</v>
      </c>
      <c r="D513" t="s">
        <v>192</v>
      </c>
      <c r="E513" t="s">
        <v>611</v>
      </c>
      <c r="F513" t="s">
        <v>1270</v>
      </c>
      <c r="G513" t="s">
        <v>1271</v>
      </c>
      <c r="H513" t="s">
        <v>1272</v>
      </c>
      <c r="I513" t="s">
        <v>201</v>
      </c>
      <c r="J513" t="s">
        <v>175</v>
      </c>
      <c r="K513" s="30">
        <v>43081</v>
      </c>
      <c r="L513" s="8">
        <v>43078.807430555556</v>
      </c>
      <c r="M513" s="21">
        <f>LEN(ProjTextTable[[#This Row],[text]])</f>
        <v>1467</v>
      </c>
      <c r="N513" s="21">
        <f>LEN(TRIM(CLEAN(SUBSTITUTE(ProjTextTable[[#This Row],[text]],CHAR(10)," "))))+1 - LEN(SUBSTITUTE(CLEAN(SUBSTITUTE(ProjTextTable[[#This Row],[text]],CHAR(10)," "))," ",""))</f>
        <v>219</v>
      </c>
      <c r="O513" t="s">
        <v>199</v>
      </c>
      <c r="P513" t="s">
        <v>1428</v>
      </c>
    </row>
    <row r="514" spans="1:16" x14ac:dyDescent="0.4">
      <c r="A514">
        <f t="shared" ref="A514:A577" si="8">A513+(B514&lt;&gt;B513)</f>
        <v>77</v>
      </c>
      <c r="B514" t="s">
        <v>1420</v>
      </c>
      <c r="C514" t="s">
        <v>1421</v>
      </c>
      <c r="D514" t="s">
        <v>194</v>
      </c>
      <c r="E514" t="s">
        <v>611</v>
      </c>
      <c r="F514" t="s">
        <v>13</v>
      </c>
      <c r="G514" t="s">
        <v>13</v>
      </c>
      <c r="H514" t="s">
        <v>13</v>
      </c>
      <c r="K514" s="30"/>
      <c r="L514" s="8">
        <v>43006.044120370374</v>
      </c>
      <c r="M514" s="21">
        <f>LEN(ProjTextTable[[#This Row],[text]])</f>
        <v>3542</v>
      </c>
      <c r="N514" s="21">
        <f>LEN(TRIM(CLEAN(SUBSTITUTE(ProjTextTable[[#This Row],[text]],CHAR(10)," "))))+1 - LEN(SUBSTITUTE(CLEAN(SUBSTITUTE(ProjTextTable[[#This Row],[text]],CHAR(10)," "))," ",""))</f>
        <v>488</v>
      </c>
      <c r="O514" t="s">
        <v>13</v>
      </c>
      <c r="P514" t="s">
        <v>1429</v>
      </c>
    </row>
    <row r="515" spans="1:16" x14ac:dyDescent="0.4">
      <c r="B515" t="s">
        <v>200</v>
      </c>
      <c r="K515" s="30"/>
      <c r="M515"/>
      <c r="N515"/>
      <c r="P515">
        <f>SUBTOTAL(103,ProjTextTable[text])</f>
        <v>513</v>
      </c>
    </row>
  </sheetData>
  <conditionalFormatting sqref="A2:P514">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zoomScale="80" zoomScaleNormal="80" workbookViewId="0">
      <selection activeCell="C34" sqref="C34"/>
    </sheetView>
  </sheetViews>
  <sheetFormatPr defaultColWidth="9.3046875" defaultRowHeight="14.6" x14ac:dyDescent="0.4"/>
  <cols>
    <col min="1" max="1" width="16.69140625" style="64" customWidth="1"/>
    <col min="2" max="2" width="16.53515625" style="64" customWidth="1"/>
    <col min="3" max="3" width="98.53515625" style="83" customWidth="1"/>
    <col min="4" max="4" width="23.3828125" style="62" customWidth="1"/>
    <col min="5" max="5" width="12" style="62" customWidth="1"/>
    <col min="6" max="16384" width="9.3046875" style="62"/>
  </cols>
  <sheetData>
    <row r="1" spans="1:5" x14ac:dyDescent="0.4">
      <c r="A1" s="64" t="s">
        <v>263</v>
      </c>
    </row>
    <row r="2" spans="1:5" x14ac:dyDescent="0.4">
      <c r="A2" s="65" t="s">
        <v>264</v>
      </c>
      <c r="B2" s="66" t="s">
        <v>265</v>
      </c>
    </row>
    <row r="3" spans="1:5" x14ac:dyDescent="0.4">
      <c r="A3" s="65" t="s">
        <v>266</v>
      </c>
      <c r="B3" s="67" t="s">
        <v>284</v>
      </c>
    </row>
    <row r="4" spans="1:5" x14ac:dyDescent="0.4">
      <c r="A4" s="64" t="s">
        <v>267</v>
      </c>
      <c r="B4" s="66" t="s">
        <v>268</v>
      </c>
    </row>
    <row r="5" spans="1:5" x14ac:dyDescent="0.4">
      <c r="A5" s="64" t="s">
        <v>269</v>
      </c>
      <c r="B5" s="66" t="s">
        <v>270</v>
      </c>
    </row>
    <row r="6" spans="1:5" x14ac:dyDescent="0.4">
      <c r="D6" s="62" t="s">
        <v>465</v>
      </c>
      <c r="E6" s="62">
        <v>2</v>
      </c>
    </row>
    <row r="7" spans="1:5" ht="15.9" x14ac:dyDescent="0.45">
      <c r="A7" s="68" t="s">
        <v>250</v>
      </c>
      <c r="B7" s="69" t="s">
        <v>251</v>
      </c>
      <c r="D7" s="116" t="s">
        <v>470</v>
      </c>
      <c r="E7" s="114" t="s">
        <v>468</v>
      </c>
    </row>
    <row r="8" spans="1:5" ht="15.9" x14ac:dyDescent="0.45">
      <c r="A8" s="70" t="s">
        <v>255</v>
      </c>
      <c r="B8" s="71"/>
      <c r="D8" s="116" t="s">
        <v>471</v>
      </c>
      <c r="E8" s="115" t="s">
        <v>466</v>
      </c>
    </row>
    <row r="9" spans="1:5" ht="15.9" x14ac:dyDescent="0.45">
      <c r="A9" s="70" t="s">
        <v>240</v>
      </c>
      <c r="B9" s="71"/>
      <c r="D9" s="116" t="s">
        <v>472</v>
      </c>
      <c r="E9" s="115" t="s">
        <v>467</v>
      </c>
    </row>
    <row r="10" spans="1:5" ht="15.9" x14ac:dyDescent="0.45">
      <c r="A10" s="70" t="s">
        <v>254</v>
      </c>
      <c r="B10" s="71"/>
      <c r="D10" s="116" t="s">
        <v>473</v>
      </c>
      <c r="E10" s="115" t="s">
        <v>469</v>
      </c>
    </row>
    <row r="11" spans="1:5" ht="15.9" x14ac:dyDescent="0.45">
      <c r="A11" s="70" t="s">
        <v>253</v>
      </c>
      <c r="B11" s="71"/>
      <c r="D11" s="116" t="s">
        <v>474</v>
      </c>
      <c r="E11" s="115" t="s">
        <v>464</v>
      </c>
    </row>
    <row r="12" spans="1:5" x14ac:dyDescent="0.4">
      <c r="A12" s="70" t="s">
        <v>252</v>
      </c>
      <c r="B12" s="71"/>
    </row>
    <row r="13" spans="1:5" x14ac:dyDescent="0.4">
      <c r="A13" s="70" t="s">
        <v>256</v>
      </c>
      <c r="B13" s="71"/>
    </row>
    <row r="14" spans="1:5" x14ac:dyDescent="0.4">
      <c r="A14" s="70" t="s">
        <v>257</v>
      </c>
      <c r="B14" s="71"/>
    </row>
    <row r="15" spans="1:5" x14ac:dyDescent="0.4">
      <c r="A15" s="70" t="s">
        <v>244</v>
      </c>
      <c r="B15" s="71"/>
    </row>
    <row r="16" spans="1:5" x14ac:dyDescent="0.4">
      <c r="A16" s="70" t="s">
        <v>247</v>
      </c>
      <c r="B16" s="71"/>
    </row>
    <row r="17" spans="1:5" x14ac:dyDescent="0.4">
      <c r="A17" s="72" t="s">
        <v>249</v>
      </c>
      <c r="B17" s="73"/>
      <c r="D17" s="88" t="s">
        <v>407</v>
      </c>
      <c r="E17" t="s">
        <v>444</v>
      </c>
    </row>
    <row r="18" spans="1:5" x14ac:dyDescent="0.4">
      <c r="D18" s="25" t="s">
        <v>13</v>
      </c>
      <c r="E18" s="21">
        <v>9</v>
      </c>
    </row>
    <row r="19" spans="1:5" x14ac:dyDescent="0.4">
      <c r="D19" s="25" t="s">
        <v>451</v>
      </c>
      <c r="E19" s="21">
        <v>1</v>
      </c>
    </row>
    <row r="20" spans="1:5" x14ac:dyDescent="0.4">
      <c r="D20" s="25" t="s">
        <v>481</v>
      </c>
      <c r="E20" s="21">
        <v>1</v>
      </c>
    </row>
    <row r="21" spans="1:5" x14ac:dyDescent="0.4">
      <c r="D21" s="25" t="s">
        <v>511</v>
      </c>
      <c r="E21" s="21">
        <v>2</v>
      </c>
    </row>
    <row r="22" spans="1:5" x14ac:dyDescent="0.4">
      <c r="D22" s="25" t="s">
        <v>512</v>
      </c>
      <c r="E22" s="21">
        <v>1</v>
      </c>
    </row>
    <row r="23" spans="1:5" x14ac:dyDescent="0.4">
      <c r="A23" s="74" t="s">
        <v>182</v>
      </c>
      <c r="B23" s="75" t="s">
        <v>271</v>
      </c>
      <c r="C23" s="84" t="s">
        <v>272</v>
      </c>
      <c r="D23" s="25" t="s">
        <v>513</v>
      </c>
      <c r="E23" s="21">
        <v>8</v>
      </c>
    </row>
    <row r="24" spans="1:5" ht="29.7" customHeight="1" x14ac:dyDescent="0.4">
      <c r="A24" s="64" t="s">
        <v>273</v>
      </c>
      <c r="B24" s="76">
        <v>43076.559108796297</v>
      </c>
      <c r="C24" s="85" t="s">
        <v>352</v>
      </c>
      <c r="D24" s="25" t="s">
        <v>405</v>
      </c>
      <c r="E24" s="21">
        <v>22</v>
      </c>
    </row>
    <row r="25" spans="1:5" ht="35.700000000000003" customHeight="1" x14ac:dyDescent="0.4">
      <c r="A25" s="64" t="s">
        <v>274</v>
      </c>
      <c r="B25" s="76">
        <v>43076.559108796297</v>
      </c>
      <c r="C25" s="85" t="s">
        <v>383</v>
      </c>
    </row>
    <row r="26" spans="1:5" ht="35.700000000000003" customHeight="1" x14ac:dyDescent="0.4">
      <c r="A26" s="64" t="s">
        <v>275</v>
      </c>
      <c r="B26" s="76">
        <v>43076.559108796297</v>
      </c>
      <c r="C26" s="85" t="s">
        <v>384</v>
      </c>
    </row>
    <row r="27" spans="1:5" ht="35.700000000000003" customHeight="1" x14ac:dyDescent="0.4">
      <c r="A27" s="64" t="s">
        <v>276</v>
      </c>
      <c r="B27" s="76">
        <v>43076.559108796297</v>
      </c>
      <c r="C27" s="85" t="s">
        <v>385</v>
      </c>
    </row>
    <row r="28" spans="1:5" ht="35.700000000000003" customHeight="1" x14ac:dyDescent="0.4">
      <c r="A28" s="64" t="s">
        <v>277</v>
      </c>
      <c r="B28" s="76">
        <v>43076.559108796297</v>
      </c>
      <c r="C28" s="85" t="s">
        <v>386</v>
      </c>
    </row>
    <row r="29" spans="1:5" ht="35.700000000000003" customHeight="1" x14ac:dyDescent="0.4">
      <c r="A29" s="64" t="s">
        <v>278</v>
      </c>
      <c r="B29" s="76">
        <v>43077.112500000003</v>
      </c>
      <c r="C29" s="85" t="s">
        <v>487</v>
      </c>
    </row>
    <row r="30" spans="1:5" ht="35.700000000000003" customHeight="1" x14ac:dyDescent="0.4">
      <c r="A30" s="64" t="s">
        <v>279</v>
      </c>
      <c r="B30" s="76">
        <v>43076.559108796297</v>
      </c>
      <c r="C30" s="85" t="s">
        <v>445</v>
      </c>
    </row>
    <row r="31" spans="1:5" ht="35.700000000000003" customHeight="1" x14ac:dyDescent="0.4">
      <c r="A31" s="64" t="s">
        <v>280</v>
      </c>
      <c r="B31" s="76">
        <v>43076.559108796297</v>
      </c>
      <c r="C31" s="85" t="s">
        <v>353</v>
      </c>
    </row>
    <row r="32" spans="1:5" ht="35.700000000000003" customHeight="1" x14ac:dyDescent="0.4">
      <c r="A32" s="64" t="s">
        <v>281</v>
      </c>
      <c r="B32" s="76">
        <v>43076.559108796297</v>
      </c>
      <c r="C32" s="85" t="s">
        <v>389</v>
      </c>
    </row>
    <row r="33" spans="1:3" ht="35.700000000000003" customHeight="1" x14ac:dyDescent="0.4">
      <c r="A33" s="64" t="s">
        <v>282</v>
      </c>
      <c r="B33" s="76">
        <v>43076.559108796297</v>
      </c>
      <c r="C33" s="85" t="s">
        <v>388</v>
      </c>
    </row>
    <row r="34" spans="1:3" ht="35.700000000000003" customHeight="1" x14ac:dyDescent="0.4">
      <c r="A34" s="64" t="s">
        <v>349</v>
      </c>
      <c r="B34" s="76">
        <v>43082.47148148148</v>
      </c>
      <c r="C34" s="85" t="s">
        <v>575</v>
      </c>
    </row>
    <row r="35" spans="1:3" ht="35.700000000000003" customHeight="1" x14ac:dyDescent="0.4">
      <c r="A35" s="64" t="s">
        <v>351</v>
      </c>
      <c r="B35" s="76">
        <v>43076.559108796297</v>
      </c>
      <c r="C35" s="85" t="s">
        <v>446</v>
      </c>
    </row>
    <row r="36" spans="1:3" ht="35.700000000000003" customHeight="1" x14ac:dyDescent="0.4">
      <c r="A36" s="64" t="s">
        <v>350</v>
      </c>
      <c r="B36" s="76">
        <v>43076.559108796297</v>
      </c>
      <c r="C36" s="85" t="s">
        <v>402</v>
      </c>
    </row>
    <row r="37" spans="1:3" ht="36" customHeight="1" x14ac:dyDescent="0.4">
      <c r="A37" s="64" t="s">
        <v>387</v>
      </c>
      <c r="B37" s="76">
        <v>43076.559108796297</v>
      </c>
      <c r="C37" s="85" t="s">
        <v>462</v>
      </c>
    </row>
    <row r="38" spans="1:3" ht="36" customHeight="1" x14ac:dyDescent="0.4">
      <c r="A38" s="64" t="s">
        <v>354</v>
      </c>
      <c r="B38" s="76">
        <v>43076.559108796297</v>
      </c>
      <c r="C38" s="85" t="s">
        <v>480</v>
      </c>
    </row>
    <row r="39" spans="1:3" ht="24.45" customHeight="1" x14ac:dyDescent="0.4">
      <c r="A39" s="64" t="s">
        <v>460</v>
      </c>
      <c r="B39" s="76">
        <v>43076.559108796297</v>
      </c>
      <c r="C39" s="85" t="s">
        <v>461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48</vt:i4>
      </vt:variant>
    </vt:vector>
  </HeadingPairs>
  <TitlesOfParts>
    <vt:vector size="58"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2017-12-14T16:44:18Z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