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drawings/drawing5.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drawings/drawing6.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queryTables/queryTable6.xml" ContentType="application/vnd.openxmlformats-officedocument.spreadsheetml.queryTable+xml"/>
  <Override PartName="/xl/comments4.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pivotTables/pivotTable1.xml" ContentType="application/vnd.openxmlformats-officedocument.spreadsheetml.pivotTable+xml"/>
  <Override PartName="/xl/drawings/drawing8.xml" ContentType="application/vnd.openxmlformats-officedocument.drawing+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queryTables/queryTable8.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37" windowHeight="5186" activeTab="6"/>
  </bookViews>
  <sheets>
    <sheet name="RoboRA" sheetId="7" r:id="rId1"/>
    <sheet name="ckCoding" sheetId="3" r:id="rId2"/>
    <sheet name="ckAwd" sheetId="10" r:id="rId3"/>
    <sheet name="Budgets" sheetId="13" r:id="rId4"/>
    <sheet name="PRCs" sheetId="11" r:id="rId5"/>
    <sheet name="RAData" sheetId="2" r:id="rId6"/>
    <sheet name="Advanced" sheetId="1" r:id="rId7"/>
    <sheet name="ckSplits" sheetId="12" r:id="rId8"/>
    <sheet name="ProjText" sheetId="6" r:id="rId9"/>
    <sheet name="HiddenSettings" sheetId="9" state="hidden" r:id="rId10"/>
  </sheets>
  <functionGroups builtInGroupCount="18"/>
  <definedNames>
    <definedName name="AwdTemplate">RoboRA!$B$11</definedName>
    <definedName name="codes_prop_stts">HiddenSettings!$E$7:$E$11</definedName>
    <definedName name="DeclTemplate">RoboRA!$E$11</definedName>
    <definedName name="delaytime">RoboRA!$L$8</definedName>
    <definedName name="dir_div_abbr">Advanced!$E$17</definedName>
    <definedName name="dirRAoutput">Advanced!$J$8</definedName>
    <definedName name="dirRAtemplate">Advanced!$J$6</definedName>
    <definedName name="fiscalyear" localSheetId="3">Budgets!$M$2</definedName>
    <definedName name="from_date">Advanced!$F$12</definedName>
    <definedName name="Mac_connect_string" localSheetId="9">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9">HiddenSettings!$B$4</definedName>
    <definedName name="pgm_annc_id">Advanced!$E$15</definedName>
    <definedName name="pgm_ele_code">Advanced!$E$18</definedName>
    <definedName name="PO_id">Budgets!$K$2</definedName>
    <definedName name="prop_atr_code">Advanced!$E$22</definedName>
    <definedName name="prop_stts_abbr">Advanced!#REF!</definedName>
    <definedName name="prop_stts_code" localSheetId="6">Advanced!$E$23</definedName>
    <definedName name="prop_titl_txt">Advanced!$E$21</definedName>
    <definedName name="Query_from_RPTSERVER" localSheetId="3" hidden="1">Budgets!$A$3:$AD$473</definedName>
    <definedName name="Query_from_RPTSERVER" localSheetId="2" hidden="1">ckAwd!$A$1:$AX$96</definedName>
    <definedName name="Query_from_RPTSERVER" localSheetId="1" hidden="1">ckCoding!$A$1:$BL$96</definedName>
    <definedName name="Query_from_RPTSERVER" localSheetId="7" hidden="1">ckSplits!$A$1:$AH$2</definedName>
    <definedName name="Query_from_RPTSERVER" localSheetId="4" hidden="1">PRCs!$A$2:$B$13</definedName>
    <definedName name="Query_from_RPTSERVER" localSheetId="8" hidden="1">ProjText!$B$1:$P$514</definedName>
    <definedName name="Query_from_RPTSERVER" localSheetId="5" hidden="1">RAData!$A$1:$EC$79</definedName>
    <definedName name="Query_from_RPTSERVER_1" localSheetId="4" hidden="1">PRCs!$D$2:$E$5</definedName>
    <definedName name="query_params" localSheetId="6">Advanced!$E$12:$F$22</definedName>
    <definedName name="query_params" localSheetId="9">HiddenSettings!$A$7:$B$17</definedName>
    <definedName name="RA_allRAdata" localSheetId="9">HiddenSettings!$C$30</definedName>
    <definedName name="RA_awdCheck" localSheetId="9">HiddenSettings!$C$32</definedName>
    <definedName name="RA_budgBlocks" localSheetId="9">HiddenSettings!$C$35</definedName>
    <definedName name="RA_leads" localSheetId="9">HiddenSettings!$C$25</definedName>
    <definedName name="RA_panl" localSheetId="9">HiddenSettings!$C$29</definedName>
    <definedName name="RA_PECglossary" localSheetId="9">HiddenSettings!$C$39</definedName>
    <definedName name="RA_pidCreate" localSheetId="9">HiddenSettings!$C$37</definedName>
    <definedName name="RA_pidSelect" localSheetId="9">HiddenSettings!$C$38</definedName>
    <definedName name="RA_PRCglossary" localSheetId="9">HiddenSettings!$C$31</definedName>
    <definedName name="RA_projText" localSheetId="9">HiddenSettings!$C$34</definedName>
    <definedName name="RA_prop" localSheetId="9">HiddenSettings!$C$27</definedName>
    <definedName name="RA_propCheck" localSheetId="9">HiddenSettings!$C$33</definedName>
    <definedName name="RA_propPRCs" localSheetId="9">HiddenSettings!$C$26</definedName>
    <definedName name="RA_revs" localSheetId="9">HiddenSettings!$C$28</definedName>
    <definedName name="RA_splits" localSheetId="9">HiddenSettings!$C$36</definedName>
    <definedName name="revtable" localSheetId="9">HiddenSettings!$C$24</definedName>
    <definedName name="rpt_pwd" comment="reportserver password" localSheetId="9">HiddenSettings!$B$3</definedName>
    <definedName name="select_prop_stts">HiddenSettings!$E$6</definedName>
    <definedName name="signer1">RoboRA!$M$11</definedName>
    <definedName name="signer2">RoboRA!$M$12</definedName>
    <definedName name="StdDeclTemplate">RoboRA!$H$11</definedName>
    <definedName name="to_date">Advanced!$E$12</definedName>
    <definedName name="user_id" comment="reportserver user_id" localSheetId="9">HiddenSettings!$B$2</definedName>
  </definedNames>
  <calcPr calcId="171027" concurrentCalc="0"/>
  <pivotCaches>
    <pivotCache cacheId="0" r:id="rId11"/>
    <pivotCache cacheId="7"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10" l="1"/>
  <c r="M3" i="10"/>
  <c r="M4" i="10"/>
  <c r="M5" i="10"/>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P2" i="10"/>
  <c r="P3" i="10"/>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W2" i="10"/>
  <c r="W3" i="10"/>
  <c r="W4" i="10"/>
  <c r="W5" i="10"/>
  <c r="W6" i="10"/>
  <c r="W7" i="10"/>
  <c r="W8" i="10"/>
  <c r="W9" i="10"/>
  <c r="W10" i="10"/>
  <c r="W11" i="10"/>
  <c r="W12" i="10"/>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W40" i="10"/>
  <c r="W41" i="10"/>
  <c r="W42" i="10"/>
  <c r="W43" i="10"/>
  <c r="W44" i="10"/>
  <c r="W45" i="10"/>
  <c r="W46" i="10"/>
  <c r="W47" i="10"/>
  <c r="W48" i="10"/>
  <c r="W49" i="10"/>
  <c r="W50" i="10"/>
  <c r="W51" i="10"/>
  <c r="W52" i="10"/>
  <c r="W53" i="10"/>
  <c r="W54" i="10"/>
  <c r="W55" i="10"/>
  <c r="W56" i="10"/>
  <c r="W57" i="10"/>
  <c r="W58" i="10"/>
  <c r="W59" i="10"/>
  <c r="W60" i="10"/>
  <c r="W61" i="10"/>
  <c r="W62" i="10"/>
  <c r="W63" i="10"/>
  <c r="W64" i="10"/>
  <c r="W65" i="10"/>
  <c r="W66" i="10"/>
  <c r="W67" i="10"/>
  <c r="W68" i="10"/>
  <c r="W69" i="10"/>
  <c r="W70" i="10"/>
  <c r="W71" i="10"/>
  <c r="W72" i="10"/>
  <c r="W73" i="10"/>
  <c r="W74" i="10"/>
  <c r="W75" i="10"/>
  <c r="W76" i="10"/>
  <c r="W77" i="10"/>
  <c r="W78" i="10"/>
  <c r="W79" i="10"/>
  <c r="W80" i="10"/>
  <c r="W81" i="10"/>
  <c r="W82" i="10"/>
  <c r="W83" i="10"/>
  <c r="W84" i="10"/>
  <c r="W85" i="10"/>
  <c r="W86" i="10"/>
  <c r="W87" i="10"/>
  <c r="W88" i="10"/>
  <c r="W89" i="10"/>
  <c r="W90" i="10"/>
  <c r="W91" i="10"/>
  <c r="W92" i="10"/>
  <c r="W93" i="10"/>
  <c r="W94" i="10"/>
  <c r="W95" i="10"/>
  <c r="W96" i="10"/>
  <c r="AT2" i="10"/>
  <c r="AT3" i="10"/>
  <c r="AT4" i="10"/>
  <c r="AT5" i="10"/>
  <c r="AT6" i="10"/>
  <c r="AT7" i="10"/>
  <c r="AT8" i="10"/>
  <c r="AT9" i="10"/>
  <c r="AT10" i="10"/>
  <c r="AT11" i="10"/>
  <c r="AT12" i="10"/>
  <c r="AT13" i="10"/>
  <c r="AT14" i="10"/>
  <c r="AT15" i="10"/>
  <c r="AT16" i="10"/>
  <c r="AT17" i="10"/>
  <c r="AT18" i="10"/>
  <c r="AT19" i="10"/>
  <c r="AT20" i="10"/>
  <c r="AT21" i="10"/>
  <c r="AT22" i="10"/>
  <c r="AT23" i="10"/>
  <c r="AT24" i="10"/>
  <c r="AT25" i="10"/>
  <c r="AT26" i="10"/>
  <c r="AT27" i="10"/>
  <c r="AT28" i="10"/>
  <c r="AT29" i="10"/>
  <c r="AT30" i="10"/>
  <c r="AT31" i="10"/>
  <c r="AT32" i="10"/>
  <c r="AT33" i="10"/>
  <c r="AT34" i="10"/>
  <c r="AT35" i="10"/>
  <c r="AT36" i="10"/>
  <c r="AT37" i="10"/>
  <c r="AT38" i="10"/>
  <c r="AT39" i="10"/>
  <c r="AT40" i="10"/>
  <c r="AT41" i="10"/>
  <c r="AT42" i="10"/>
  <c r="AT43" i="10"/>
  <c r="AT44" i="10"/>
  <c r="AT45" i="10"/>
  <c r="AT46" i="10"/>
  <c r="AT47" i="10"/>
  <c r="AT48" i="10"/>
  <c r="AT49" i="10"/>
  <c r="AT50" i="10"/>
  <c r="AT51" i="10"/>
  <c r="AT52" i="10"/>
  <c r="AT53" i="10"/>
  <c r="AT54" i="10"/>
  <c r="AT55" i="10"/>
  <c r="AT56" i="10"/>
  <c r="AT57" i="10"/>
  <c r="AT58" i="10"/>
  <c r="AT59" i="10"/>
  <c r="AT60" i="10"/>
  <c r="AT61" i="10"/>
  <c r="AT62" i="10"/>
  <c r="AT63" i="10"/>
  <c r="AT64" i="10"/>
  <c r="AT65" i="10"/>
  <c r="AT66" i="10"/>
  <c r="AT67" i="10"/>
  <c r="AT68" i="10"/>
  <c r="AT69" i="10"/>
  <c r="AT70" i="10"/>
  <c r="AT71" i="10"/>
  <c r="AT72" i="10"/>
  <c r="AT73" i="10"/>
  <c r="AT74" i="10"/>
  <c r="AT75" i="10"/>
  <c r="AT76" i="10"/>
  <c r="AT77" i="10"/>
  <c r="AT78" i="10"/>
  <c r="AT79" i="10"/>
  <c r="AT80" i="10"/>
  <c r="AT81" i="10"/>
  <c r="AT82" i="10"/>
  <c r="AT83" i="10"/>
  <c r="AT84" i="10"/>
  <c r="AT85" i="10"/>
  <c r="AT86" i="10"/>
  <c r="AT87" i="10"/>
  <c r="AT88" i="10"/>
  <c r="AT89" i="10"/>
  <c r="AT90" i="10"/>
  <c r="AT91" i="10"/>
  <c r="AT92" i="10"/>
  <c r="AT93" i="10"/>
  <c r="AT94" i="10"/>
  <c r="AT95" i="10"/>
  <c r="AT96" i="10"/>
  <c r="AW2" i="10"/>
  <c r="AW3" i="10"/>
  <c r="AW4" i="10"/>
  <c r="AW5" i="10"/>
  <c r="AW6" i="10"/>
  <c r="AW7" i="10"/>
  <c r="AW8" i="10"/>
  <c r="AW9" i="10"/>
  <c r="AW10" i="10"/>
  <c r="AW11" i="10"/>
  <c r="AW12" i="10"/>
  <c r="AW13" i="10"/>
  <c r="AW14" i="10"/>
  <c r="AW15" i="10"/>
  <c r="AW16" i="10"/>
  <c r="AW17" i="10"/>
  <c r="AW18" i="10"/>
  <c r="AW19" i="10"/>
  <c r="AW20" i="10"/>
  <c r="AW21" i="10"/>
  <c r="AW22" i="10"/>
  <c r="AW23" i="10"/>
  <c r="AW24" i="10"/>
  <c r="AW25" i="10"/>
  <c r="AW26" i="10"/>
  <c r="AW27" i="10"/>
  <c r="AW28" i="10"/>
  <c r="AW29" i="10"/>
  <c r="AW30" i="10"/>
  <c r="AW31" i="10"/>
  <c r="AW32" i="10"/>
  <c r="AW33" i="10"/>
  <c r="AW34" i="10"/>
  <c r="AW35" i="10"/>
  <c r="AW36" i="10"/>
  <c r="AW37" i="10"/>
  <c r="AW38" i="10"/>
  <c r="AW39" i="10"/>
  <c r="AW40" i="10"/>
  <c r="AW41" i="10"/>
  <c r="AW42" i="10"/>
  <c r="AW43" i="10"/>
  <c r="AW44" i="10"/>
  <c r="AW45" i="10"/>
  <c r="AW46" i="10"/>
  <c r="AW47" i="10"/>
  <c r="AW48" i="10"/>
  <c r="AW49" i="10"/>
  <c r="AW50" i="10"/>
  <c r="AW51" i="10"/>
  <c r="AW52" i="10"/>
  <c r="AW53" i="10"/>
  <c r="AW54" i="10"/>
  <c r="AW55" i="10"/>
  <c r="AW56" i="10"/>
  <c r="AW57" i="10"/>
  <c r="AW58" i="10"/>
  <c r="AW59" i="10"/>
  <c r="AW60" i="10"/>
  <c r="AW61" i="10"/>
  <c r="AW62" i="10"/>
  <c r="AW63" i="10"/>
  <c r="AW64" i="10"/>
  <c r="AW65" i="10"/>
  <c r="AW66" i="10"/>
  <c r="AW67" i="10"/>
  <c r="AW68" i="10"/>
  <c r="AW69" i="10"/>
  <c r="AW70" i="10"/>
  <c r="AW71" i="10"/>
  <c r="AW72" i="10"/>
  <c r="AW73" i="10"/>
  <c r="AW74" i="10"/>
  <c r="AW75" i="10"/>
  <c r="AW76" i="10"/>
  <c r="AW77" i="10"/>
  <c r="AW78" i="10"/>
  <c r="AW79" i="10"/>
  <c r="AW80" i="10"/>
  <c r="AW81" i="10"/>
  <c r="AW82" i="10"/>
  <c r="AW83" i="10"/>
  <c r="AW84" i="10"/>
  <c r="AW85" i="10"/>
  <c r="AW86" i="10"/>
  <c r="AW87" i="10"/>
  <c r="AW88" i="10"/>
  <c r="AW89" i="10"/>
  <c r="AW90" i="10"/>
  <c r="AW91" i="10"/>
  <c r="AW92" i="10"/>
  <c r="AW93" i="10"/>
  <c r="AW94" i="10"/>
  <c r="AW95" i="10"/>
  <c r="AW96" i="10"/>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C293" i="13"/>
  <c r="C294" i="13"/>
  <c r="C295" i="13"/>
  <c r="C296" i="13"/>
  <c r="C297" i="13"/>
  <c r="C298" i="13"/>
  <c r="C299" i="13"/>
  <c r="C300" i="13"/>
  <c r="C301" i="13"/>
  <c r="C302" i="13"/>
  <c r="C303" i="13"/>
  <c r="C304" i="13"/>
  <c r="C305" i="13"/>
  <c r="C306" i="13"/>
  <c r="C307" i="13"/>
  <c r="C308" i="13"/>
  <c r="C309" i="13"/>
  <c r="C310" i="13"/>
  <c r="C311" i="13"/>
  <c r="C312" i="13"/>
  <c r="C313" i="13"/>
  <c r="C314" i="13"/>
  <c r="C315" i="13"/>
  <c r="C316" i="13"/>
  <c r="C317" i="13"/>
  <c r="C318" i="13"/>
  <c r="C319" i="13"/>
  <c r="C320" i="13"/>
  <c r="C321" i="13"/>
  <c r="C322" i="13"/>
  <c r="C323" i="13"/>
  <c r="C324" i="13"/>
  <c r="C325" i="13"/>
  <c r="C326" i="13"/>
  <c r="C327" i="13"/>
  <c r="C328" i="13"/>
  <c r="C329" i="13"/>
  <c r="C330" i="13"/>
  <c r="C331" i="13"/>
  <c r="C332" i="13"/>
  <c r="C333" i="13"/>
  <c r="C334" i="13"/>
  <c r="C335" i="13"/>
  <c r="C336" i="13"/>
  <c r="C337" i="13"/>
  <c r="C338" i="13"/>
  <c r="C339" i="13"/>
  <c r="C340" i="13"/>
  <c r="C341" i="13"/>
  <c r="C342" i="13"/>
  <c r="C343" i="13"/>
  <c r="C344" i="13"/>
  <c r="C345" i="13"/>
  <c r="C346" i="13"/>
  <c r="C347" i="13"/>
  <c r="C348" i="13"/>
  <c r="C349" i="13"/>
  <c r="C350" i="13"/>
  <c r="C351" i="13"/>
  <c r="C352" i="13"/>
  <c r="C353" i="13"/>
  <c r="C354" i="13"/>
  <c r="C355" i="13"/>
  <c r="C356" i="13"/>
  <c r="C357" i="13"/>
  <c r="C358" i="13"/>
  <c r="C359" i="13"/>
  <c r="C360" i="13"/>
  <c r="C361" i="13"/>
  <c r="C362" i="13"/>
  <c r="C363" i="13"/>
  <c r="C364" i="13"/>
  <c r="C365" i="13"/>
  <c r="C366" i="13"/>
  <c r="C367" i="13"/>
  <c r="C368" i="13"/>
  <c r="C369" i="13"/>
  <c r="C370" i="13"/>
  <c r="C371" i="13"/>
  <c r="C372" i="13"/>
  <c r="C373" i="13"/>
  <c r="C374" i="13"/>
  <c r="C375" i="13"/>
  <c r="C376" i="13"/>
  <c r="C377" i="13"/>
  <c r="C378" i="13"/>
  <c r="C379" i="13"/>
  <c r="C380" i="13"/>
  <c r="C381" i="13"/>
  <c r="C382" i="13"/>
  <c r="C383" i="13"/>
  <c r="C384" i="13"/>
  <c r="C385" i="13"/>
  <c r="C386" i="13"/>
  <c r="C387" i="13"/>
  <c r="C388" i="13"/>
  <c r="C389" i="13"/>
  <c r="C390" i="13"/>
  <c r="C391" i="13"/>
  <c r="C392" i="13"/>
  <c r="C393" i="13"/>
  <c r="C394" i="13"/>
  <c r="C395" i="13"/>
  <c r="C396" i="13"/>
  <c r="C397" i="13"/>
  <c r="C398" i="13"/>
  <c r="C399" i="13"/>
  <c r="C400" i="13"/>
  <c r="C401" i="13"/>
  <c r="C402" i="13"/>
  <c r="C403" i="13"/>
  <c r="C404" i="13"/>
  <c r="C405" i="13"/>
  <c r="C406" i="13"/>
  <c r="C407" i="13"/>
  <c r="C408" i="13"/>
  <c r="C409" i="13"/>
  <c r="C410" i="13"/>
  <c r="C411" i="13"/>
  <c r="C412" i="13"/>
  <c r="C413" i="13"/>
  <c r="C414" i="13"/>
  <c r="C415" i="13"/>
  <c r="C416" i="13"/>
  <c r="C417" i="13"/>
  <c r="C418" i="13"/>
  <c r="C419" i="13"/>
  <c r="C420" i="13"/>
  <c r="C421" i="13"/>
  <c r="C422" i="13"/>
  <c r="C423" i="13"/>
  <c r="C424" i="13"/>
  <c r="C425" i="13"/>
  <c r="C426" i="13"/>
  <c r="C427" i="13"/>
  <c r="C428" i="13"/>
  <c r="C429" i="13"/>
  <c r="C430" i="13"/>
  <c r="C431" i="13"/>
  <c r="C432" i="13"/>
  <c r="C433" i="13"/>
  <c r="C434" i="13"/>
  <c r="C435" i="13"/>
  <c r="C436" i="13"/>
  <c r="C437" i="13"/>
  <c r="C438" i="13"/>
  <c r="C439" i="13"/>
  <c r="C440" i="13"/>
  <c r="C441" i="13"/>
  <c r="C442" i="13"/>
  <c r="C443" i="13"/>
  <c r="C444" i="13"/>
  <c r="C445" i="13"/>
  <c r="C446" i="13"/>
  <c r="C447" i="13"/>
  <c r="C448" i="13"/>
  <c r="C449" i="13"/>
  <c r="C450" i="13"/>
  <c r="C451" i="13"/>
  <c r="C452" i="13"/>
  <c r="C453" i="13"/>
  <c r="C454" i="13"/>
  <c r="C455" i="13"/>
  <c r="C456" i="13"/>
  <c r="C457" i="13"/>
  <c r="C458" i="13"/>
  <c r="C459" i="13"/>
  <c r="C460" i="13"/>
  <c r="C461" i="13"/>
  <c r="C462" i="13"/>
  <c r="C463" i="13"/>
  <c r="C464" i="13"/>
  <c r="C465" i="13"/>
  <c r="C466" i="13"/>
  <c r="C467" i="13"/>
  <c r="C468" i="13"/>
  <c r="C469" i="13"/>
  <c r="C470" i="13"/>
  <c r="C471" i="13"/>
  <c r="C472" i="13"/>
  <c r="C47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108" i="13"/>
  <c r="L109" i="13"/>
  <c r="L110" i="13"/>
  <c r="L111" i="13"/>
  <c r="L112" i="13"/>
  <c r="L113" i="13"/>
  <c r="L114" i="13"/>
  <c r="L115" i="13"/>
  <c r="L116" i="13"/>
  <c r="L117" i="13"/>
  <c r="L118" i="13"/>
  <c r="L119" i="13"/>
  <c r="L120" i="13"/>
  <c r="L121" i="13"/>
  <c r="L122" i="13"/>
  <c r="L123" i="13"/>
  <c r="L124" i="13"/>
  <c r="L125" i="13"/>
  <c r="L126" i="13"/>
  <c r="L127" i="13"/>
  <c r="L128" i="13"/>
  <c r="L129" i="13"/>
  <c r="L130" i="13"/>
  <c r="L131" i="13"/>
  <c r="L132" i="13"/>
  <c r="L133" i="13"/>
  <c r="L134" i="13"/>
  <c r="L135" i="13"/>
  <c r="L136" i="13"/>
  <c r="L137" i="13"/>
  <c r="L138" i="13"/>
  <c r="L139" i="13"/>
  <c r="L140" i="13"/>
  <c r="L141" i="13"/>
  <c r="L142" i="13"/>
  <c r="L143" i="13"/>
  <c r="L144" i="13"/>
  <c r="L145" i="13"/>
  <c r="L146" i="13"/>
  <c r="L147" i="13"/>
  <c r="L148" i="13"/>
  <c r="L149" i="13"/>
  <c r="L150" i="13"/>
  <c r="L151" i="13"/>
  <c r="L152" i="13"/>
  <c r="L153" i="13"/>
  <c r="L154" i="13"/>
  <c r="L155" i="13"/>
  <c r="L156" i="13"/>
  <c r="L157" i="13"/>
  <c r="L158" i="13"/>
  <c r="L159" i="13"/>
  <c r="L160" i="13"/>
  <c r="L161" i="13"/>
  <c r="L162" i="13"/>
  <c r="L163" i="13"/>
  <c r="L164" i="13"/>
  <c r="L165" i="13"/>
  <c r="L166" i="13"/>
  <c r="L167" i="13"/>
  <c r="L168" i="13"/>
  <c r="L169" i="13"/>
  <c r="L170" i="13"/>
  <c r="L171" i="13"/>
  <c r="L172" i="13"/>
  <c r="L173" i="13"/>
  <c r="L174" i="13"/>
  <c r="L175" i="13"/>
  <c r="L176" i="13"/>
  <c r="L177" i="13"/>
  <c r="L178" i="13"/>
  <c r="L179" i="13"/>
  <c r="L180" i="13"/>
  <c r="L181" i="13"/>
  <c r="L182" i="13"/>
  <c r="L183" i="13"/>
  <c r="L184" i="13"/>
  <c r="L185" i="13"/>
  <c r="L186" i="13"/>
  <c r="L187" i="13"/>
  <c r="L188" i="13"/>
  <c r="L189" i="13"/>
  <c r="L190" i="13"/>
  <c r="L191" i="13"/>
  <c r="L192" i="13"/>
  <c r="L193" i="13"/>
  <c r="L194" i="13"/>
  <c r="L195" i="13"/>
  <c r="L196" i="13"/>
  <c r="L197" i="13"/>
  <c r="L198" i="13"/>
  <c r="L199" i="13"/>
  <c r="L200" i="13"/>
  <c r="L201" i="13"/>
  <c r="L202" i="13"/>
  <c r="L203" i="13"/>
  <c r="L204" i="13"/>
  <c r="L205" i="13"/>
  <c r="L206" i="13"/>
  <c r="L207" i="13"/>
  <c r="L208" i="13"/>
  <c r="L209" i="13"/>
  <c r="L210" i="13"/>
  <c r="L211" i="13"/>
  <c r="L212" i="13"/>
  <c r="L213" i="13"/>
  <c r="L214" i="13"/>
  <c r="L215" i="13"/>
  <c r="L216" i="13"/>
  <c r="L217" i="13"/>
  <c r="L218" i="13"/>
  <c r="L219" i="13"/>
  <c r="L220" i="13"/>
  <c r="L221" i="13"/>
  <c r="L222" i="13"/>
  <c r="L223" i="13"/>
  <c r="L224" i="13"/>
  <c r="L225" i="13"/>
  <c r="L226" i="13"/>
  <c r="L227" i="13"/>
  <c r="L228" i="13"/>
  <c r="L229" i="13"/>
  <c r="L230" i="13"/>
  <c r="L231" i="13"/>
  <c r="L232" i="13"/>
  <c r="L233" i="13"/>
  <c r="L234" i="13"/>
  <c r="L235" i="13"/>
  <c r="L236" i="13"/>
  <c r="L237" i="13"/>
  <c r="L238" i="13"/>
  <c r="L239" i="13"/>
  <c r="L240" i="13"/>
  <c r="L241" i="13"/>
  <c r="L242" i="13"/>
  <c r="L243" i="13"/>
  <c r="L244" i="13"/>
  <c r="L245" i="13"/>
  <c r="L246" i="13"/>
  <c r="L247" i="13"/>
  <c r="L248" i="13"/>
  <c r="L249" i="13"/>
  <c r="L250" i="13"/>
  <c r="L251" i="13"/>
  <c r="L252" i="13"/>
  <c r="L253" i="13"/>
  <c r="L254" i="13"/>
  <c r="L255" i="13"/>
  <c r="L256" i="13"/>
  <c r="L257" i="13"/>
  <c r="L258" i="13"/>
  <c r="L259" i="13"/>
  <c r="L260" i="13"/>
  <c r="L261" i="13"/>
  <c r="L262" i="13"/>
  <c r="L263" i="13"/>
  <c r="L264" i="13"/>
  <c r="L265" i="13"/>
  <c r="L266" i="13"/>
  <c r="L267" i="13"/>
  <c r="L268" i="13"/>
  <c r="L269" i="13"/>
  <c r="L270" i="13"/>
  <c r="L271" i="13"/>
  <c r="L272" i="13"/>
  <c r="L273" i="13"/>
  <c r="L274" i="13"/>
  <c r="L275" i="13"/>
  <c r="L276" i="13"/>
  <c r="L277" i="13"/>
  <c r="L278" i="13"/>
  <c r="L279" i="13"/>
  <c r="L280" i="13"/>
  <c r="L281" i="13"/>
  <c r="L282" i="13"/>
  <c r="L283" i="13"/>
  <c r="L284" i="13"/>
  <c r="L285" i="13"/>
  <c r="L286" i="13"/>
  <c r="L287" i="13"/>
  <c r="L288" i="13"/>
  <c r="L289" i="13"/>
  <c r="L290" i="13"/>
  <c r="L291" i="13"/>
  <c r="L292" i="13"/>
  <c r="L293" i="13"/>
  <c r="L294" i="13"/>
  <c r="L295" i="13"/>
  <c r="L296" i="13"/>
  <c r="L297" i="13"/>
  <c r="L298" i="13"/>
  <c r="L299" i="13"/>
  <c r="L300" i="13"/>
  <c r="L301" i="13"/>
  <c r="L302" i="13"/>
  <c r="L303" i="13"/>
  <c r="L304" i="13"/>
  <c r="L305" i="13"/>
  <c r="L306" i="13"/>
  <c r="L307" i="13"/>
  <c r="L308" i="13"/>
  <c r="L309" i="13"/>
  <c r="L310" i="13"/>
  <c r="L311" i="13"/>
  <c r="L312" i="13"/>
  <c r="L313" i="13"/>
  <c r="L314" i="13"/>
  <c r="L315" i="13"/>
  <c r="L316" i="13"/>
  <c r="L317" i="13"/>
  <c r="L318" i="13"/>
  <c r="L319" i="13"/>
  <c r="L320" i="13"/>
  <c r="L321" i="13"/>
  <c r="L322" i="13"/>
  <c r="L323" i="13"/>
  <c r="L324" i="13"/>
  <c r="L325" i="13"/>
  <c r="L326" i="13"/>
  <c r="L327" i="13"/>
  <c r="L328" i="13"/>
  <c r="L329" i="13"/>
  <c r="L330" i="13"/>
  <c r="L331" i="13"/>
  <c r="L332" i="13"/>
  <c r="L333" i="13"/>
  <c r="L334" i="13"/>
  <c r="L335" i="13"/>
  <c r="L336" i="13"/>
  <c r="L337" i="13"/>
  <c r="L338" i="13"/>
  <c r="L339" i="13"/>
  <c r="L340" i="13"/>
  <c r="L341" i="13"/>
  <c r="L342" i="13"/>
  <c r="L343" i="13"/>
  <c r="L344" i="13"/>
  <c r="L345" i="13"/>
  <c r="L346" i="13"/>
  <c r="L347" i="13"/>
  <c r="L348" i="13"/>
  <c r="L349" i="13"/>
  <c r="L350" i="13"/>
  <c r="L351" i="13"/>
  <c r="L352" i="13"/>
  <c r="L353" i="13"/>
  <c r="L354" i="13"/>
  <c r="L355" i="13"/>
  <c r="L356" i="13"/>
  <c r="L357" i="13"/>
  <c r="L358" i="13"/>
  <c r="L359" i="13"/>
  <c r="L360" i="13"/>
  <c r="L361" i="13"/>
  <c r="L362" i="13"/>
  <c r="L363" i="13"/>
  <c r="L364" i="13"/>
  <c r="L365" i="13"/>
  <c r="L366" i="13"/>
  <c r="L367" i="13"/>
  <c r="L368" i="13"/>
  <c r="L369" i="13"/>
  <c r="L370" i="13"/>
  <c r="L371" i="13"/>
  <c r="L372" i="13"/>
  <c r="L373" i="13"/>
  <c r="L374" i="13"/>
  <c r="L375" i="13"/>
  <c r="L376" i="13"/>
  <c r="L377" i="13"/>
  <c r="L378" i="13"/>
  <c r="L379" i="13"/>
  <c r="L380" i="13"/>
  <c r="L381" i="13"/>
  <c r="L382" i="13"/>
  <c r="L383" i="13"/>
  <c r="L384" i="13"/>
  <c r="L385" i="13"/>
  <c r="L386" i="13"/>
  <c r="L387" i="13"/>
  <c r="L388" i="13"/>
  <c r="L389" i="13"/>
  <c r="L390" i="13"/>
  <c r="L391" i="13"/>
  <c r="L392" i="13"/>
  <c r="L393" i="13"/>
  <c r="L394" i="13"/>
  <c r="L395" i="13"/>
  <c r="L396" i="13"/>
  <c r="L397" i="13"/>
  <c r="L398" i="13"/>
  <c r="L399" i="13"/>
  <c r="L400" i="13"/>
  <c r="L401" i="13"/>
  <c r="L402" i="13"/>
  <c r="L403" i="13"/>
  <c r="L404" i="13"/>
  <c r="L405" i="13"/>
  <c r="L406" i="13"/>
  <c r="L407" i="13"/>
  <c r="L408" i="13"/>
  <c r="L409" i="13"/>
  <c r="L410" i="13"/>
  <c r="L411" i="13"/>
  <c r="L412" i="13"/>
  <c r="L413" i="13"/>
  <c r="L414" i="13"/>
  <c r="L415" i="13"/>
  <c r="L416" i="13"/>
  <c r="L417" i="13"/>
  <c r="L418" i="13"/>
  <c r="L419" i="13"/>
  <c r="L420" i="13"/>
  <c r="L421" i="13"/>
  <c r="L422" i="13"/>
  <c r="L423" i="13"/>
  <c r="L424" i="13"/>
  <c r="L425" i="13"/>
  <c r="L426" i="13"/>
  <c r="L427" i="13"/>
  <c r="L428" i="13"/>
  <c r="L429" i="13"/>
  <c r="L430" i="13"/>
  <c r="L431" i="13"/>
  <c r="L432" i="13"/>
  <c r="L433" i="13"/>
  <c r="L434" i="13"/>
  <c r="L435" i="13"/>
  <c r="L436" i="13"/>
  <c r="L437" i="13"/>
  <c r="L438" i="13"/>
  <c r="L439" i="13"/>
  <c r="L440" i="13"/>
  <c r="L441" i="13"/>
  <c r="L442" i="13"/>
  <c r="L443" i="13"/>
  <c r="L444" i="13"/>
  <c r="L445" i="13"/>
  <c r="L446" i="13"/>
  <c r="L447" i="13"/>
  <c r="L448" i="13"/>
  <c r="L449" i="13"/>
  <c r="L450" i="13"/>
  <c r="L451" i="13"/>
  <c r="L452" i="13"/>
  <c r="L453" i="13"/>
  <c r="L454" i="13"/>
  <c r="L455" i="13"/>
  <c r="L456" i="13"/>
  <c r="L457" i="13"/>
  <c r="L458" i="13"/>
  <c r="L459" i="13"/>
  <c r="L460" i="13"/>
  <c r="L461" i="13"/>
  <c r="L462" i="13"/>
  <c r="L463" i="13"/>
  <c r="L464" i="13"/>
  <c r="L465" i="13"/>
  <c r="L466" i="13"/>
  <c r="L467" i="13"/>
  <c r="L468" i="13"/>
  <c r="L469" i="13"/>
  <c r="L470" i="13"/>
  <c r="L471" i="13"/>
  <c r="L472" i="13"/>
  <c r="L473" i="13"/>
  <c r="K2" i="13"/>
  <c r="M4"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5" i="13"/>
  <c r="O176" i="13"/>
  <c r="O177" i="13"/>
  <c r="O178" i="13"/>
  <c r="O179" i="13"/>
  <c r="O180" i="13"/>
  <c r="O181" i="13"/>
  <c r="O182" i="13"/>
  <c r="O183" i="13"/>
  <c r="O184" i="13"/>
  <c r="O185" i="13"/>
  <c r="O186" i="13"/>
  <c r="O187" i="13"/>
  <c r="O188" i="13"/>
  <c r="O189" i="13"/>
  <c r="O190" i="13"/>
  <c r="O191" i="13"/>
  <c r="O192" i="13"/>
  <c r="O193" i="13"/>
  <c r="O194" i="13"/>
  <c r="O195" i="13"/>
  <c r="O196" i="13"/>
  <c r="O197" i="13"/>
  <c r="O198" i="13"/>
  <c r="O199" i="13"/>
  <c r="O200" i="13"/>
  <c r="O201" i="13"/>
  <c r="O202" i="13"/>
  <c r="O203" i="13"/>
  <c r="O204" i="13"/>
  <c r="O205" i="13"/>
  <c r="O206" i="13"/>
  <c r="O207" i="13"/>
  <c r="O208" i="13"/>
  <c r="O209" i="13"/>
  <c r="O210" i="13"/>
  <c r="O211" i="13"/>
  <c r="O212" i="13"/>
  <c r="O213" i="13"/>
  <c r="O214" i="13"/>
  <c r="O215" i="13"/>
  <c r="O216" i="13"/>
  <c r="O217" i="13"/>
  <c r="O218" i="13"/>
  <c r="O219" i="13"/>
  <c r="O220" i="13"/>
  <c r="O221" i="13"/>
  <c r="O222" i="13"/>
  <c r="O223" i="13"/>
  <c r="O224" i="13"/>
  <c r="O225" i="13"/>
  <c r="O226" i="13"/>
  <c r="O227" i="13"/>
  <c r="O228" i="13"/>
  <c r="O229" i="13"/>
  <c r="O230" i="13"/>
  <c r="O231" i="13"/>
  <c r="O232" i="13"/>
  <c r="O233" i="13"/>
  <c r="O234" i="13"/>
  <c r="O235" i="13"/>
  <c r="O236" i="13"/>
  <c r="O237" i="13"/>
  <c r="O238" i="13"/>
  <c r="O239" i="13"/>
  <c r="O240" i="13"/>
  <c r="O241" i="13"/>
  <c r="O242" i="13"/>
  <c r="O243" i="13"/>
  <c r="O244" i="13"/>
  <c r="O245" i="13"/>
  <c r="O246" i="13"/>
  <c r="O247" i="13"/>
  <c r="O248" i="13"/>
  <c r="O249" i="13"/>
  <c r="O250" i="13"/>
  <c r="O251" i="13"/>
  <c r="O252" i="13"/>
  <c r="O253" i="13"/>
  <c r="O254" i="13"/>
  <c r="O255" i="13"/>
  <c r="O256" i="13"/>
  <c r="O257" i="13"/>
  <c r="O258" i="13"/>
  <c r="O259" i="13"/>
  <c r="O260" i="13"/>
  <c r="O261" i="13"/>
  <c r="O262" i="13"/>
  <c r="O263" i="13"/>
  <c r="O264" i="13"/>
  <c r="O265" i="13"/>
  <c r="O266" i="13"/>
  <c r="O267" i="13"/>
  <c r="O268" i="13"/>
  <c r="O269" i="13"/>
  <c r="O270" i="13"/>
  <c r="O271" i="13"/>
  <c r="O272" i="13"/>
  <c r="O273" i="13"/>
  <c r="O274" i="13"/>
  <c r="O275" i="13"/>
  <c r="O276" i="13"/>
  <c r="O277" i="13"/>
  <c r="O278" i="13"/>
  <c r="O279" i="13"/>
  <c r="O280" i="13"/>
  <c r="O281" i="13"/>
  <c r="O282" i="13"/>
  <c r="O283" i="13"/>
  <c r="O284" i="13"/>
  <c r="O285" i="13"/>
  <c r="O286" i="13"/>
  <c r="O287" i="13"/>
  <c r="O288" i="13"/>
  <c r="O289" i="13"/>
  <c r="O290" i="13"/>
  <c r="O291" i="13"/>
  <c r="O292" i="13"/>
  <c r="O293" i="13"/>
  <c r="O294" i="13"/>
  <c r="O295" i="13"/>
  <c r="O296" i="13"/>
  <c r="O297" i="13"/>
  <c r="O298" i="13"/>
  <c r="O299" i="13"/>
  <c r="O300" i="13"/>
  <c r="O301" i="13"/>
  <c r="O302" i="13"/>
  <c r="O303" i="13"/>
  <c r="O304" i="13"/>
  <c r="O305" i="13"/>
  <c r="O306" i="13"/>
  <c r="O307" i="13"/>
  <c r="O308" i="13"/>
  <c r="O309" i="13"/>
  <c r="O310" i="13"/>
  <c r="O311" i="13"/>
  <c r="O312" i="13"/>
  <c r="O313" i="13"/>
  <c r="O314" i="13"/>
  <c r="O315" i="13"/>
  <c r="O316" i="13"/>
  <c r="O317" i="13"/>
  <c r="O318" i="13"/>
  <c r="O319" i="13"/>
  <c r="O320" i="13"/>
  <c r="O321" i="13"/>
  <c r="O322" i="13"/>
  <c r="O323" i="13"/>
  <c r="O324" i="13"/>
  <c r="O325" i="13"/>
  <c r="O326" i="13"/>
  <c r="O327" i="13"/>
  <c r="O328" i="13"/>
  <c r="O329" i="13"/>
  <c r="O330" i="13"/>
  <c r="O331" i="13"/>
  <c r="O332" i="13"/>
  <c r="O333" i="13"/>
  <c r="O334" i="13"/>
  <c r="O335" i="13"/>
  <c r="O336" i="13"/>
  <c r="O337" i="13"/>
  <c r="O338" i="13"/>
  <c r="O339" i="13"/>
  <c r="O340" i="13"/>
  <c r="O341" i="13"/>
  <c r="O342" i="13"/>
  <c r="O343" i="13"/>
  <c r="O344" i="13"/>
  <c r="O345" i="13"/>
  <c r="O346" i="13"/>
  <c r="O347" i="13"/>
  <c r="O348" i="13"/>
  <c r="O349" i="13"/>
  <c r="O350" i="13"/>
  <c r="O351" i="13"/>
  <c r="O352" i="13"/>
  <c r="O353" i="13"/>
  <c r="O354" i="13"/>
  <c r="O355" i="13"/>
  <c r="O356" i="13"/>
  <c r="O357" i="13"/>
  <c r="O358" i="13"/>
  <c r="O359" i="13"/>
  <c r="O360" i="13"/>
  <c r="O361" i="13"/>
  <c r="O362" i="13"/>
  <c r="O363" i="13"/>
  <c r="O364" i="13"/>
  <c r="O365" i="13"/>
  <c r="O366" i="13"/>
  <c r="O367" i="13"/>
  <c r="O368" i="13"/>
  <c r="O369" i="13"/>
  <c r="O370" i="13"/>
  <c r="O371" i="13"/>
  <c r="O372" i="13"/>
  <c r="O373" i="13"/>
  <c r="O374" i="13"/>
  <c r="O375" i="13"/>
  <c r="O376" i="13"/>
  <c r="O377" i="13"/>
  <c r="O378" i="13"/>
  <c r="O379" i="13"/>
  <c r="O380" i="13"/>
  <c r="O381" i="13"/>
  <c r="O382" i="13"/>
  <c r="O383" i="13"/>
  <c r="O384" i="13"/>
  <c r="O385" i="13"/>
  <c r="O386" i="13"/>
  <c r="O387" i="13"/>
  <c r="O388" i="13"/>
  <c r="O389" i="13"/>
  <c r="O390" i="13"/>
  <c r="O391" i="13"/>
  <c r="O392" i="13"/>
  <c r="O393" i="13"/>
  <c r="O394" i="13"/>
  <c r="O395" i="13"/>
  <c r="O396" i="13"/>
  <c r="O397" i="13"/>
  <c r="O398" i="13"/>
  <c r="O399" i="13"/>
  <c r="O400" i="13"/>
  <c r="O401" i="13"/>
  <c r="O402" i="13"/>
  <c r="O403" i="13"/>
  <c r="O404" i="13"/>
  <c r="O405" i="13"/>
  <c r="O406" i="13"/>
  <c r="O407" i="13"/>
  <c r="O408" i="13"/>
  <c r="O409" i="13"/>
  <c r="O410" i="13"/>
  <c r="O411" i="13"/>
  <c r="O412" i="13"/>
  <c r="O413" i="13"/>
  <c r="O414" i="13"/>
  <c r="O415" i="13"/>
  <c r="O416" i="13"/>
  <c r="O417" i="13"/>
  <c r="O418" i="13"/>
  <c r="O419" i="13"/>
  <c r="O420" i="13"/>
  <c r="O421" i="13"/>
  <c r="O422" i="13"/>
  <c r="O423" i="13"/>
  <c r="O424" i="13"/>
  <c r="O425" i="13"/>
  <c r="O426" i="13"/>
  <c r="O427" i="13"/>
  <c r="O428" i="13"/>
  <c r="O429" i="13"/>
  <c r="O430" i="13"/>
  <c r="O431" i="13"/>
  <c r="O432" i="13"/>
  <c r="O433" i="13"/>
  <c r="O434" i="13"/>
  <c r="O435" i="13"/>
  <c r="O436" i="13"/>
  <c r="O437" i="13"/>
  <c r="O438" i="13"/>
  <c r="O439" i="13"/>
  <c r="O440" i="13"/>
  <c r="O441" i="13"/>
  <c r="O442" i="13"/>
  <c r="O443" i="13"/>
  <c r="O444" i="13"/>
  <c r="O445" i="13"/>
  <c r="O446" i="13"/>
  <c r="O447" i="13"/>
  <c r="O448" i="13"/>
  <c r="O449" i="13"/>
  <c r="O450" i="13"/>
  <c r="O451" i="13"/>
  <c r="O452" i="13"/>
  <c r="O453" i="13"/>
  <c r="O454" i="13"/>
  <c r="O455" i="13"/>
  <c r="O456" i="13"/>
  <c r="O457" i="13"/>
  <c r="O458" i="13"/>
  <c r="O459" i="13"/>
  <c r="O460" i="13"/>
  <c r="O461" i="13"/>
  <c r="O462" i="13"/>
  <c r="O463" i="13"/>
  <c r="O464" i="13"/>
  <c r="O465" i="13"/>
  <c r="O466" i="13"/>
  <c r="O467" i="13"/>
  <c r="O468" i="13"/>
  <c r="O469" i="13"/>
  <c r="O470" i="13"/>
  <c r="O471" i="13"/>
  <c r="O472" i="13"/>
  <c r="O473" i="13"/>
  <c r="M2" i="13"/>
  <c r="Y4" i="13"/>
  <c r="Y5" i="13"/>
  <c r="Y6" i="13"/>
  <c r="Y7"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Y76" i="13"/>
  <c r="Y77" i="13"/>
  <c r="Y78" i="13"/>
  <c r="Y79" i="13"/>
  <c r="Y80" i="13"/>
  <c r="Y81" i="13"/>
  <c r="Y82" i="13"/>
  <c r="Y83" i="13"/>
  <c r="Y84" i="13"/>
  <c r="Y85" i="13"/>
  <c r="Y86" i="13"/>
  <c r="Y87" i="13"/>
  <c r="Y88" i="13"/>
  <c r="Y89" i="13"/>
  <c r="Y90" i="13"/>
  <c r="Y91" i="13"/>
  <c r="Y92" i="13"/>
  <c r="Y93" i="13"/>
  <c r="Y94" i="13"/>
  <c r="Y95" i="13"/>
  <c r="Y96" i="13"/>
  <c r="Y97" i="13"/>
  <c r="Y98" i="13"/>
  <c r="Y99" i="13"/>
  <c r="Y100" i="13"/>
  <c r="Y101" i="13"/>
  <c r="Y102" i="13"/>
  <c r="Y103" i="13"/>
  <c r="Y104" i="13"/>
  <c r="Y105" i="13"/>
  <c r="Y106" i="13"/>
  <c r="Y107" i="13"/>
  <c r="Y108" i="13"/>
  <c r="Y109" i="13"/>
  <c r="Y110" i="13"/>
  <c r="Y111" i="13"/>
  <c r="Y112" i="13"/>
  <c r="Y113" i="13"/>
  <c r="Y114" i="13"/>
  <c r="Y115" i="13"/>
  <c r="Y116" i="13"/>
  <c r="Y117" i="13"/>
  <c r="Y118" i="13"/>
  <c r="Y119" i="13"/>
  <c r="Y120" i="13"/>
  <c r="Y121" i="13"/>
  <c r="Y122" i="13"/>
  <c r="Y123" i="13"/>
  <c r="Y124" i="13"/>
  <c r="Y125" i="13"/>
  <c r="Y126" i="13"/>
  <c r="Y127" i="13"/>
  <c r="Y128" i="13"/>
  <c r="Y129" i="13"/>
  <c r="Y130" i="13"/>
  <c r="Y131" i="13"/>
  <c r="Y132" i="13"/>
  <c r="Y133" i="13"/>
  <c r="Y134" i="13"/>
  <c r="Y135" i="13"/>
  <c r="Y136" i="13"/>
  <c r="Y137" i="13"/>
  <c r="Y138" i="13"/>
  <c r="Y139" i="13"/>
  <c r="Y140" i="13"/>
  <c r="Y141" i="13"/>
  <c r="Y142" i="13"/>
  <c r="Y143" i="13"/>
  <c r="Y144" i="13"/>
  <c r="Y145" i="13"/>
  <c r="Y146" i="13"/>
  <c r="Y147" i="13"/>
  <c r="Y148" i="13"/>
  <c r="Y149" i="13"/>
  <c r="Y150" i="13"/>
  <c r="Y151" i="13"/>
  <c r="Y152" i="13"/>
  <c r="Y153" i="13"/>
  <c r="Y154" i="13"/>
  <c r="Y155" i="13"/>
  <c r="Y156" i="13"/>
  <c r="Y157" i="13"/>
  <c r="Y158" i="13"/>
  <c r="Y159" i="13"/>
  <c r="Y160" i="13"/>
  <c r="Y161" i="13"/>
  <c r="Y162" i="13"/>
  <c r="Y163" i="13"/>
  <c r="Y164" i="13"/>
  <c r="Y165" i="13"/>
  <c r="Y166" i="13"/>
  <c r="Y167" i="13"/>
  <c r="Y168" i="13"/>
  <c r="Y169" i="13"/>
  <c r="Y170" i="13"/>
  <c r="Y171" i="13"/>
  <c r="Y172" i="13"/>
  <c r="Y173" i="13"/>
  <c r="Y174" i="13"/>
  <c r="Y175" i="13"/>
  <c r="Y176" i="13"/>
  <c r="Y177" i="13"/>
  <c r="Y178" i="13"/>
  <c r="Y179" i="13"/>
  <c r="Y180" i="13"/>
  <c r="Y181" i="13"/>
  <c r="Y182" i="13"/>
  <c r="Y183" i="13"/>
  <c r="Y184" i="13"/>
  <c r="Y185" i="13"/>
  <c r="Y186" i="13"/>
  <c r="Y187" i="13"/>
  <c r="Y188" i="13"/>
  <c r="Y189" i="13"/>
  <c r="Y190" i="13"/>
  <c r="Y191" i="13"/>
  <c r="Y192" i="13"/>
  <c r="Y193" i="13"/>
  <c r="Y194" i="13"/>
  <c r="Y195" i="13"/>
  <c r="Y196" i="13"/>
  <c r="Y197" i="13"/>
  <c r="Y198" i="13"/>
  <c r="Y199" i="13"/>
  <c r="Y200" i="13"/>
  <c r="Y201" i="13"/>
  <c r="Y202" i="13"/>
  <c r="Y203" i="13"/>
  <c r="Y204" i="13"/>
  <c r="Y205" i="13"/>
  <c r="Y206" i="13"/>
  <c r="Y207" i="13"/>
  <c r="Y208" i="13"/>
  <c r="Y209" i="13"/>
  <c r="Y210" i="13"/>
  <c r="Y211" i="13"/>
  <c r="Y212" i="13"/>
  <c r="Y213" i="13"/>
  <c r="Y214" i="13"/>
  <c r="Y215" i="13"/>
  <c r="Y216" i="13"/>
  <c r="Y217" i="13"/>
  <c r="Y218" i="13"/>
  <c r="Y219" i="13"/>
  <c r="Y220" i="13"/>
  <c r="Y221" i="13"/>
  <c r="Y222" i="13"/>
  <c r="Y223" i="13"/>
  <c r="Y224" i="13"/>
  <c r="Y225" i="13"/>
  <c r="Y226" i="13"/>
  <c r="Y227" i="13"/>
  <c r="Y228" i="13"/>
  <c r="Y229" i="13"/>
  <c r="Y230" i="13"/>
  <c r="Y231" i="13"/>
  <c r="Y232" i="13"/>
  <c r="Y233" i="13"/>
  <c r="Y234" i="13"/>
  <c r="Y235" i="13"/>
  <c r="Y236" i="13"/>
  <c r="Y237" i="13"/>
  <c r="Y238" i="13"/>
  <c r="Y239" i="13"/>
  <c r="Y240" i="13"/>
  <c r="Y241" i="13"/>
  <c r="Y242" i="13"/>
  <c r="Y243" i="13"/>
  <c r="Y244" i="13"/>
  <c r="Y245" i="13"/>
  <c r="Y246" i="13"/>
  <c r="Y247" i="13"/>
  <c r="Y248" i="13"/>
  <c r="Y249" i="13"/>
  <c r="Y250" i="13"/>
  <c r="Y251" i="13"/>
  <c r="Y252" i="13"/>
  <c r="Y253" i="13"/>
  <c r="Y254" i="13"/>
  <c r="Y255" i="13"/>
  <c r="Y256" i="13"/>
  <c r="Y257" i="13"/>
  <c r="Y258" i="13"/>
  <c r="Y259" i="13"/>
  <c r="Y260" i="13"/>
  <c r="Y261" i="13"/>
  <c r="Y262" i="13"/>
  <c r="Y263" i="13"/>
  <c r="Y264" i="13"/>
  <c r="Y265" i="13"/>
  <c r="Y266" i="13"/>
  <c r="Y267" i="13"/>
  <c r="Y268" i="13"/>
  <c r="Y269" i="13"/>
  <c r="Y270" i="13"/>
  <c r="Y271" i="13"/>
  <c r="Y272" i="13"/>
  <c r="Y273" i="13"/>
  <c r="Y274" i="13"/>
  <c r="Y275" i="13"/>
  <c r="Y276" i="13"/>
  <c r="Y277" i="13"/>
  <c r="Y278" i="13"/>
  <c r="Y279" i="13"/>
  <c r="Y280" i="13"/>
  <c r="Y281" i="13"/>
  <c r="Y282" i="13"/>
  <c r="Y283" i="13"/>
  <c r="Y284" i="13"/>
  <c r="Y285" i="13"/>
  <c r="Y286" i="13"/>
  <c r="Y287" i="13"/>
  <c r="Y288" i="13"/>
  <c r="Y289" i="13"/>
  <c r="Y290" i="13"/>
  <c r="Y291" i="13"/>
  <c r="Y292" i="13"/>
  <c r="Y293" i="13"/>
  <c r="Y294" i="13"/>
  <c r="Y295" i="13"/>
  <c r="Y296" i="13"/>
  <c r="Y297" i="13"/>
  <c r="Y298" i="13"/>
  <c r="Y299" i="13"/>
  <c r="Y300" i="13"/>
  <c r="Y301" i="13"/>
  <c r="Y302" i="13"/>
  <c r="Y303" i="13"/>
  <c r="Y304" i="13"/>
  <c r="Y305" i="13"/>
  <c r="Y306" i="13"/>
  <c r="Y307" i="13"/>
  <c r="Y308" i="13"/>
  <c r="Y309" i="13"/>
  <c r="Y310" i="13"/>
  <c r="Y311" i="13"/>
  <c r="Y312" i="13"/>
  <c r="Y313" i="13"/>
  <c r="Y314" i="13"/>
  <c r="Y315" i="13"/>
  <c r="Y316" i="13"/>
  <c r="Y317" i="13"/>
  <c r="Y318" i="13"/>
  <c r="Y319" i="13"/>
  <c r="Y320" i="13"/>
  <c r="Y321" i="13"/>
  <c r="Y322" i="13"/>
  <c r="Y323" i="13"/>
  <c r="Y324" i="13"/>
  <c r="Y325" i="13"/>
  <c r="Y326" i="13"/>
  <c r="Y327" i="13"/>
  <c r="Y328" i="13"/>
  <c r="Y329" i="13"/>
  <c r="Y330" i="13"/>
  <c r="Y331" i="13"/>
  <c r="Y332" i="13"/>
  <c r="Y333" i="13"/>
  <c r="Y334" i="13"/>
  <c r="Y335" i="13"/>
  <c r="Y336" i="13"/>
  <c r="Y337" i="13"/>
  <c r="Y338" i="13"/>
  <c r="Y339" i="13"/>
  <c r="Y340" i="13"/>
  <c r="Y341" i="13"/>
  <c r="Y342" i="13"/>
  <c r="Y343" i="13"/>
  <c r="Y344" i="13"/>
  <c r="Y345" i="13"/>
  <c r="Y346" i="13"/>
  <c r="Y347" i="13"/>
  <c r="Y348" i="13"/>
  <c r="Y349" i="13"/>
  <c r="Y350" i="13"/>
  <c r="Y351" i="13"/>
  <c r="Y352" i="13"/>
  <c r="Y353" i="13"/>
  <c r="Y354" i="13"/>
  <c r="Y355" i="13"/>
  <c r="Y356" i="13"/>
  <c r="Y357" i="13"/>
  <c r="Y358" i="13"/>
  <c r="Y359" i="13"/>
  <c r="Y360" i="13"/>
  <c r="Y361" i="13"/>
  <c r="Y362" i="13"/>
  <c r="Y363" i="13"/>
  <c r="Y364" i="13"/>
  <c r="Y365" i="13"/>
  <c r="Y366" i="13"/>
  <c r="Y367" i="13"/>
  <c r="Y368" i="13"/>
  <c r="Y369" i="13"/>
  <c r="Y370" i="13"/>
  <c r="Y371" i="13"/>
  <c r="Y372" i="13"/>
  <c r="Y373" i="13"/>
  <c r="Y374" i="13"/>
  <c r="Y375" i="13"/>
  <c r="Y376" i="13"/>
  <c r="Y377" i="13"/>
  <c r="Y378" i="13"/>
  <c r="Y379" i="13"/>
  <c r="Y380" i="13"/>
  <c r="Y381" i="13"/>
  <c r="Y382" i="13"/>
  <c r="Y383" i="13"/>
  <c r="Y384" i="13"/>
  <c r="Y385" i="13"/>
  <c r="Y386" i="13"/>
  <c r="Y387" i="13"/>
  <c r="Y388" i="13"/>
  <c r="Y389" i="13"/>
  <c r="Y390" i="13"/>
  <c r="Y391" i="13"/>
  <c r="Y392" i="13"/>
  <c r="Y393" i="13"/>
  <c r="Y394" i="13"/>
  <c r="Y395" i="13"/>
  <c r="Y396" i="13"/>
  <c r="Y397" i="13"/>
  <c r="Y398" i="13"/>
  <c r="Y399" i="13"/>
  <c r="Y400" i="13"/>
  <c r="Y401" i="13"/>
  <c r="Y402" i="13"/>
  <c r="Y403" i="13"/>
  <c r="Y404" i="13"/>
  <c r="Y405" i="13"/>
  <c r="Y406" i="13"/>
  <c r="Y407" i="13"/>
  <c r="Y408" i="13"/>
  <c r="Y409" i="13"/>
  <c r="Y410" i="13"/>
  <c r="Y411" i="13"/>
  <c r="Y412" i="13"/>
  <c r="Y413" i="13"/>
  <c r="Y414" i="13"/>
  <c r="Y415" i="13"/>
  <c r="Y416" i="13"/>
  <c r="Y417" i="13"/>
  <c r="Y418" i="13"/>
  <c r="Y419" i="13"/>
  <c r="Y420" i="13"/>
  <c r="Y421" i="13"/>
  <c r="Y422" i="13"/>
  <c r="Y423" i="13"/>
  <c r="Y424" i="13"/>
  <c r="Y425" i="13"/>
  <c r="Y426" i="13"/>
  <c r="Y427" i="13"/>
  <c r="Y428" i="13"/>
  <c r="Y429" i="13"/>
  <c r="Y430" i="13"/>
  <c r="Y431" i="13"/>
  <c r="Y432" i="13"/>
  <c r="Y433" i="13"/>
  <c r="Y434" i="13"/>
  <c r="Y435" i="13"/>
  <c r="Y436" i="13"/>
  <c r="Y437" i="13"/>
  <c r="Y438" i="13"/>
  <c r="Y439" i="13"/>
  <c r="Y440" i="13"/>
  <c r="Y441" i="13"/>
  <c r="Y442" i="13"/>
  <c r="Y443" i="13"/>
  <c r="Y444" i="13"/>
  <c r="Y445" i="13"/>
  <c r="Y446" i="13"/>
  <c r="Y447" i="13"/>
  <c r="Y448" i="13"/>
  <c r="Y449" i="13"/>
  <c r="Y450" i="13"/>
  <c r="Y451" i="13"/>
  <c r="Y452" i="13"/>
  <c r="Y453" i="13"/>
  <c r="Y454" i="13"/>
  <c r="Y455" i="13"/>
  <c r="Y456" i="13"/>
  <c r="Y457" i="13"/>
  <c r="Y458" i="13"/>
  <c r="Y459" i="13"/>
  <c r="Y460" i="13"/>
  <c r="Y461" i="13"/>
  <c r="Y462" i="13"/>
  <c r="Y463" i="13"/>
  <c r="Y464" i="13"/>
  <c r="Y465" i="13"/>
  <c r="Y466" i="13"/>
  <c r="Y467" i="13"/>
  <c r="Y468" i="13"/>
  <c r="Y469" i="13"/>
  <c r="Y470" i="13"/>
  <c r="Y471" i="13"/>
  <c r="Y472" i="13"/>
  <c r="Y473" i="13"/>
  <c r="R78" i="2"/>
  <c r="R56" i="2"/>
  <c r="R62" i="2"/>
  <c r="R63" i="2"/>
  <c r="R17" i="2"/>
  <c r="R3" i="2"/>
  <c r="R39" i="2"/>
  <c r="R31" i="2"/>
  <c r="R32" i="2"/>
  <c r="R28" i="2"/>
  <c r="R22" i="2"/>
  <c r="R64" i="2"/>
  <c r="R33" i="2"/>
  <c r="R65" i="2"/>
  <c r="R71" i="2"/>
  <c r="R79" i="2"/>
  <c r="R66" i="2"/>
  <c r="R26" i="2"/>
  <c r="R18" i="2"/>
  <c r="R67" i="2"/>
  <c r="R4" i="2"/>
  <c r="R57" i="2"/>
  <c r="R34" i="2"/>
  <c r="R23" i="2"/>
  <c r="R68" i="2"/>
  <c r="R5" i="2"/>
  <c r="R11" i="2"/>
  <c r="R58" i="2"/>
  <c r="R12" i="2"/>
  <c r="R35" i="2"/>
  <c r="R6" i="2"/>
  <c r="R77" i="2"/>
  <c r="R29" i="2"/>
  <c r="R69" i="2"/>
  <c r="R59" i="2"/>
  <c r="R60" i="2"/>
  <c r="R42" i="2"/>
  <c r="R40" i="2"/>
  <c r="R41" i="2"/>
  <c r="R61" i="2"/>
  <c r="R38" i="2"/>
  <c r="R70" i="2"/>
  <c r="R7" i="2"/>
  <c r="R44" i="2"/>
  <c r="R72" i="2"/>
  <c r="R24" i="2"/>
  <c r="R13" i="2"/>
  <c r="R47" i="2"/>
  <c r="R43" i="2"/>
  <c r="R8" i="2"/>
  <c r="R15" i="2"/>
  <c r="R16" i="2"/>
  <c r="R73" i="2"/>
  <c r="R45" i="2"/>
  <c r="R9" i="2"/>
  <c r="R46" i="2"/>
  <c r="R74" i="2"/>
  <c r="R19" i="2"/>
  <c r="R75" i="2"/>
  <c r="R20" i="2"/>
  <c r="R30" i="2"/>
  <c r="R48" i="2"/>
  <c r="R27" i="2"/>
  <c r="R14" i="2"/>
  <c r="R21" i="2"/>
  <c r="R49" i="2"/>
  <c r="R50" i="2"/>
  <c r="R51" i="2"/>
  <c r="R52" i="2"/>
  <c r="R53" i="2"/>
  <c r="R54" i="2"/>
  <c r="R36" i="2"/>
  <c r="R37" i="2"/>
  <c r="R10" i="2"/>
  <c r="R25" i="2"/>
  <c r="R55" i="2"/>
  <c r="R76" i="2"/>
  <c r="R2" i="2"/>
  <c r="U78" i="2"/>
  <c r="U56" i="2"/>
  <c r="U62" i="2"/>
  <c r="U63" i="2"/>
  <c r="U17" i="2"/>
  <c r="U3" i="2"/>
  <c r="U39" i="2"/>
  <c r="U31" i="2"/>
  <c r="U32" i="2"/>
  <c r="U28" i="2"/>
  <c r="U22" i="2"/>
  <c r="U64" i="2"/>
  <c r="U33" i="2"/>
  <c r="U65" i="2"/>
  <c r="U71" i="2"/>
  <c r="U79" i="2"/>
  <c r="U66" i="2"/>
  <c r="U26" i="2"/>
  <c r="U18" i="2"/>
  <c r="U67" i="2"/>
  <c r="U4" i="2"/>
  <c r="U57" i="2"/>
  <c r="U34" i="2"/>
  <c r="U23" i="2"/>
  <c r="U68" i="2"/>
  <c r="U5" i="2"/>
  <c r="U11" i="2"/>
  <c r="U58" i="2"/>
  <c r="U12" i="2"/>
  <c r="U35" i="2"/>
  <c r="U6" i="2"/>
  <c r="U77" i="2"/>
  <c r="U29" i="2"/>
  <c r="U69" i="2"/>
  <c r="U59" i="2"/>
  <c r="U60" i="2"/>
  <c r="U42" i="2"/>
  <c r="U40" i="2"/>
  <c r="U41" i="2"/>
  <c r="U61" i="2"/>
  <c r="U38" i="2"/>
  <c r="U70" i="2"/>
  <c r="U7" i="2"/>
  <c r="U44" i="2"/>
  <c r="U72" i="2"/>
  <c r="U24" i="2"/>
  <c r="U13" i="2"/>
  <c r="U47" i="2"/>
  <c r="U43" i="2"/>
  <c r="U8" i="2"/>
  <c r="U15" i="2"/>
  <c r="U16" i="2"/>
  <c r="U73" i="2"/>
  <c r="U45" i="2"/>
  <c r="U9" i="2"/>
  <c r="U46" i="2"/>
  <c r="U74" i="2"/>
  <c r="U19" i="2"/>
  <c r="U75" i="2"/>
  <c r="U20" i="2"/>
  <c r="U30" i="2"/>
  <c r="U48" i="2"/>
  <c r="U27" i="2"/>
  <c r="U14" i="2"/>
  <c r="U21" i="2"/>
  <c r="U49" i="2"/>
  <c r="U50" i="2"/>
  <c r="U51" i="2"/>
  <c r="U52" i="2"/>
  <c r="U53" i="2"/>
  <c r="U54" i="2"/>
  <c r="U36" i="2"/>
  <c r="U37" i="2"/>
  <c r="U10" i="2"/>
  <c r="U25" i="2"/>
  <c r="U55" i="2"/>
  <c r="U76" i="2"/>
  <c r="U2" i="2"/>
  <c r="V78" i="2"/>
  <c r="V56" i="2"/>
  <c r="V62" i="2"/>
  <c r="V63" i="2"/>
  <c r="V17" i="2"/>
  <c r="V3" i="2"/>
  <c r="V39" i="2"/>
  <c r="V31" i="2"/>
  <c r="V32" i="2"/>
  <c r="V28" i="2"/>
  <c r="V22" i="2"/>
  <c r="V64" i="2"/>
  <c r="V33" i="2"/>
  <c r="V65" i="2"/>
  <c r="V71" i="2"/>
  <c r="V79" i="2"/>
  <c r="V66" i="2"/>
  <c r="V26" i="2"/>
  <c r="V18" i="2"/>
  <c r="V67" i="2"/>
  <c r="V4" i="2"/>
  <c r="V57" i="2"/>
  <c r="V34" i="2"/>
  <c r="V23" i="2"/>
  <c r="V68" i="2"/>
  <c r="V5" i="2"/>
  <c r="V11" i="2"/>
  <c r="V58" i="2"/>
  <c r="V12" i="2"/>
  <c r="V35" i="2"/>
  <c r="V6" i="2"/>
  <c r="V77" i="2"/>
  <c r="V29" i="2"/>
  <c r="V69" i="2"/>
  <c r="V59" i="2"/>
  <c r="V60" i="2"/>
  <c r="V42" i="2"/>
  <c r="V40" i="2"/>
  <c r="V41" i="2"/>
  <c r="V61" i="2"/>
  <c r="V38" i="2"/>
  <c r="V70" i="2"/>
  <c r="V7" i="2"/>
  <c r="V44" i="2"/>
  <c r="V72" i="2"/>
  <c r="V24" i="2"/>
  <c r="V13" i="2"/>
  <c r="V47" i="2"/>
  <c r="V43" i="2"/>
  <c r="V8" i="2"/>
  <c r="V15" i="2"/>
  <c r="V16" i="2"/>
  <c r="V73" i="2"/>
  <c r="V45" i="2"/>
  <c r="V9" i="2"/>
  <c r="V46" i="2"/>
  <c r="V74" i="2"/>
  <c r="V19" i="2"/>
  <c r="V75" i="2"/>
  <c r="V20" i="2"/>
  <c r="V30" i="2"/>
  <c r="V48" i="2"/>
  <c r="V27" i="2"/>
  <c r="V14" i="2"/>
  <c r="V21" i="2"/>
  <c r="V49" i="2"/>
  <c r="V50" i="2"/>
  <c r="V51" i="2"/>
  <c r="V52" i="2"/>
  <c r="V53" i="2"/>
  <c r="V54" i="2"/>
  <c r="V36" i="2"/>
  <c r="V37" i="2"/>
  <c r="V10" i="2"/>
  <c r="V25" i="2"/>
  <c r="V55" i="2"/>
  <c r="V76" i="2"/>
  <c r="V2" i="2"/>
  <c r="W78" i="2"/>
  <c r="W56" i="2"/>
  <c r="W62" i="2"/>
  <c r="W63" i="2"/>
  <c r="W17" i="2"/>
  <c r="W3" i="2"/>
  <c r="W39" i="2"/>
  <c r="W31" i="2"/>
  <c r="W32" i="2"/>
  <c r="W28" i="2"/>
  <c r="W22" i="2"/>
  <c r="W64" i="2"/>
  <c r="W33" i="2"/>
  <c r="W65" i="2"/>
  <c r="W71" i="2"/>
  <c r="W79" i="2"/>
  <c r="W66" i="2"/>
  <c r="W26" i="2"/>
  <c r="W18" i="2"/>
  <c r="W67" i="2"/>
  <c r="W4" i="2"/>
  <c r="W57" i="2"/>
  <c r="W34" i="2"/>
  <c r="W23" i="2"/>
  <c r="W68" i="2"/>
  <c r="W5" i="2"/>
  <c r="W11" i="2"/>
  <c r="W58" i="2"/>
  <c r="W12" i="2"/>
  <c r="W35" i="2"/>
  <c r="W6" i="2"/>
  <c r="W77" i="2"/>
  <c r="W29" i="2"/>
  <c r="W69" i="2"/>
  <c r="W59" i="2"/>
  <c r="W60" i="2"/>
  <c r="W42" i="2"/>
  <c r="W40" i="2"/>
  <c r="W41" i="2"/>
  <c r="W61" i="2"/>
  <c r="W38" i="2"/>
  <c r="W70" i="2"/>
  <c r="W7" i="2"/>
  <c r="W44" i="2"/>
  <c r="W72" i="2"/>
  <c r="W24" i="2"/>
  <c r="W13" i="2"/>
  <c r="W47" i="2"/>
  <c r="W43" i="2"/>
  <c r="W8" i="2"/>
  <c r="W15" i="2"/>
  <c r="W16" i="2"/>
  <c r="W73" i="2"/>
  <c r="W45" i="2"/>
  <c r="W9" i="2"/>
  <c r="W46" i="2"/>
  <c r="W74" i="2"/>
  <c r="W19" i="2"/>
  <c r="W75" i="2"/>
  <c r="W20" i="2"/>
  <c r="W30" i="2"/>
  <c r="W48" i="2"/>
  <c r="W27" i="2"/>
  <c r="W14" i="2"/>
  <c r="W21" i="2"/>
  <c r="W49" i="2"/>
  <c r="W50" i="2"/>
  <c r="W51" i="2"/>
  <c r="W52" i="2"/>
  <c r="W53" i="2"/>
  <c r="W54" i="2"/>
  <c r="W36" i="2"/>
  <c r="W37" i="2"/>
  <c r="W10" i="2"/>
  <c r="W25" i="2"/>
  <c r="W55" i="2"/>
  <c r="W76" i="2"/>
  <c r="W2" i="2"/>
  <c r="X78" i="2"/>
  <c r="X56" i="2"/>
  <c r="X62" i="2"/>
  <c r="X63" i="2"/>
  <c r="X17" i="2"/>
  <c r="X3" i="2"/>
  <c r="X39" i="2"/>
  <c r="X31" i="2"/>
  <c r="X32" i="2"/>
  <c r="X28" i="2"/>
  <c r="X22" i="2"/>
  <c r="X64" i="2"/>
  <c r="X33" i="2"/>
  <c r="X65" i="2"/>
  <c r="X71" i="2"/>
  <c r="X79" i="2"/>
  <c r="X66" i="2"/>
  <c r="X26" i="2"/>
  <c r="X18" i="2"/>
  <c r="X67" i="2"/>
  <c r="X4" i="2"/>
  <c r="X57" i="2"/>
  <c r="X34" i="2"/>
  <c r="X23" i="2"/>
  <c r="X68" i="2"/>
  <c r="X5" i="2"/>
  <c r="X11" i="2"/>
  <c r="X58" i="2"/>
  <c r="X12" i="2"/>
  <c r="X35" i="2"/>
  <c r="X6" i="2"/>
  <c r="X77" i="2"/>
  <c r="X29" i="2"/>
  <c r="X69" i="2"/>
  <c r="X59" i="2"/>
  <c r="X60" i="2"/>
  <c r="X42" i="2"/>
  <c r="X40" i="2"/>
  <c r="X41" i="2"/>
  <c r="X61" i="2"/>
  <c r="X38" i="2"/>
  <c r="X70" i="2"/>
  <c r="X7" i="2"/>
  <c r="X44" i="2"/>
  <c r="X72" i="2"/>
  <c r="X24" i="2"/>
  <c r="X13" i="2"/>
  <c r="X47" i="2"/>
  <c r="X43" i="2"/>
  <c r="X8" i="2"/>
  <c r="X15" i="2"/>
  <c r="X16" i="2"/>
  <c r="X73" i="2"/>
  <c r="X45" i="2"/>
  <c r="X9" i="2"/>
  <c r="X46" i="2"/>
  <c r="X74" i="2"/>
  <c r="X19" i="2"/>
  <c r="X75" i="2"/>
  <c r="X20" i="2"/>
  <c r="X30" i="2"/>
  <c r="X48" i="2"/>
  <c r="X27" i="2"/>
  <c r="X14" i="2"/>
  <c r="X21" i="2"/>
  <c r="X49" i="2"/>
  <c r="X50" i="2"/>
  <c r="X51" i="2"/>
  <c r="X52" i="2"/>
  <c r="X53" i="2"/>
  <c r="X54" i="2"/>
  <c r="X36" i="2"/>
  <c r="X37" i="2"/>
  <c r="X10" i="2"/>
  <c r="X25" i="2"/>
  <c r="X55" i="2"/>
  <c r="X76" i="2"/>
  <c r="X2" i="2"/>
  <c r="Y78" i="2"/>
  <c r="Y56" i="2"/>
  <c r="Y62" i="2"/>
  <c r="Y63" i="2"/>
  <c r="Y17" i="2"/>
  <c r="Y3" i="2"/>
  <c r="Y39" i="2"/>
  <c r="Y31" i="2"/>
  <c r="Y32" i="2"/>
  <c r="Y28" i="2"/>
  <c r="Y22" i="2"/>
  <c r="Y64" i="2"/>
  <c r="Y33" i="2"/>
  <c r="Y65" i="2"/>
  <c r="Y71" i="2"/>
  <c r="Y79" i="2"/>
  <c r="Y66" i="2"/>
  <c r="Y26" i="2"/>
  <c r="Y18" i="2"/>
  <c r="Y67" i="2"/>
  <c r="Y4" i="2"/>
  <c r="Y57" i="2"/>
  <c r="Y34" i="2"/>
  <c r="Y23" i="2"/>
  <c r="Y68" i="2"/>
  <c r="Y5" i="2"/>
  <c r="Y11" i="2"/>
  <c r="Y58" i="2"/>
  <c r="Y12" i="2"/>
  <c r="Y35" i="2"/>
  <c r="Y6" i="2"/>
  <c r="Y77" i="2"/>
  <c r="Y29" i="2"/>
  <c r="Y69" i="2"/>
  <c r="Y59" i="2"/>
  <c r="Y60" i="2"/>
  <c r="Y42" i="2"/>
  <c r="Y40" i="2"/>
  <c r="Y41" i="2"/>
  <c r="Y61" i="2"/>
  <c r="Y38" i="2"/>
  <c r="Y70" i="2"/>
  <c r="Y7" i="2"/>
  <c r="Y44" i="2"/>
  <c r="Y72" i="2"/>
  <c r="Y24" i="2"/>
  <c r="Y13" i="2"/>
  <c r="Y47" i="2"/>
  <c r="Y43" i="2"/>
  <c r="Y8" i="2"/>
  <c r="Y15" i="2"/>
  <c r="Y16" i="2"/>
  <c r="Y73" i="2"/>
  <c r="Y45" i="2"/>
  <c r="Y9" i="2"/>
  <c r="Y46" i="2"/>
  <c r="Y74" i="2"/>
  <c r="Y19" i="2"/>
  <c r="Y75" i="2"/>
  <c r="Y20" i="2"/>
  <c r="Y30" i="2"/>
  <c r="Y48" i="2"/>
  <c r="Y27" i="2"/>
  <c r="Y14" i="2"/>
  <c r="Y21" i="2"/>
  <c r="Y49" i="2"/>
  <c r="Y50" i="2"/>
  <c r="Y51" i="2"/>
  <c r="Y52" i="2"/>
  <c r="Y53" i="2"/>
  <c r="Y54" i="2"/>
  <c r="Y36" i="2"/>
  <c r="Y37" i="2"/>
  <c r="Y10" i="2"/>
  <c r="Y25" i="2"/>
  <c r="Y55" i="2"/>
  <c r="Y76" i="2"/>
  <c r="Y2" i="2"/>
  <c r="AE78" i="2"/>
  <c r="AE56" i="2"/>
  <c r="AE62" i="2"/>
  <c r="AE63" i="2"/>
  <c r="AE17" i="2"/>
  <c r="AE3" i="2"/>
  <c r="AE39" i="2"/>
  <c r="AE31" i="2"/>
  <c r="AE32" i="2"/>
  <c r="AE28" i="2"/>
  <c r="AE22" i="2"/>
  <c r="AE64" i="2"/>
  <c r="AE33" i="2"/>
  <c r="AE65" i="2"/>
  <c r="AE71" i="2"/>
  <c r="AE79" i="2"/>
  <c r="AE66" i="2"/>
  <c r="AE26" i="2"/>
  <c r="AE18" i="2"/>
  <c r="AE67" i="2"/>
  <c r="AE4" i="2"/>
  <c r="AE57" i="2"/>
  <c r="AE34" i="2"/>
  <c r="AE23" i="2"/>
  <c r="AE68" i="2"/>
  <c r="AE5" i="2"/>
  <c r="AE11" i="2"/>
  <c r="AE58" i="2"/>
  <c r="AE12" i="2"/>
  <c r="AE35" i="2"/>
  <c r="AE6" i="2"/>
  <c r="AE77" i="2"/>
  <c r="AE29" i="2"/>
  <c r="AE69" i="2"/>
  <c r="AE59" i="2"/>
  <c r="AE60" i="2"/>
  <c r="AE42" i="2"/>
  <c r="AE40" i="2"/>
  <c r="AE41" i="2"/>
  <c r="AE61" i="2"/>
  <c r="AE38" i="2"/>
  <c r="AE70" i="2"/>
  <c r="AE7" i="2"/>
  <c r="AE44" i="2"/>
  <c r="AE72" i="2"/>
  <c r="AE24" i="2"/>
  <c r="AE13" i="2"/>
  <c r="AE47" i="2"/>
  <c r="AE43" i="2"/>
  <c r="AE8" i="2"/>
  <c r="AE15" i="2"/>
  <c r="AE16" i="2"/>
  <c r="AE73" i="2"/>
  <c r="AE45" i="2"/>
  <c r="AE9" i="2"/>
  <c r="AE46" i="2"/>
  <c r="AE74" i="2"/>
  <c r="AE19" i="2"/>
  <c r="AE75" i="2"/>
  <c r="AE20" i="2"/>
  <c r="AE30" i="2"/>
  <c r="AE48" i="2"/>
  <c r="AE27" i="2"/>
  <c r="AE14" i="2"/>
  <c r="AE21" i="2"/>
  <c r="AE49" i="2"/>
  <c r="AE50" i="2"/>
  <c r="AE51" i="2"/>
  <c r="AE52" i="2"/>
  <c r="AE53" i="2"/>
  <c r="AE54" i="2"/>
  <c r="AE36" i="2"/>
  <c r="AE37" i="2"/>
  <c r="AE10" i="2"/>
  <c r="AE25" i="2"/>
  <c r="AE55" i="2"/>
  <c r="AE76" i="2"/>
  <c r="AE2" i="2"/>
  <c r="N2" i="3"/>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P2" i="3"/>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S2"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V2" i="3"/>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AB2" i="3"/>
  <c r="AB3" i="3"/>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R2" i="3"/>
  <c r="AR3" i="3"/>
  <c r="AR4" i="3"/>
  <c r="AR5" i="3"/>
  <c r="AR6" i="3"/>
  <c r="AR7" i="3"/>
  <c r="AR8" i="3"/>
  <c r="AR9" i="3"/>
  <c r="AR10" i="3"/>
  <c r="AR11" i="3"/>
  <c r="AR12" i="3"/>
  <c r="AR13" i="3"/>
  <c r="AR14" i="3"/>
  <c r="AR15" i="3"/>
  <c r="AR16" i="3"/>
  <c r="AR17" i="3"/>
  <c r="AR18" i="3"/>
  <c r="AR19" i="3"/>
  <c r="AR20" i="3"/>
  <c r="AR21" i="3"/>
  <c r="AR22" i="3"/>
  <c r="AR23" i="3"/>
  <c r="AR24" i="3"/>
  <c r="AR25" i="3"/>
  <c r="AR26" i="3"/>
  <c r="AR27" i="3"/>
  <c r="AR28" i="3"/>
  <c r="AR29" i="3"/>
  <c r="AR30" i="3"/>
  <c r="AR31" i="3"/>
  <c r="AR32" i="3"/>
  <c r="AR33" i="3"/>
  <c r="AR34" i="3"/>
  <c r="AR35" i="3"/>
  <c r="AR36" i="3"/>
  <c r="AR37" i="3"/>
  <c r="AR38" i="3"/>
  <c r="AR39" i="3"/>
  <c r="AR40" i="3"/>
  <c r="AR41" i="3"/>
  <c r="AR42" i="3"/>
  <c r="AR43" i="3"/>
  <c r="AR44" i="3"/>
  <c r="AR45" i="3"/>
  <c r="AR46" i="3"/>
  <c r="AR47" i="3"/>
  <c r="AR48" i="3"/>
  <c r="AR49" i="3"/>
  <c r="AR50" i="3"/>
  <c r="AR51" i="3"/>
  <c r="AR52" i="3"/>
  <c r="AR53" i="3"/>
  <c r="AR54" i="3"/>
  <c r="AR55" i="3"/>
  <c r="AR56" i="3"/>
  <c r="AR57" i="3"/>
  <c r="AR58" i="3"/>
  <c r="AR59" i="3"/>
  <c r="AR60" i="3"/>
  <c r="AR61" i="3"/>
  <c r="AR62" i="3"/>
  <c r="AR63"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U2" i="3"/>
  <c r="AU3" i="3"/>
  <c r="AU4" i="3"/>
  <c r="AU5" i="3"/>
  <c r="AU6" i="3"/>
  <c r="AU7" i="3"/>
  <c r="AU8" i="3"/>
  <c r="AU9" i="3"/>
  <c r="AU10" i="3"/>
  <c r="AU11" i="3"/>
  <c r="AU12" i="3"/>
  <c r="AU13" i="3"/>
  <c r="AU14" i="3"/>
  <c r="AU15" i="3"/>
  <c r="AU16" i="3"/>
  <c r="AU17" i="3"/>
  <c r="AU18" i="3"/>
  <c r="AU19" i="3"/>
  <c r="AU20" i="3"/>
  <c r="AU21" i="3"/>
  <c r="AU22" i="3"/>
  <c r="AU23" i="3"/>
  <c r="AU24" i="3"/>
  <c r="AU25" i="3"/>
  <c r="AU26" i="3"/>
  <c r="AU27" i="3"/>
  <c r="AU28" i="3"/>
  <c r="AU29" i="3"/>
  <c r="AU30" i="3"/>
  <c r="AU31" i="3"/>
  <c r="AU32" i="3"/>
  <c r="AU33" i="3"/>
  <c r="AU34" i="3"/>
  <c r="AU35" i="3"/>
  <c r="AU36" i="3"/>
  <c r="AU37" i="3"/>
  <c r="AU38" i="3"/>
  <c r="AU39" i="3"/>
  <c r="AU40" i="3"/>
  <c r="AU41" i="3"/>
  <c r="AU42" i="3"/>
  <c r="AU43" i="3"/>
  <c r="AU44" i="3"/>
  <c r="AU45" i="3"/>
  <c r="AU46" i="3"/>
  <c r="AU47" i="3"/>
  <c r="AU48" i="3"/>
  <c r="AU49" i="3"/>
  <c r="AU50" i="3"/>
  <c r="AU51" i="3"/>
  <c r="AU52" i="3"/>
  <c r="AU53" i="3"/>
  <c r="AU54" i="3"/>
  <c r="AU55" i="3"/>
  <c r="AU56" i="3"/>
  <c r="AU57" i="3"/>
  <c r="AU58" i="3"/>
  <c r="AU59" i="3"/>
  <c r="AU60" i="3"/>
  <c r="AU61" i="3"/>
  <c r="AU62" i="3"/>
  <c r="AU63" i="3"/>
  <c r="AU64" i="3"/>
  <c r="AU65" i="3"/>
  <c r="AU66" i="3"/>
  <c r="AU67" i="3"/>
  <c r="AU68" i="3"/>
  <c r="AU69" i="3"/>
  <c r="AU70" i="3"/>
  <c r="AU71" i="3"/>
  <c r="AU72" i="3"/>
  <c r="AU73" i="3"/>
  <c r="AU74" i="3"/>
  <c r="AU75" i="3"/>
  <c r="AU76" i="3"/>
  <c r="AU77" i="3"/>
  <c r="AU78" i="3"/>
  <c r="AU79" i="3"/>
  <c r="AU80" i="3"/>
  <c r="AU81" i="3"/>
  <c r="AU82" i="3"/>
  <c r="AU83" i="3"/>
  <c r="AU84" i="3"/>
  <c r="AU85" i="3"/>
  <c r="AU86" i="3"/>
  <c r="AU87" i="3"/>
  <c r="AU88" i="3"/>
  <c r="AU89" i="3"/>
  <c r="AU90" i="3"/>
  <c r="AU91" i="3"/>
  <c r="AU92" i="3"/>
  <c r="AU93" i="3"/>
  <c r="AU94" i="3"/>
  <c r="AU95" i="3"/>
  <c r="AU96" i="3"/>
  <c r="P515"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508" i="6"/>
  <c r="A509" i="6"/>
  <c r="A510" i="6"/>
  <c r="A511" i="6"/>
  <c r="A512" i="6"/>
  <c r="A513" i="6"/>
  <c r="A514"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30" i="1"/>
  <c r="E23" i="1"/>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2.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3.xml><?xml version="1.0" encoding="utf-8"?>
<comments xmlns="http://schemas.openxmlformats.org/spreadsheetml/2006/main">
  <authors>
    <author>Snoeyink, Jack S.</author>
  </authors>
  <commentList>
    <comment ref="I2" authorId="0" shapeId="0">
      <text>
        <r>
          <rPr>
            <sz val="9"/>
            <color indexed="81"/>
            <rFont val="Tahoma"/>
            <family val="2"/>
          </rPr>
          <t>You can probably ignore this.
This 7-letter pm_ibm_logn_id is used to construct a unique id to jump to the ejacket  RA page. By default it uses the first PM id (=g4), but it can be over-ridden.  (note: the ibm_logn_id is usually the lan_id truncated to 7 letters instead of 8.)</t>
        </r>
      </text>
    </comment>
    <comment ref="L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4.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5.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6.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ECGlossaryQuery" type="1" refreshedVersion="6" background="1"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DROP TABLE #myPid _x000d__x000a_SELECT p.pgm_ele_code AS PEC, pec.pgm_ele_name AS PEC_Description_x000d__x000a_FROM (SELECT DISTINCT pgm_ele_code FROM #myPid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
  </connection>
  <connection id="5" name="PRCGlossaryQuery" type="1" refreshedVersion="6" background="1"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ojTextQuery" type="1" refreshedVersion="6"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7" name="RAMailMerge" type="1" refreshedVersion="6" background="1"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1.P as pnlst1, pn1.C as confl1,_x000d__x000a_ pn2.I AS panl_id2, pn2.RT AS RCOM_TXT2, pn2.RK AS rank2, pn2.PN AS panl_name2,pn2.E AS panl_end2,pn2.V AS revs2,pn2.S AS PanlString2,pn2.P as pnlst2, pn2.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8" name="SplitsQuery" type="1" refreshedVersion="6" background="1"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<sst xmlns="http://schemas.openxmlformats.org/spreadsheetml/2006/main" count="19880" uniqueCount="2091">
  <si>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</si>
  <si>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</si>
  <si>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</si>
  <si>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</si>
  <si>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</si>
  <si>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</si>
  <si>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</si>
  <si>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</si>
  <si>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</si>
  <si>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</si>
  <si>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</si>
  <si>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</si>
  <si>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</si>
  <si>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</si>
  <si>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</si>
  <si>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</si>
  <si>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</si>
  <si>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</si>
  <si>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</si>
  <si>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</si>
  <si>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</si>
  <si>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</si>
  <si>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</si>
  <si>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</si>
  <si>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</si>
  <si>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</si>
  <si>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</si>
  <si>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</si>
  <si>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</si>
  <si>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</si>
  <si>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</si>
  <si>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</si>
  <si>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</si>
  <si>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</si>
  <si>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</si>
  <si>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</si>
  <si>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</si>
  <si>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</si>
  <si>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</si>
  <si>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</si>
  <si>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</si>
  <si>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</si>
  <si>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</si>
  <si>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</si>
  <si>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</si>
  <si>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</si>
  <si>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</si>
  <si>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</si>
  <si>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</si>
  <si>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</si>
  <si>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</si>
  <si>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</si>
  <si>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</si>
  <si>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</si>
  <si>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</si>
  <si>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</si>
  <si>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</si>
  <si>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</si>
  <si>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</si>
  <si>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</si>
  <si>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</si>
  <si>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</si>
  <si>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</si>
  <si>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</si>
  <si>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</si>
  <si>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</si>
  <si>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</si>
  <si>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</si>
  <si>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</si>
  <si>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</si>
  <si>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</si>
  <si>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</si>
  <si>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</si>
  <si>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</si>
  <si>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</si>
  <si>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</si>
  <si>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</si>
  <si>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</si>
  <si>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</si>
  <si>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</si>
  <si>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</si>
  <si>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</si>
  <si>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</si>
  <si>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</si>
  <si>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</si>
  <si>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</si>
  <si>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</si>
  <si>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</si>
  <si>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</si>
  <si>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</si>
  <si>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</si>
  <si>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</si>
  <si>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</si>
  <si>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</si>
  <si>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</si>
  <si>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I</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</si>
  <si>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</si>
  <si>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</si>
  <si>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</si>
  <si>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</si>
  <si>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</si>
  <si>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</si>
  <si>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</si>
  <si>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</si>
  <si>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</si>
  <si>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</si>
  <si>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</si>
  <si>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</si>
  <si>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</si>
  <si>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</si>
  <si>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</si>
  <si>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</si>
  <si>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</si>
  <si>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</si>
  <si>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</si>
  <si>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</si>
  <si>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</si>
  <si>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</si>
  <si>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</si>
  <si>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</si>
  <si>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</si>
  <si>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</si>
  <si>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</si>
  <si>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</si>
  <si>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</si>
  <si>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</si>
  <si>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</si>
  <si>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</si>
  <si>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</si>
  <si>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</si>
  <si>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</si>
  <si>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</si>
  <si>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</si>
  <si>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</si>
  <si>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</si>
  <si>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</si>
  <si>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</si>
  <si>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</si>
  <si>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</si>
  <si>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</si>
  <si>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</si>
  <si>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</si>
  <si>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</si>
  <si>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</si>
  <si>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</si>
  <si>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</si>
  <si>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</si>
  <si>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</si>
  <si>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</si>
  <si>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</si>
  <si>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</si>
  <si>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</si>
  <si>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</si>
  <si>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</si>
  <si>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</si>
  <si>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</si>
  <si>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</si>
  <si>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</si>
  <si>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</si>
  <si>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</si>
  <si>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</si>
  <si>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</si>
  <si>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</si>
  <si>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</si>
  <si>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</si>
  <si>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</si>
  <si>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</si>
  <si>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CSE</t>
  </si>
  <si>
    <t>Direct For Computer &amp; Info Scie &amp; Enginr</t>
  </si>
  <si>
    <t>NEW</t>
  </si>
  <si>
    <t>Research Grants-Not Elsewh Cla</t>
  </si>
  <si>
    <t>PEND</t>
  </si>
  <si>
    <t>Pending, Review Package Produced</t>
  </si>
  <si>
    <t>Awd RAt.docx</t>
  </si>
  <si>
    <t>Decline RAt.docx</t>
  </si>
  <si>
    <t>R</t>
  </si>
  <si>
    <t>Std Decline RAt.docx</t>
  </si>
  <si>
    <t>sign_blck_name</t>
  </si>
  <si>
    <t>RecRkMin</t>
  </si>
  <si>
    <t>docType</t>
  </si>
  <si>
    <t>pm_logn_id</t>
  </si>
  <si>
    <t>panl_revr_id</t>
  </si>
  <si>
    <t>name</t>
  </si>
  <si>
    <t>info</t>
  </si>
  <si>
    <t>type</t>
  </si>
  <si>
    <t>stts</t>
  </si>
  <si>
    <t>due</t>
  </si>
  <si>
    <t>returned</t>
  </si>
  <si>
    <t>nchars</t>
  </si>
  <si>
    <t>nwords</t>
  </si>
  <si>
    <t>score</t>
  </si>
  <si>
    <t>text</t>
  </si>
  <si>
    <t>Review</t>
  </si>
  <si>
    <t>G</t>
  </si>
  <si>
    <t>SummProj</t>
  </si>
  <si>
    <t>E/V</t>
  </si>
  <si>
    <t>V</t>
  </si>
  <si>
    <t>F</t>
  </si>
  <si>
    <t>V/G</t>
  </si>
  <si>
    <t>G/F</t>
  </si>
  <si>
    <t>Total</t>
  </si>
  <si>
    <t>P</t>
  </si>
  <si>
    <t>E,V,G,F,P</t>
  </si>
  <si>
    <t>@PI</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</si>
  <si>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</si>
  <si>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</si>
  <si>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</si>
  <si>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</si>
  <si>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</si>
  <si>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</si>
  <si>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</si>
  <si>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</si>
  <si>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</si>
  <si>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</si>
  <si>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</si>
  <si>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</si>
  <si>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</si>
  <si>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</si>
  <si>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</si>
  <si>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</si>
  <si>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t>Standard Declines: autoloaded to eJacket</t>
  </si>
  <si>
    <t>international?</t>
  </si>
  <si>
    <t>Revs &amp; Panl release</t>
  </si>
  <si>
    <t>Human &amp; Vertibrate</t>
  </si>
  <si>
    <t>demographics</t>
  </si>
  <si>
    <t xml:space="preserve">            Auto decline templates must begin with Std</t>
  </si>
  <si>
    <t>Set Autoload Preferences on RoboRA tab</t>
  </si>
  <si>
    <t>delay (increase if eJacket can't keep up.)</t>
  </si>
  <si>
    <t>email PI</t>
  </si>
  <si>
    <t>E</t>
  </si>
  <si>
    <t>CA</t>
  </si>
  <si>
    <t>MA</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</si>
  <si>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</si>
  <si>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</si>
  <si>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</si>
  <si>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</si>
  <si>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</si>
  <si>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</si>
  <si>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</si>
  <si>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</si>
  <si>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</si>
  <si>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</si>
  <si>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</si>
  <si>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</si>
  <si>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</si>
  <si>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</si>
  <si>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</si>
  <si>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</si>
  <si>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</si>
  <si>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</si>
  <si>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</si>
  <si>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</si>
  <si>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</si>
  <si>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</si>
  <si>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</si>
  <si>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</si>
  <si>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</si>
  <si>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</si>
  <si>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</si>
  <si>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</si>
  <si>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</si>
  <si>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</si>
  <si>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</si>
  <si>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</si>
  <si>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</si>
  <si>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</si>
  <si>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</si>
  <si>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</si>
  <si>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</si>
  <si>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</si>
  <si>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</si>
  <si>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</si>
  <si>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</si>
  <si>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</si>
  <si>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</si>
  <si>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</si>
  <si>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</si>
  <si>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</si>
  <si>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</si>
  <si>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</si>
  <si>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</si>
  <si>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</si>
  <si>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</si>
  <si>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</si>
  <si>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CCfdata11/17</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</si>
  <si>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</si>
  <si>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</si>
  <si>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</si>
  <si>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</si>
  <si>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</si>
  <si>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</si>
  <si>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</si>
  <si>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</si>
  <si>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</si>
  <si>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</si>
  <si>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</si>
  <si>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</si>
  <si>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</si>
  <si>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</si>
  <si>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</si>
  <si>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</si>
  <si>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</si>
  <si>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</si>
  <si>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</si>
  <si>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</si>
  <si>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</si>
  <si>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IL</t>
  </si>
  <si>
    <t>University of Michigan</t>
  </si>
  <si>
    <t>MI</t>
  </si>
  <si>
    <t>NC</t>
  </si>
  <si>
    <t>TX</t>
  </si>
  <si>
    <t>rec0</t>
  </si>
  <si>
    <t>rec1</t>
  </si>
  <si>
    <t>rec2</t>
  </si>
  <si>
    <t>minScore</t>
  </si>
  <si>
    <t>maxScore</t>
  </si>
  <si>
    <t>PanlString0</t>
  </si>
  <si>
    <t>pnlst0</t>
  </si>
  <si>
    <t>confl0</t>
  </si>
  <si>
    <t>PanlString1</t>
  </si>
  <si>
    <t>pnlst1</t>
  </si>
  <si>
    <t>confl1</t>
  </si>
  <si>
    <t>PanlString2</t>
  </si>
  <si>
    <t>pnlst2</t>
  </si>
  <si>
    <t>confl2</t>
  </si>
  <si>
    <t>Div_name</t>
  </si>
  <si>
    <t>natr_rqst_txt</t>
  </si>
  <si>
    <t>New Project</t>
  </si>
  <si>
    <t>NRFP</t>
  </si>
  <si>
    <t>1234567</t>
  </si>
  <si>
    <t>E,E/V,V,V/G,G,G/F,F,F/P,P</t>
  </si>
  <si>
    <t>This first row is needed so that mail merge formatting will be correct. Please do not remove it.  Mail merge takes its formatting from the first rows of the table............</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</si>
  <si>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</si>
  <si>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</si>
  <si>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</si>
  <si>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</si>
  <si>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</si>
  <si>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</si>
  <si>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</si>
  <si>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</si>
  <si>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</si>
  <si>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</si>
  <si>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</si>
  <si>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</si>
  <si>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</si>
  <si>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</si>
  <si>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</si>
  <si>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</si>
  <si>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</si>
  <si>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</si>
  <si>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</si>
  <si>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</si>
  <si>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</si>
  <si>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</si>
  <si>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</si>
  <si>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</si>
  <si>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</si>
  <si>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</si>
  <si>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</si>
  <si>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</si>
  <si>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</si>
  <si>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</si>
  <si>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</si>
  <si>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</si>
  <si>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</si>
  <si>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</si>
  <si>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</si>
  <si>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</si>
  <si>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</si>
  <si>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</si>
  <si>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</si>
  <si>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</si>
  <si>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</si>
  <si>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</si>
  <si>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</si>
  <si>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</si>
  <si>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</si>
  <si>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</si>
  <si>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</si>
  <si>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</si>
  <si>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</si>
  <si>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using mail merge to fill  RAtemplates with reportserver data.</t>
  </si>
  <si>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</si>
  <si>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</si>
  <si>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</si>
  <si>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</si>
  <si>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</si>
  <si>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</si>
  <si>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</si>
  <si>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</si>
  <si>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</si>
  <si>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.first line.</t>
  </si>
  <si>
    <t>keep</t>
  </si>
  <si>
    <t>mail</t>
  </si>
  <si>
    <t>merge</t>
  </si>
  <si>
    <t>Divn</t>
  </si>
  <si>
    <t>Name for PO signature</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</si>
  <si>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</si>
  <si>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</si>
  <si>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</si>
  <si>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</si>
  <si>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</si>
  <si>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</si>
  <si>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</si>
  <si>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</si>
  <si>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</si>
  <si>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</si>
  <si>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</si>
  <si>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</si>
  <si>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</si>
  <si>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</si>
  <si>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</si>
  <si>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</si>
  <si>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</si>
  <si>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</si>
  <si>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</si>
  <si>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</si>
  <si>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</si>
  <si>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</si>
  <si>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</si>
  <si>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</si>
  <si>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</si>
  <si>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</si>
  <si>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</si>
  <si>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</si>
  <si>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</si>
  <si>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</si>
  <si>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</si>
  <si>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</si>
  <si>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</si>
  <si>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</si>
  <si>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</si>
  <si>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</si>
  <si>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</si>
  <si>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</si>
  <si>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</si>
  <si>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PO(7 letters):</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</si>
  <si>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</si>
  <si>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</si>
  <si>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</si>
  <si>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</si>
  <si>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</si>
  <si>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</si>
  <si>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</si>
  <si>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</si>
  <si>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PanlString1,pn1.P as pnlst1, pn1.C as confl1,_x000D_
 pn2.I AS panl_id2, pn2.RT AS RCOM_TXT2, pn2.RK AS rank2, pn2.PN AS panl_name2,pn2.E AS panl_end2,pn2.V AS revs2,pn2.S AS PanlString2,pn2.P as pnlst2, pn2.C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</si>
  <si>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</si>
  <si>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..please</t>
  </si>
  <si>
    <t>for</t>
  </si>
  <si>
    <t>formatting.</t>
  </si>
  <si>
    <t>thx.</t>
  </si>
  <si>
    <t>zztemplateFname RAt.docx</t>
  </si>
  <si>
    <t>P123456</t>
  </si>
  <si>
    <t>Obj</t>
  </si>
  <si>
    <t>RAps_note</t>
  </si>
  <si>
    <t>divergentReviews</t>
  </si>
  <si>
    <t>Revised budget totals by year</t>
  </si>
  <si>
    <t>PEC Glossary; program element codes on proposals</t>
  </si>
  <si>
    <t>PEC_Description</t>
  </si>
  <si>
    <t>Glossaries of PRC/PECs used</t>
  </si>
  <si>
    <t>RA_PECglossary</t>
  </si>
  <si>
    <t xml:space="preserve">--DROP TABLE #myPid _x000D_
SELECT p.pgm_ele_code AS PEC, pec.pgm_ele_name AS PEC_Description_x000D_
FROM (SELECT DISTINCT pgm_ele_code FROM #myPid pid _x000D_
JOIN csd.prop p ON p.prop_id = pid.prop_id) p_x000D_
JOIN csd.pgm_ele pec ON pec.pgm_ele_code = p.pgm_ele_code_x000D_
ORDER BY PEC_x000D_
</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</si>
  <si>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</si>
  <si>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</si>
  <si>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</si>
  <si>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</si>
  <si>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</si>
  <si>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</si>
  <si>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</si>
  <si>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</si>
  <si>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Review packet prepared (02)</t>
  </si>
  <si>
    <t>All needing PM recommendation (0-2,8,9)</t>
  </si>
  <si>
    <t>PM recommended (03-0Z)</t>
  </si>
  <si>
    <t>All Pending = not DD concurred (0%)</t>
  </si>
  <si>
    <t>All proposals (%)</t>
  </si>
  <si>
    <t>Cognizant Program Director</t>
  </si>
  <si>
    <t xml:space="preserve">  Restrict proposal status to:</t>
  </si>
  <si>
    <t>05010000</t>
  </si>
  <si>
    <t>CCF</t>
  </si>
  <si>
    <t>Division of Computing and Communication Foundations</t>
  </si>
  <si>
    <t xml:space="preserve">SELECT DISTINCT prop.prop_id, prop.lead_prop_id, prop.pi_id, prop.inst_id, prop.pm_ibm_logn_id as PO, _x000D_
</t>
  </si>
  <si>
    <t>(blank)</t>
  </si>
  <si>
    <t>2. List panels, solicitations, and/or PDs</t>
  </si>
  <si>
    <t xml:space="preserve">       in table below, and press GO.</t>
  </si>
  <si>
    <t>1. Have your reportserver password ready.</t>
  </si>
  <si>
    <t xml:space="preserve">0. If needed, pick template &amp; output folders. </t>
  </si>
  <si>
    <t xml:space="preserve">3. If desired,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</si>
  <si>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nullif((SELECT count(*) FROM #myRevs c WHERE confl=1 AND c.panl_id = rp.panl_id AND c.lead = rp.lead ),0)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</si>
  <si>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Zhang</t>
  </si>
  <si>
    <t>Nguyen</t>
  </si>
  <si>
    <t>MD</t>
  </si>
  <si>
    <t>L</t>
  </si>
  <si>
    <t>MT</t>
  </si>
  <si>
    <t>N</t>
  </si>
  <si>
    <t>IN</t>
  </si>
  <si>
    <t>Purdue University</t>
  </si>
  <si>
    <t>PA</t>
  </si>
  <si>
    <t>Carnegie Mellon University</t>
  </si>
  <si>
    <t>NJ</t>
  </si>
  <si>
    <t>William Marsh Rice Univ</t>
  </si>
  <si>
    <t>U of MD College Park</t>
  </si>
  <si>
    <t>U of Cal Berkeley</t>
  </si>
  <si>
    <t>Northeastern University</t>
  </si>
  <si>
    <t>V,V/G,G,G/F</t>
  </si>
  <si>
    <t xml:space="preserve"> G</t>
  </si>
  <si>
    <t>STND</t>
  </si>
  <si>
    <t xml:space="preserve">        </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</si>
  <si>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</si>
  <si>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</si>
  <si>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</si>
  <si>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r>
      <t xml:space="preserve">Select RA templates </t>
    </r>
    <r>
      <rPr>
        <sz val="9"/>
        <color theme="3" tint="-0.249977111117893"/>
        <rFont val="Calibri"/>
        <family val="2"/>
        <scheme val="minor"/>
      </rPr>
      <t>(above each table)</t>
    </r>
  </si>
  <si>
    <t>Awd RAt.docm</t>
  </si>
  <si>
    <t>Decline RAt.docm</t>
  </si>
  <si>
    <t>Std Decline RAt.docm</t>
  </si>
  <si>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</si>
  <si>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Have rptServer credentials ready</t>
  </si>
  <si>
    <t>Human/vertibrate</t>
  </si>
  <si>
    <t>Folder with RA templates:</t>
  </si>
  <si>
    <t>Where to save filled-in RA drafts:</t>
  </si>
  <si>
    <t>7924</t>
  </si>
  <si>
    <t>MEDIUM PROJECT</t>
  </si>
  <si>
    <t>XP0846820</t>
  </si>
  <si>
    <t>Chakrabarti</t>
  </si>
  <si>
    <t>ac@cs.dartmouth.edu</t>
  </si>
  <si>
    <t>NSF 17-571</t>
  </si>
  <si>
    <t>FY18MEDCTX</t>
  </si>
  <si>
    <t>E/V,V,V,F</t>
  </si>
  <si>
    <t>U of Pennsylvania</t>
  </si>
  <si>
    <t>David</t>
  </si>
  <si>
    <t>Computing and Communication Foundations (CCF): Core Programs</t>
  </si>
  <si>
    <t>C:\Users\JSNOEYIN\Desktop\med18</t>
  </si>
  <si>
    <t>V,V/G,G,G</t>
  </si>
  <si>
    <t xml:space="preserve"> V,V/G,G,G</t>
  </si>
  <si>
    <t xml:space="preserve"> PanlSumm</t>
  </si>
  <si>
    <t>5</t>
  </si>
  <si>
    <t>2</t>
  </si>
  <si>
    <t>3</t>
  </si>
  <si>
    <t>1</t>
  </si>
  <si>
    <t>4</t>
  </si>
  <si>
    <t>Competitive</t>
  </si>
  <si>
    <t>C</t>
  </si>
  <si>
    <t>Low Competitive</t>
  </si>
  <si>
    <t>LC</t>
  </si>
  <si>
    <t>Highly Competitive</t>
  </si>
  <si>
    <t>HC</t>
  </si>
  <si>
    <t>7</t>
  </si>
  <si>
    <t>Not Competitive</t>
  </si>
  <si>
    <t>Questionable '?' in abstract</t>
  </si>
  <si>
    <t>Reviews&amp;panel summ released</t>
  </si>
  <si>
    <t>Folder to save RA drafts</t>
  </si>
  <si>
    <t>U of Texas Austin</t>
  </si>
  <si>
    <t>E,E,E/V,E/V</t>
  </si>
  <si>
    <t>Princeton University</t>
  </si>
  <si>
    <t>WI</t>
  </si>
  <si>
    <t>U of Wisconsin Madison</t>
  </si>
  <si>
    <t>UT</t>
  </si>
  <si>
    <t>University of Utah</t>
  </si>
  <si>
    <t>FL</t>
  </si>
  <si>
    <t>U of South Florida</t>
  </si>
  <si>
    <t>Utah State University</t>
  </si>
  <si>
    <t>V/G,G,G/F,F</t>
  </si>
  <si>
    <t>Qiu</t>
  </si>
  <si>
    <t>AZ</t>
  </si>
  <si>
    <t>IA</t>
  </si>
  <si>
    <t>Honavar</t>
  </si>
  <si>
    <t>vhonavar@ist.psu.edu</t>
  </si>
  <si>
    <t>Indiana University</t>
  </si>
  <si>
    <t>E/V,V,V/G,V/G</t>
  </si>
  <si>
    <t xml:space="preserve"> E,E,E/V,E/V</t>
  </si>
  <si>
    <t xml:space="preserve"> V/G,G,G/F,F</t>
  </si>
  <si>
    <t xml:space="preserve"> G,G/F,F</t>
  </si>
  <si>
    <t xml:space="preserve"> V</t>
  </si>
  <si>
    <t xml:space="preserve"> V/G,G,G/F</t>
  </si>
  <si>
    <t xml:space="preserve"> E/V,V,V/G,V/G</t>
  </si>
  <si>
    <t xml:space="preserve">Germany       </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</si>
  <si>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</si>
  <si>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xDiaryNt</t>
  </si>
  <si>
    <t>p180637,p180207,p180209</t>
  </si>
  <si>
    <t>026Y</t>
  </si>
  <si>
    <t>CRII CISE Research Initiation</t>
  </si>
  <si>
    <t>7495</t>
  </si>
  <si>
    <t>ROBUST INTELLIGENCE</t>
  </si>
  <si>
    <t>7796</t>
  </si>
  <si>
    <t>ALGORITHMIC FOUNDATIONS</t>
  </si>
  <si>
    <t>1045</t>
  </si>
  <si>
    <t>CAREER: FACULTY EARLY CAR DEV</t>
  </si>
  <si>
    <t>7926</t>
  </si>
  <si>
    <t>ALGORITHMS</t>
  </si>
  <si>
    <t>7927</t>
  </si>
  <si>
    <t>COMPLEXITY &amp; CRYPTOGRAPHY</t>
  </si>
  <si>
    <t>7929</t>
  </si>
  <si>
    <t>COMPUTATIONAL GEOMETRY</t>
  </si>
  <si>
    <t>7932</t>
  </si>
  <si>
    <t>COMPUT GAME THEORY &amp; ECON</t>
  </si>
  <si>
    <t>7933</t>
  </si>
  <si>
    <t>NUM, SYMBOL, &amp; ALGEBRA COMPUT</t>
  </si>
  <si>
    <t>7934</t>
  </si>
  <si>
    <t>PARAL/DISTRIBUTED ALGORITHMS</t>
  </si>
  <si>
    <t>8228</t>
  </si>
  <si>
    <t>CISE Resrch Initiatn Initiatve</t>
  </si>
  <si>
    <t>9150</t>
  </si>
  <si>
    <t>EXP PROG TO STIM COMP RES</t>
  </si>
  <si>
    <t>1749173</t>
  </si>
  <si>
    <t>Borgwardt</t>
  </si>
  <si>
    <t>JSNOEYI</t>
  </si>
  <si>
    <t>P180207</t>
  </si>
  <si>
    <t xml:space="preserve"> AF CAREER/CRII Panel A</t>
  </si>
  <si>
    <t>22</t>
  </si>
  <si>
    <t xml:space="preserve"> Panel Summary       
 SUMMARY OF PROPOSED RESEARCH ACTIVITY_x000D_
_x000D_
Description : Given the constraints and a scoring function for an optimization problem, a current feasible solution, and an optimal solution, what is the "best" way to move from the current to the optimal solution? The PI illustrates the problem with a scenario of land redistribution where steps must be implemented that have to satisfy area and fairness constraints. The PI plans to design optimal walks using methods that stem from polyhedra theory along with his own previous research. _x000D_
_x000D_
_x000D_
INTELLECTUAL MERIT_x000D_
_x000D_
_x000D_
Strengths_x000D_
_x000D_
_x000D_
+ The panel thought that the research proposed is interesting and found it very positive that the PI is brave enough to tackle a problem that is not well-formulated or established. The panel appreciated this new research direction proposed._x000D_
+ Panels could easily call to mind other instances where adoption of a better solution was prevented by lack of a path, including the way software development teams consider switching from one platform/solution to another. _x000D_
+ The panel thought that the plan to have an assessment scheme is a really nice addition to the proposal._x000D_
_x000D_
_x000D_
Weaknesses_x000D_
_x000D_
- The panel was  concerned that the research directions were not completely thought through/ well conveyed. There seem to be a lot of questions that should have been addressed in the proposal: what is the tradeoff between shortest distance and "smooth transition"? what is the cost of change? are there always solutions? is the path always feasible?_x000D_
- The panel feels that the PI would have benefited from a concrete direction on how to connect the PI's research with practice and present a plan to connect with practitioners._x000D_
- The panel thought that it was not well conveyed at which point the PI proposed to do theoretical/foundations work versus heuristic work on the suggested algorithms. It would help to have seen some theoretical formulation that distinguishes the algorithms proposed from heuristics._x000D_
_x000D_
_x000D_
BROADER IMPACTS_x000D_
_x000D_
_x000D_
_x000D_
Strengths_x000D_
_x000D_
+ The panel thought that the PI's plan to use the project to raise awareness about the need to go beyond finding an optimal solution but rather make sure we can transition from one solution to another smoothly is really nice._x000D_
+ The panel found merit in the prospect of some communities benefiting from this work_x000D_
_x000D_
Weaknesses_x000D_
_x000D_
- The panel found the broader educational impacts somewhat weak_x000D_
- There seems to be no real plan laid out to reach out to the communities that would benefit from the work_x000D_
_x000D_
CAREER SOLICITATION-SPECIFIC REMARKS:_x000D_
_x000D_
Letter of institutional commitment. adequate_x000D_
_x000D_
Integration of research and education: adequate_x000D_
_x000D_
 _x000D_
_x000D_
ADDITIONAL REMARKS_x000D_
_x000D_
Research plan: Proposal includes a detailed time line of various components of the project_x000D_
_x000D_
Collaboration plan: adequate._x000D_
_x000D_
_x000D_
Data Management Plan: adequate._x000D_
_x000D_
Results of prior support:  No prior support._x000D_
_x000D_
 _x000D_
_x000D_
Suggestions to PI:_x000D_
_x000D_
 _x000D_
_x000D_
Justification for Panel Rating: The panel really liked the direction the PI proposed to investigate. However, the panel felt that the proposal was lacking in rigorous mathematical formulation._x000D_
_x000D_
 _x000D_
_x000D_
Panel Rating: _x000D_
_x000D_
_ Highly Competitive_x000D_
_x000D_
_ Competitive_x000D_
_x000D_
_Low Competitive_x000D_
_x000D_
X_ Not Competitive_x000D_
_x000D_
The summary was read by/to the panel and the panel concurred that the summary accurately reflects the panel discussion._x000D_
</t>
  </si>
  <si>
    <t>ejupd</t>
  </si>
  <si>
    <t xml:space="preserve">NATIONAL SCIENCE FOUNDATION _x000D_
Alexandria, Virginia 22314 _x000D_
Directorate for Computer and Information Science and Engineering (CISE)_x000D_
Division of Computing and Communication Foundations (05010000)_x000D_
ALGORITHMIC FOUNDATIONS (7796)_x000D_
NSF 17-537 Faculty Early Career Development Program_x000D_
Review Analysis: Standard Decline (NC) for proposal with low review scores_x000D_
_x000D_
CAREER: Algorithms for Optimal Walks_x000D_
_x000D_
L: 1749173 Borgwardt, Steffen U of Colorado Denver $  470,400_x000D_
_x000D_
_x000D_
P180207 NC AF CAREER/CRII Panel A (14 panelists; 0 decl confl),_x000B_  on 10/24/2017, recommended as Not Competitive (V,F,F,F/P)_x000D_
Std competition rank 22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</si>
  <si>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TKIMBRE</t>
  </si>
  <si>
    <t>XB0890913</t>
  </si>
  <si>
    <t>Ceberio</t>
  </si>
  <si>
    <t>mceberio@utep.edu</t>
  </si>
  <si>
    <t>F/P</t>
  </si>
  <si>
    <t xml:space="preserve">In the context of the five review elements, please _x000D_
evaluate the strengths and weaknesses of the proposal with respect to intellectual merit._x000D_
_x000D_
An interesting proposal, on an important topic, but with shortcomings._x000D_
_x000D_
Intellectual merit:_x000D_
Strengths:_x000D_
+ The PI has conducted prior work in the area he plans to work on._x000D_
+ The proposal is well written (except for maybe Subsection 1.3 which appears to be a repeat of Section 3)._x000D_
+ The proposal addresses a very important point in decision-making. It kind of originates in the same rationale as explanations in AI._x000D_
+ The PI provides a good motivation for the work he proposes to tackle._x000D_
+ The fact that the PI plans for an assessment team is an interesting and thoughtful feature of this project. _x000D_
_x000D_
Weaknesses_x000D_
- No timeline._x000D_
- A number of questions seem unanswered in this proposal. For instance, is the shortest distance best for smooth transitions? Are there additional criteria to be imposed? Is there a cost of change (for each step) taken into account for the choice of a walk? (Is this even possible?) Are there always solutions to the optimal walk with additional properties?   _x000D_
- The PI mentions that the some additional properties should be enforced 'if possible'. Does that mean that such properties would be considered preferences rather than constraints? If so what is the strategy to handle them and guarantee that they are not satisfied only in the case when they truly cannot be satisfied, and not just when the solver may fail to satisfy them? _x000D_
_x000D_
_x000D_
In the context of the five review elements, please _x000D_
evaluate the strengths and weaknesses of the proposal with respect to broader impacts._x000D_
_x000D_
Strengths_x000D_
+  The PI lists a number of areas that would benefit from the results of this project. _x000D_
+ The PI plans to use this project to raise awareness about the need to go 'beyond the solution'.  _x000D_
_x000D_
Weaknesses_x000D_
- However, it is not clear how the results will be disseminated to said communities._x000D_
- The outreach plan is weak._x000D_
_x000D_
_x000D_
Please evaluate the strengths and _x000D_
weaknesses of the proposal with respect to any additional solicitation-specific review criteria, if _x000D_
applicable_x000D_
_x000D_
Integration of Research and Education: _x000D_
This plan is pretty similar to Section 3 of the proposal on Education and Outreach._x000D_
Strengths_x000D_
+ The PI plans to teach classes, to recruit students, and to hold several outreach activities._x000D_
+ The PI has a plan for an assessment committee._x000D_
_x000D_
Weaknesses_x000D_
- It is not clear at which level (graduate or undergraduate) the PI will teach his topics course on Algorithms for Optimal Walks._x000D_
- The mentoring plan for the PI seems very conventional. There is no plan to recruit underrepresented students. The PI's plan to recruit 'especially strong senior undergraduate students' seems like a missed opportunity to recruit earlier students and possibly weaker ones who tend to grow tremendously when given such opportunities. _x000D_
- Overall, the education and outreach plan is weak: the PI lists a number of events he plans to participate in. This does not show a strong and organic commitment to outreach._x000D_
_x000D_
Data Management Plan_x000D_
The Data Management Plan seems appropriate. _x000D_
_x000D_
_x000D_
Summary Statement_x000D_
_x000D_
Overall, a proposal on a very interesting topic, which needs to be addressed. However, the plan does not seem ready enough as many questions are left unanswered._x000D_
_x000D_
</t>
  </si>
  <si>
    <t>TP0813600</t>
  </si>
  <si>
    <t>Goel</t>
  </si>
  <si>
    <t>ashishg@stanford.edu</t>
  </si>
  <si>
    <t xml:space="preserve">In the context of the five review elements, please _x000D_
evaluate the strengths and weaknesses of the proposal with respect to intellectual merit._x000D_
_x000D_
The PI proposes to develop a general theory (along with special applications) of 'circuit walks', which are walks among feasible solutions of a problem to discover optimum or improved solutions. These walks could have additional structure, such as pivoting in simplex, or the central path._x000D_
_x000D_
The examples are interesting, specially the one that concerns land-use. But the PI is not proposing to tackle substantive general theoretical problems. That leads to the following concern: given that we have a target solution, and an initial solution, and constraints on the walk, this becomes too much like heuristic search, since the allowed walk steps can be thought of as 'game moves'. Central questions in the field, such as the Hirsch conjecture, are not being considered. Of course not every proposal needs to consider every problem, so this comment should be looked upon as illustrative of the kind of theoretical constructs that would distinguish this work from heuristic search._x000D_
_x000D_
_x000D_
In the context of the five review elements, please _x000D_
evaluate the strengths and weaknesses of the proposal with respect to broader impacts._x000D_
_x000D_
The PI has a strong education and outreach plan. Along with starting a course, there is also discussion of leading a ML club, and of having a booth every year at the Denver Science fair. The research itself does not appear to have a significant broad impact across disciplines._x000D_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</si>
  <si>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RC0906270</t>
  </si>
  <si>
    <t>Immorlica</t>
  </si>
  <si>
    <t>nicimm@gmail.com</t>
  </si>
  <si>
    <t xml:space="preserve">In the context of the five review elements, please _x000D_
evaluate the strengths and weaknesses of the proposal with respect to intellectual merit._x000D_
_x000D_
This proposal studies walks between vertices of polyhedra that satisfy certain properties: e.g., don't take too many steps, don't take too large steps, are monotone in a certain sense.  Such walks can be used to transform an existing solution (e.g., a clustering) into a new optimal solution (a new clustering) without making drastic changes.  _x000D_
_x000D_
As an example, the PI mentions his experience in reallocating farmland to reduce costly fragmentation.  To minimize disruption to their livelihoods, the farmers require the require a gradual transition to the new ownership scheme.  A solution to this problem will impact many similar practical settings that use LPs to find updated solutions to logistical problems, and must transition between them slowly.  _x000D_
_x000D_
The problem formulation is highly creative.  There is not much existing literature on this topic with this motivation, but the PI does an excellent job demonstrating the need for such solutions.  Furthermore, by formulating the problem in the context of polyhedral domains, the PI is able to leverage his existing expertise on diamter calculations to tackle these problems._x000D_
_x000D_
The proposal could be strengthened by an explicit connection to practice, in lines with the prior project of the PI on reallocating farmland.  One potential application is the formation of wildlife tracts.  It would be especially compelling if the PI could connect to such groups (or others) and see that his solutions have practical impact.  Without that, it might be difficult to prioritize different solutions on paths.  _x000D_
_x000D_
I also wonder, for settings with no feasible paths between the start and end points, is it possible to re-optimize and find a feasible point between the start and an approximately-optimal end point?  That is, can we sacrifice optimality and thereby construct paths?_x000D_
_x000D_
The proposal has a high-level plan, of the form "add additional constraints and see if we can still find feasible paths, perhaps in specialized polyhedral", but there is no sense of what problems will be tackled in what years.  There is an assessment mechanism consisting of a committee of senior faculty.  I think there could be other metrics of success, like integration into practice, publications, etc._x000D_
_x000D_
_x000D_
In the context of the five review elements, please _x000D_
evaluate the strengths and weaknesses of the proposal with respect to broader impacts._x000D_
_x000D_
The PI plans to develop courses and mentor graduate and undergraduate students.  He also is the faculty advisor of the machine learning club, which, as part of its activities, creates projects for the Denver Science Fair.  This fair is attended by middle and high school students, and seems like a great way to reach the K-12 community (along with the STEMposium).  The PI mentions metrics for the broader impacts, including evaluations of the activities by the target populations._x000D_
_x000D_
Please evaluate the strengths and _x000D_
weaknesses of the proposal with respect to any additional solicitation-specific review criteria, if _x000D_
applicable_x000D_
_x000D_
None._x000D_
_x000D_
Summary Statement_x000D_
_x000D_
Quite nice proposal, should be funded if possible.  There could be minor improvements if the PI ends up resubmitting, along the lines of fleshing out the new research directions and their connections to new applications, see comments above._x000D_
_x000D_
</t>
  </si>
  <si>
    <t>PP0982329</t>
  </si>
  <si>
    <t>Kolla</t>
  </si>
  <si>
    <t>akolla@illinois.edu</t>
  </si>
  <si>
    <t xml:space="preserve">In the context of the five review elements, please _x000D_
evaluate the strengths and weaknesses of the proposal with respect to intellectual merit._x000D_
_x000D_
strengths:_x000D_
+ The proposal adresses optimization problems that seem to be directly related with real world applications and might have significant impact_x000D_
+ The PI has been able to apply his prior relevant expertise in practice already, and has helped solve significant real world problems using it. He is well qualified to conduct the research suggested._x000D_
+the problems studied, namely looking for gradual transitions between optimal solutions of important optimization problems, are interesting and useful_x000D_
_x000D_
Weaknesses: _x000D_
- The projects seems to be of a narrower scope than what I would expect a CAREER proposal to be._x000D_
- The problems seem to be of great practical significance, but the PI does not make a very convincing case of whether the project is also of great theoretical significance and would advance TCS as a whole._x000D_
-The proposal is written in an unconventional way, which resembles more of a research paper rather than a grant proposal in a few parts. Moreover, it is somewhat repetitive in both he educational and research aspects of it. There are a few typos that are hard to miss, which gives the impression that it might have been written hastily. _x000D_
- The PI gives a lot of examples of where the questions he is studying would be applied to, but little suggestions of concrete approaches he would use to solve the questions he poses._x000D_
_x000D_
In the context of the five review elements, please _x000D_
evaluate the strengths and weaknesses of the proposal with respect to broader impacts._x000D_
_x000D_
strengths:_x000D_
+ There seem to be a number of educational and outreach activities the PI is planning to participate in._x000D_
_x000D_
+ The project would have significant practical impact in real world applications_x000D_
_x000D_
weaknesses:_x000D_
- educational aspect is somewhat boilerplate. Even though the PI is involved in outreach and educational events, there does not seem to be  a more global plan on how to keep contributing in those areas for the duration of the award._x000D_
_x000D_
Please evaluate the strengths and _x000D_
weaknesses of the proposal with respect to any additional solicitation-specific review criteria, if _x000D_
applicable_x000D_
_x000D_
_x000D_
_x000D_
Summary Statement_x000D_
_x000D_
The proposed research is focused on the following task: given an often application-derived optimization problem, and a potential solution to it, what is the "best" way to move from that solution to another solution. The quality of this walk between solutions, is evaluated according to the application at hand.  In order to design such optimal walks, the PI is planning to use methods stemming from polyhedra theory along with his own previous research. While the problems studied are interesting and of seemingly large practical importance, and while the PI is well-qualified to conduct the research suggested,  the proposal is lacking the depth and breath I would expect from a CAREER proposal._x000D_
_x000D_
</t>
  </si>
  <si>
    <t>Informed decision-making based on the results of optimization algorithms is a powerful approach to applications. But the computation of optimal solutions is not enough. Practitioners often need a gradual transition to a new optimal transportation plan, a new schedule, a new routing plan._x000D_
_x000D_
For the linear and integer linear problems in combinatorial optimization, this transition between an old and a new solution can be modeled as a so-called circuit walk. Circuits are the support-minimal vectors in the kernel of the matrix defining a polyhedron. For the highly structured problems we are interested in, they allow for a rich interpretation in terms of the underlying problem: Each step of a circuit walk is a meaningful step towards the new, optimal solution._x000D_
_x000D_
Our plan for an improvement on the state-of-the-art is to develop and study algorithms for the construction of circuit walks. We will use methods of mathematical programming to impose properties on these walks: Take few steps, take similar steps, take only improving steps. We look to applications to drive our decision which types of walks to study and which properties to impose on them. The ultimate goal of this research is to establish and promote a new direction of research: optimization algorithms for constructing optimal walks. We acknowledge that this is an ambitious, open-ended question. In the five years of the award period, we plan to build the educational and research foundations to pursue this direction of research for a long time._x000D_
_x000D_
The current state of our research allows for an immediate integration of research and education. Our educational activities and outreach aim at the whole range from graduate training down to K-12. Graduate research assistants will be supported and mentored as phd advisor. We will design and hold a specialized classroom lecture that prepares graduate student for research in the proposed field. For undergraduate students, we offer one-credit readings classes, in which we jointly prepare contributions to the Denver Science Fair, the Front Range Student Conference, and the STEMposium. These outreach activities have the goal to foster the interaction of K-12 students and undergraduate students in different STEM fields. Further, we will support the interdisciplinary student-run machine learning club at CU Denver and the CU Denver Chapter of SIAM. _x000D_
_x000D_
For both our research and education, we will archive the state of the art, produce reference implementations of algorithms, and make our work publically available in a repository and a webpage. The success of our research and education activities will be assessed by external committees.The proposed research is a natural extension of our previous research on diameters and on data analytics through polyhedral theory. It will introduce a new perspective to transform the studies of diameters to a framework for the design and study of algorithms that solve important practical applications of operations research. The project will advance the community's knowledge of how to implement research results in applications. Our research will first to a good understanding of the optimality criteria for walks in different applications and then to exact and approximate optimization algorithms to find these and their inherent limitations.We propose to enable an effective dissemination of our research through the integrated education component. The project will raise awareness about having to go beyond just solving a problem in the scientific community. We expect a significant impact in the machine learning, optimization, and operations research communities interested in algorithm design and analysis, as well as for practitioners and applications scientists. The broader impact of the education component will be the promotion of CISE and of data analytics through optimization, through graduate training and outreach activities for the undergraduate and K-12 level.</t>
  </si>
  <si>
    <t>1749385</t>
  </si>
  <si>
    <t>Wang</t>
  </si>
  <si>
    <t>13</t>
  </si>
  <si>
    <t xml:space="preserve"> Panel Summary       
 SUMMARY OF PROPOSED RESEARCH ACTIVITY_x000D_
_x000D_
This project focuses on developing fast algorithms for computing_x000D_
optimal paths in a two-dimensional polygonal domain. It builds_x000D_
on the PI's previous grant on similar topics. The proposal_x000D_
mentions a number of classical problems in this area, such as_x000D_
answering shortest path queries, geodesic center, geodesic_x000D_
diameter, shortest path computation, and minimum-link paths._x000D_
_x000D_
It has four thrusts: (1) an approximate three-order-of-magnitude_x000D_
speedup for shortest path query data structures, geodesic_x000D_
centers, and geodesic diameters, by more carefully analyzing the_x000D_
combinatorial complexity of an underlying curve arrangement; (2)_x000D_
saving a logarithmic factor in the space complexity of_x000D_
st-shortest path computation; (3) algorithms with time O(n +_x000D_
poly(#holes)) for medial axes, minimum link paths,_x000D_
shortest-to-visibility paths, and polygon triangulations; and_x000D_
(4) algorithms for paths without blind turns and with refueling_x000D_
constraints._x000D_
_x000D_
_x000D_
INTELLECTUAL MERIT_x000D_
_x000D_
Strengths:_x000D_
_x000D_
+ This proposal aims to make progress on classical, "old school"_x000D_
problems_x000D_
_x000D_
+ It is a well thought-out proposal, one that includes detailed_x000D_
plans for solving its open problems_x000D_
_x000D_
+ In contrast to past work on L1 distances, the proposal's focus_x000D_
on L2 is more natural._x000D_
_x000D_
+ The PI has a strong track record of research and publications_x000D_
on these topics and the proposed plan of research is insightful,_x000D_
making success and advancement of basic knowledge in the field_x000D_
likely._x000D_
_x000D_
Weaknesses:_x000D_
_x000D_
- The proposed solutions did not seem to provide any big ideas,_x000D_
fundamental insights, or even generalizable techniques._x000D_
_x000D_
- The parameterized complexity and log shaving parts of the_x000D_
proposal were too incremental._x000D_
_x000D_
- The proposal did not adequately explain the concepts it used_x000D_
to non-specialists._x000D_
_x000D_
_x000D_
BROADER IMPACTS_x000D_
_x000D_
The broader impacts section of the proposal includes the_x000D_
development of courses in algorithms and computational geometry,_x000D_
emphasizing applications to generate broad interest in these_x000D_
topics, together with a distance learning component, leveraging_x000D_
the existing programs at his institution for outreach._x000D_
_x000D_
Strengths:_x000D_
_x000D_
+ The plan to provide distance education to remote_x000D_
underrepresented groups was creative and interesting._x000D_
_x000D_
+ Many of the research problems have real-world applications_x000D_
related to geographic navigation._x000D_
_x000D_
Weaknesses:_x000D_
_x000D_
- Even with the speedup, the shortest path query structure and_x000D_
related problems would have too high exponents to be practical._x000D_
_x000D_
- The existence of fast approximation algorithms also makes_x000D_
these improvements not so interesting from the practical point_x000D_
of view. In particular, these problems would once have been seen_x000D_
as interesting for robotics, but robotics has moved on to other_x000D_
areas._x000D_
_x000D_
_x000D_
CAREER SOLICITATION-SPECIFIC REMARKS:_x000D_
_x000D_
Letter of institutional commitment: Included._x000D_
_x000D_
Integration of research and education: Provided through the_x000D_
course development and distance education aspects of the_x000D_
proposal._x000D_
_x000D_
_x000D_
ADDITIONAL REMARKS_x000D_
_x000D_
Research plan: This is a five-year CAREER proposal whose major_x000D_
expenses include one month of summer salary for the PI and two_x000D_
graduate student researchers for each of its five years, as well_x000D_
as conference travel._x000D_
_x000D_
Data Management Plan: This is a theoretical proposal with little_x000D_
actual data, but the data management plan provides for grant_x000D_
products including research publications, software, and course_x000D_
materials, specifies data formats for them, and states that the_x000D_
software and course materials will be open access._x000D_
_x000D_
Results of prior support: The proposal clearly states the prior_x000D_
support of the PI, which has already ended its term, and briefly_x000D_
summarizes its results. The prior support was on similar topics_x000D_
and successful; the current proposal leverages its success._x000D_
_x000D_
_x000D_
Suggestions to PI:_x000D_
_x000D_
The proposal would have been stronger if the path-planning_x000D_
problems arising in modern robotics applications were also_x000D_
proposed, rather than fully focusing on classical problems._x000D_
_x000D_
Additionally it would have benefited from a more ambitious scope_x000D_
that included a larger number of big open problems in this area_x000D_
and fewer incremental goals._x000D_
_x000D_
_x000D_
Justification for Panel Rating: Although this is a strong_x000D_
proposal that appears likely to make significant progress on_x000D_
some classical problems, it was not as visionary and exciting as_x000D_
it might have been; the inclusion of goals that were too_x000D_
incremental weighed it down._x000D_
_x000D_
_x000D_
Panel Rating:_x000D_
_x000D_
_ Highly Competitive_x000D_
_x000D_
_ Competitive_x000D_
_x000D_
_X_ Low Competitive_x000D_
_x000D_
_ Not Competitive_x000D_
_x000D_
_x000D_
The summary was read by/to the panel and the panel concurred_x000D_
that the summary accurately reflects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</si>
  <si>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Algorithms for Shortest Paths and Related Problems in Computational Geometry_x000D_
_x000D_
L: 1749385 Wang, Haitao Utah State University $  524,898_x000D_
_x000D_
_x000D_
P180207 LC AF CAREER/CRII Panel A (14 panelists),_x000B_  on 10/24/2017, recommended as Low Competitive (E,V,G,G/F)_x000D_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</si>
  <si>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EZ0601720</t>
  </si>
  <si>
    <t>Agarwal</t>
  </si>
  <si>
    <t>pankaj@cs.duke.edu</t>
  </si>
  <si>
    <t xml:space="preserve">In the context of the five review elements, please _x000D_
evaluate the strengths and weaknesses of the proposal with respect to intellectual merit._x000D_
_x000D_
This project focuses on developing fast algorithms for  computing optimal paths in a two-dimensional polygonal domain. It builds on the PI's previous grant on, broadly speaking, the same topic.  The proposal mentions a number of classical problems in this area, such as answering shortest path queries, geodesic center, geodesic diameter, shortest path computation, and minimum-link paths. In some cases, the goal is to substantially improve the worst-case performance (e.g. shortest path queries, geodesic diameter) and in other cases the goal is to refine the existing algorithm and get a slightly improved performance, e.g., improving the space complexity of the shortest-path-computation algorithm from O(nlogn) to O(n). A few new problems are also mentioned but they are less interesting._x000D_
_x000D_
The PI has done extensive work on these problems and has obtained a number of results and gained some interesting insights into these problems. The last point is clear from the detailed ideas he has presented in the proposal._x000D_
_x000D_
Although some application domains are mentioned for these problems, the proposal is interesting purely from theoretical point of view. Significantly faster approximation algorithms are known for these problems, the kind of path one wants to compute in robotics and GIS are more complex than the simple criteria mentioned in the proposal, and also the setting is more complex (e.g. moving a non-point object in 2.5 or 3d environment). Therefore the practical impact of the proposed research will be limited._x000D_
_x000D_
Even from theoretical point of view, it's not clear the broad impact of the proposed research beyond obtaining the improved algorithms. Will new interesting techniques be developed that would be beneficial for other problems? _x000D_
_x000D_
Nevertheless from an intellectual point of view, it would be useful to see some progress on these classical problems._x000D_
_x000D_
In the context of the five review elements, please _x000D_
evaluate the strengths and weaknesses of the proposal with respect to broader impacts._x000D_
_x000D_
The broader impact section is fairly standard. In terms of circular development, the PI will develop courses in algorithms and computational geometry. He plans to emphasize on applications to generate broad interest in these topics. His  mentoring plan is adequate. He plans to leverage the existing programs at his institution for outreach activities._x000D_
_x000D_
Please evaluate the strengths and _x000D_
weaknesses of the proposal with respect to any additional solicitation-specific review criteria, if _x000D_
applicable_x000D_
_x000D_
_x000D_
_x000D_
Summary Statement_x000D_
_x000D_
A solid proposal on classical problems in 2d path planning. The PI has extensive experience on the proposed problems and has interesting insights into the proposed problems. It would be good to see progress on some of these classical problems for which the existing algorithms have very large complexity. The problems for which the goal is to slightly improve the performance are less interesting. _x000D_
_x000D_
The proposal would have been stronger if the path-planning problems arising in modern robotics applications were also proposed, rather than fully focusing on classical problems._x000D_
_x000D_
_x000D_
</t>
  </si>
  <si>
    <t>XH0803196</t>
  </si>
  <si>
    <t>Chan</t>
  </si>
  <si>
    <t>tmc@illinois.edu</t>
  </si>
  <si>
    <t xml:space="preserve">In the context of the five review elements, please _x000D_
evaluate the strengths and weaknesses of the proposal with respect to intellectual merit._x000D_
_x000D_
The proposal deals with a host of fundamental probems about shortest paths in polygonal domains (polygons with h holes). The PI has already done extensive work on the topic in the past, e.g., on L_1 shortest path algorithms and data structures, rectilinear min-link paths, computing visibility polygons, and new Euclidean shortest path algorithms for small h. These resulted in 4 SoCG papers and many other conference publications -- the PI is recognized as an expert on the topic._x000D_
_x000D_
The proposal gives plans towards resolving more major problems in the area, e.g., improving data structures for Euclidean shortest path queries from n^10 to maybe n^6 space, improving the space usage of Hershberger and Suri's well-known O(n log n) Euclidean shortest path algorithm, improving algorithms for Voronoi diagrams of point sites inside a polygonal domain, improving min-link path algorithms from near n^2 to n+h^2 complexity, etc._x000D_
_x000D_
This is a unified collection of tough, classical (old school) problems from computational geometry. Besides the success of the PI's past research, one strength of the proposal is that it provides very detailed, well-thought-out plans for tackling many of the open problems. The project will certainly advance basic knowledge in the field._x000D_
_x000D_
_x000D_
In the context of the five review elements, please _x000D_
evaluate the strengths and weaknesses of the proposal with respect to broader impacts._x000D_
_x000D_
One concern is that these algorithms could be too complicated for implementation, especially if the complexity is high (like the n^6 space data structure). Approximation algorithms could have more practical impact, which the proposal briefly mentions, but shifts focus away from. _x000D_
_x000D_
The education plan describes curriculum development and graduate student training at Utah State, and outreach to underrepresented groups in remote and rural areas._x000D_
_x000D_
_x000D_
Please evaluate the strengths and _x000D_
weaknesses of the proposal with respect to any additional solicitation-specific review criteria, if _x000D_
applicable_x000D_
_x000D_
_x000D_
_x000D_
Summary Statement_x000D_
_x000D_
Good past work and detailed future research plan. (Practical significance of the problems unclear.)_x000D_
_x000D_
_x000D_
</t>
  </si>
  <si>
    <t>US0729183</t>
  </si>
  <si>
    <t>Eppstein</t>
  </si>
  <si>
    <t>eppstein@uci.edu</t>
  </si>
  <si>
    <t xml:space="preserve">In the context of the five review elements, please _x000D_
evaluate the strengths and weaknesses of the proposal with respect to intellectual merit._x000D_
_x000D_
The proposal considers multiple problems involving shortest paths among geodesic distances or paths through obstacles, often with high computational complexity, and proposes to study algorithms to reduce their complexity. Specifically, it proposes an approximate three-order-of-magnitude reduction in the exponents for three problems (shortest path query data structure construction, geodesic centers, and geodesic diameters) by by more carefully analyzing the combinatorial complexity of an underlying curve arrangement._x000D_
It also proposes improving the space complexity of st-shortest path computation in this context (for algorithms with time O(n log n)) to linear, smaller by a logarithmic factor than known bounds. Additionally, it seeks algorithms with time O(n + poly(#holes)) for computing medial axes, minimum link paths, shortest-to-visibility paths, and polygon triangulations. Finally, it proposes to study algorithms for previously unstudied problems on paths without blind turns and on paths with refueling constraints._x000D_
_x000D_
Haitao Wang is a prolific researcher in computational geometry with recent works in both the top conference in the field (two papers in the 2017 Symp. Comp. Geom.) and the top journal ("Computing the L1 Geodesic Diameter", Discrete &amp; Comput. Geom. 2017), and many additional publications in other conferences and journals that are still very selective. He is well equipped to make progress in any computational geometry problem, especially one involving geodesic distances or paths through obstacles._x000D_
_x000D_
_x000D_
In the context of the five review elements, please _x000D_
evaluate the strengths and weaknesses of the proposal with respect to broader impacts._x000D_
_x000D_
As the proposal indicates, many of these problems have real-world applications related to geographic navigation._x000D_
_x000D_
The proposal includes development of courses on algorithms and computational geometry, and (a more novel aspect) the use of Utah State's distance education facilities to provide the course to underrepresented groups in rural areas, focusing on applications in order to motivate student interest._x000D_
_x000D_
_x000D_
Please evaluate the strengths and _x000D_
weaknesses of the proposal with respect to any additional solicitation-specific review criteria, if _x000D_
applicable_x000D_
_x000D_
_x000D_
_x000D_
Summary Statement_x000D_
_x000D_
The proposal seems certain to lead to multiple publications that advance knowledge within its subject area. Advances on any problem in this proposal would produce a publishable result, and the proposal contains a good balance between problems with a concrete solution plan and more open-eneded problems, enough to fill out the research period._x000D_
_x000D_
_x000D_
</t>
  </si>
  <si>
    <t>HP0981050</t>
  </si>
  <si>
    <t>Sidiropoulos</t>
  </si>
  <si>
    <t>sidiropo@gmail.com</t>
  </si>
  <si>
    <t xml:space="preserve">In the context of the five review elements, please _x000D_
evaluate the strengths and weaknesses of the proposal with respect to intellectual merit._x000D_
_x000D_
Strengths:_x000D_
_x000D_
The problems proposed fall within classical computational geometry. Therefore progress in this problems could influence other problems in this area. For example, the proposal seeks to address problems related to shortest path computations in polygonal domains. Research on polygonal domains has a long history in the computational geometry literature. Shortest path computations are a basic step used in many algorithms. Thus, improving existing algorithms and data structures for shortest paths, could lead to similar improvements for many other problems._x000D_
_x000D_
The plan for carrying out the proposed activities is very thought out. In fact, for some of the problems, the PI provides convincing preliminary parts of the technical work (for example, the use of corridor structure of polygonal domains)._x000D_
_x000D_
The PI has conducted research on problems very closely related to the ones proposed, and has obtained numerous results. He is therefore very well qualified to conduct the proposed research._x000D_
_x000D_
Weaknesses:_x000D_
_x000D_
I believe that the proposal could have been more ambitious in its overall goals. For example, a large portion of the problems involved improving the performance of existing algorithms for polygonal domains, when the number of holes is small. This is of course a natural and important problem. However, I would have expected an emphasis on a wider range of questions for such a long-term project._x000D_
_x000D_
Furthermore, some of the suggested problems only seek to obtain what appears to be incremental improvements over previous results. For example, in Euclidean shortest paths, the goal is to improve O(n log n) time and space algorithm to O(n). The high level idea plan is to improve an existing algorithm that uses persistent data structures, but grouping together n/log(n) events. Similarly, on Voronoi diagrams the goal is to improve the time from O(n log(n)) to O(n + h*log(h)). For triangulations, the goal is to improve the time from O(n + h*log^{1+eps}(h)) to O(n + h*log(h)), which is arguably a small improvement._x000D_
_x000D_
The Shortest Lookahead Paths is a new problem (proposed by Mitchell in a personal communication). It is simple to state, but it is unclear how important it is (both from a theoretical and a practical point of view)._x000D_
_x000D_
The proposal does not consider approximate solutions. As the PI points out, some of the problems considered have improved (1+eps)-approximate solutions, which would be desirable in practice. This is a weakness of the proposed work._x000D_
_x000D_
_x000D_
In the context of the five review elements, please _x000D_
evaluate the strengths and weaknesses of the proposal with respect to broader impacts._x000D_
_x000D_
Strengths:_x000D_
Some of the problems considered (for example, Voronoi diagrams), have important applications in practice. Polygonal domains can be used to model various physical systems (e.g., maps in navigation systems). Therefore, obtaining improved solutions in some of these problems could lead to faster algorithms._x000D_
_x000D_
Weaknesses: _x000D_
The lack of consideration of (1+eps)-approximate solutions limits the potential applicability of the obtained improvements in practice._x000D_
_x000D_
Please evaluate the strengths and _x000D_
weaknesses of the proposal with respect to any additional solicitation-specific review criteria, if _x000D_
applicable_x000D_
_x000D_
_x000D_
_x000D_
Summary Statement_x000D_
_x000D_
The proposal outlines a set of problems in 2-dimensional computational geometry on polygonal domains. The research plan seems plausible, but the proposed research agenda is somewhat limited in its scope._x000D_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</si>
  <si>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problems in the field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transportation, robotic motion planning, VLSI design, etc. While some new problems related to shortest paths are proposed, our target problem set also includes several classical problems in computational geometry. Based on new insights and observations, this project proposes novel ideas and algorithmic techniques that are expected to give significantly better solutions for these problems than previously attained. Some of the proposed algorithms may solve problems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designing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teaching. All research results produced in the project will be disseminated to the public.</t>
  </si>
  <si>
    <t>1749414</t>
  </si>
  <si>
    <t>Moseley</t>
  </si>
  <si>
    <t>RSHAH</t>
  </si>
  <si>
    <t xml:space="preserve"> Panel Summary       
 SUMMARY OF PROPOSED RESEARCH ACTIVITY_x000D_
_x000D_
Description :_x000D_
_x000D_
This project will develop algorithmic techniques for massively distributed computing (eg. Hadoop)._x000D_
-- Develop meta-algorithms that take as input a sequential algorithm and output a fast distributed simulation. _x000D_
-- Bioinformatics sequence alignment problems, typically ones that are solved using dynamic programs, edit distance being a canonical example_x000D_
-- Shortest Paths_x000D_
-- Matchings_x000D_
The model that they consider for most of the paper is a popular model, which essentially looks at reducing space. The shortest path work is more applied, with the goal being to  develop something that can be implemented in real-life settings._x000D_
_x000D_
INTELLECTUAL MERIT_x000D_
_x000D_
Strengths_x000D_
_x000D_
+ The PI is qualified to lead this research effort. He has obtained some important results in the area, and he has received a best-paper award at SPAA for related problems_x000D_
+ The research agenda is far-reaching, as it seeks to improve algorithmic solutions of important problems, according to some members of the panel. Moreover, it includes both short-term and long-term goals._x000D_
+ The PI proposes to develop and also implement his solutions. He has support from experts in the target areas (bioinformatics and online maps) that will help in formulating problems, discovering solutions, and bringing those solutions to practice._x000D_
_x000D_
Weaknesses_x000D_
_x000D_
- The PI has played an important role in developing this area, but this proposal appears to a great extent like it was written five years ago, or even before. For example, the proposal does not seem to take into account recent platforms, and the model of computation  does not seem appropriate for bioinformatics problems_x000D_
- With the exception of the shortest path algorithms, the problems discussed here appear incremental to some panel members_x000D_
_x000D_
BROADER IMPACTS_x000D_
_x000D_
Strengths_x000D_
_x000D_
+ In addition to the education plan at the University level, the PI also teaches a class to K-12 students, and is developing maker-lab projects, which will lead to an interesting one day workshop for K-12 students._x000D_
+ The PI will also write a book on massively parallel algorithms, which will be a major contribution._x000D_
+ The PI is advising undergraduate students, including two women. This undergraduate mentoring is well thought out._x000D_
+ The PI also has a record of tech transfer (k-means++ is in Cloudera)_x000D_
_x000D_
Weaknesses_x000D_
_x000D_
- The education plan is not as creative as it could have been with this research plan, but this was a minor point, not something that was viewed as a substantial drawback_x000D_
 _x000D_
_x000D_
CAREER SOLICITATION-SPECIFIC REMARKS:_x000D_
_x000D_
Letter of institutional commitment._x000D_
_x000D_
There is a strong letter of commitment from Michael Trick, Senior Associate Dean of Faculty and Research at CMU._x000D_
_x000D_
Integration of research and education:_x000D_
_x000D_
The education plan is very good: the proposal includes plans to develop a K-12 technology course, organize a bi-annual workshop between theory and practice, and write a book. The undergraduate mentoring plan is strong. The PI will incorporate previously uncovered topics on linear and integer programming, dynamic programming, network analysis and approximation algorithms in a new course on optimization._x000D_
_x000D_
ADDITIONAL REMARKS_x000D_
_x000D_
Research plan:_x000D_
_x000D_
The funding, duration, and evaluation plan are appropriate._x000D_
_x000D_
Collaboration plan:_x000D_
_x000D_
The collaboration plan is very strong, particularly with accomplished researchers at Google, who have provided letters of commitment to the collaboration._x000D_
_x000D_
Data Management Plan:_x000D_
_x000D_
This is adequate, and well thought out. The data generated from this project will be the implementation of algorithms and the analyzing of publicly available data sets.  The PI commits to make all substantial research data available to the research community_x000D_
_x000D_
Results of prior support:_x000D_
_x000D_
These are clearly stated. The most relevant grant is_x000D_
	AF: Small: Collaborative Research: Algorithmic and Computational Frontiers of MapReduce for Big Data Analysis_x000D_
which resulted in much progress, both in terms of intellectual merit and broad impact. This is ongoing._x000D_
_x000D_
Suggestions to PI:_x000D_
_x000D_
Some members of the panel felt that this proposal is somewhat backwards looking, building incrementally on the PI's work (and his previous NSF grant), whereas a career proposal should have substantial new ground being broken. The panel was unanimous in admiring the PI's strong collaborations, and the broad impacts section._x000D_
_x000D_
Justification for Panel Rating:_x000D_
_x000D_
The panel felt that this PI had a substantial track record, and is working in an important area. At the same time, this proposal seemed incremental and backwards looking._x000D_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</si>
  <si>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Scaling Computation via Massively Distributed Algorithms_x000D_
_x000D_
L: 1749414 Moseley, Benjamin Carnegie Mellon University $  545,000_x000D_
_x000D_
_x000D_
P180207 LC AF CAREER/CRII Panel A (14 panelists; 1 decl confl),_x000B_  on 10/24/2017, recommended as Low Competitive (E,E/V,V,G,G)_x000D_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</si>
  <si>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proposal looks at multiple problems in large scale distributed and parallel computation. The problems proposed are of theoretical interest, and in the case of the ones in bioinformatics, also of applied interest. The problems proposed will expand the field, but are not transformative. Broadly, two type of problems are suggested here: (a) A general theory of distributed algorithms along with classical optimization problems such as matchings, and (b) Specific dynamic programming problems in bioinformatics. The most interesting theoretical problem is simulation ù how can you automatically convert a sequential program into a distributed one. And the most representative bioinformatics problems are edit distance/sequence alignment, typically solved using dynamic programming. The proposal also discusses massively parallel algorithms for shortest path distances._x000D_
_x000D_
As a theory proposal, this looks at problems which are interesting, but perhaps not all the problems considered are at the cutting edge. Efficient distributed/map-reduce algorithms are known for various types of matchings and flows, and extending the literature feels a bit incremental. The practical part, with the exception of shortest paths where the PI has a credible implementation plan, feels a little too stylized to have actual practical impact. For example, while popular and used by many others, it is not clear how the model of computation used in this proposal is relevant to bioinformatics. That model talks primarily about using sub-linear memory, whereas a typical edit distance problem is not memory constrained. This proposal will benefit from getting more applied down to details of the application domain._x000D_
_x000D_
The PI has played an important role in developing this area, but this proposal appears to a great extent like it was written five years ago, or even before. For example, the proposal mentions simulating streaming algorithms using map-reduce. But what is described seems more like characterization, which is surprising given that (a) It is by now well established that a sketch results in both a good streaming algorithms and a good map-reduce or bsp algorithm and (b) for several years, there are popular software systems **already used in industry** such as the combination of (algebird, summingbird, scalding) or spark-streaming which allow users to write streaming and map-reduce algorithms at the same time._x000D_
_x000D_
Of course, a theoretical proposal does not need to demonstrate familiarity with all the systems out there. But in that case, the proposal needs to demonstrate more theoretical depth and modeling effort._x000D_
_x000D_
_x000D_
_x000D_
In the context of the five review elements, please _x000D_
evaluate the strengths and weaknesses of the proposal with respect to broader impacts._x000D_
_x000D_
In addition to the education plan at the University level, the PI also teaches a class to K-12 students, and is developing maker-lab projects, which will lead to an interesting one day workshop for K-12 students. The PI will also write a book on massively parallel algorithms, which will be a major contribution. The PI has strong collaborations at places like google and Yahoo! The PI is advising undergraduate students, including two women. This undergraduate mentoring is well thought out. The PI also has a record of tech transfer (k-means++ is in Cloudera)._x000D_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</si>
  <si>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1,2) This proposal studies algorithms for massively parallel computing.  The overarching goal is to create a black-box transformation that takes, as input, a sequential algorithm and outputs a polytime parallel one with a small number of rounds and memory requirements.  Such a transformation would greatly advance a wide array of fields which, overrun with big data, are no longer able to run sequential algorithms in practice.  _x000D_
_x000D_
3) This goal is overly ambitious, and there might not be a single transformation that works for all algorithms.  Instead, the PI proposes several classes of algorithms for particular target applications, and suggests approaches to parallelizing those.  These approaches are based on past work, and are very convincing (albeit perhaps a bit too convincing; in places, I was left wondering what obstacles remain in the proof sketches).  _x000D_
_x000D_
4) Past work on parallelization has provided solutions for dynamic-programming based sequential algorithms as well as greedy sequential algorithms (including work by the PI).  These solutions as well as other more tailored ones have been deployed and have had substantial influence in practice._x000D_
_x000D_
5) The PI proposes to develop and also implement his solutions.  He has support from experts in the target areas (bioinformatics and online maps) that will help in formulating problems, discovering solutions, and bringing those solutions to practice._x000D_
_x000D_
In the context of the five review elements, please _x000D_
evaluate the strengths and weaknesses of the proposal with respect to broader impacts._x000D_
_x000D_
4) The PI has a track record of broader impacts, including successful REUs, course development, and K-12 outreach.  _x000D_
_x000D_
1) The proposal includes plans for the PI to further develop these broader impacts.  The suggested teaching (in course instruction, advising capacities, and a textbook) will advance societal knowledge of the key target areas of the proposal.  Furthermore, the deployment of new parallel algorithms for common computing tasks will impact important industries._x000D_
_x000D_
3) The broader impact plan is well-reasoned, including explanations of how different levels of students (K-12, undergrad, and grad) can participate in and learn from the research goals of the projects.  _x000D_
_x000D_
5) The PI has accounted for the required resources in his proposal, including a request for REU support._x000D_
_x000D_
2) While the broader impact plan is not particularly creative, I still think it has great value._x000D_
_x000D_
Please evaluate the strengths and _x000D_
weaknesses of the proposal with respect to any additional solicitation-specific review criteria, if _x000D_
applicable_x000D_
_x000D_
None._x000D_
_x000D_
Summary Statement_x000D_
_x000D_
This is an excellent proposal.  I think it should certainly be funded._x000D_
_x000D_
</t>
  </si>
  <si>
    <t>PU0973340</t>
  </si>
  <si>
    <t>Kortsarz</t>
  </si>
  <si>
    <t>guyk@camden.rutgers.edu</t>
  </si>
  <si>
    <t xml:space="preserve">In the context of the five review elements, please _x000D_
evaluate the strengths and weaknesses of the proposal with respect to intellectual merit._x000D_
_x000D_
The PI addresses an important concept: making computation of big data,_x000D_
massively parallel. _x000D_
The main model suggested is Map Reduce and so I will focus _x000D_
on that._x000D_
_x000D_
People at Google invented the Map Reduce model. You have m processors. The problem is divided _x000D_
into roughly m relatively disjoint parts._x000D_
_x000D_
Each processor is assigned space N/m for m=^n^1-\delta._x000D_
This means that the number of machines is polynomial in the _x000D_
data size and may look suspect. However, I heard from Vahab_x000D_
Mirrokni (Google NY) that he is able to run many _x000D_
machines in parallel. If I correctly remember the number_x000D_
he gave was 10000. Thus, its possible  that the number _x000D_
of machines is reasonable. In map reduce the computation is in rounds._x000D_
Thus, we have more than the usual one step for a processor to _x000D_
work serially on the data that is given._x000D_
_x000D_
After that, the processors communicate. And then a new round starts._x000D_
_x000D_
_x000D_
Note: There was a decline in the interest _x000D_
in parallel computing because of the over head in the communication._x000D_
_x000D_
The PI does not address that. And he should have. Making _x000D_
practical impact is part of the suggested broader impact._x000D_
From the proposal it highly unclear if the proposal will have _x000D_
impact on the industry._x000D_
_x000D_
A good point is that the PI intends to work with an accomplished scholar from Google, namely, _x000D_
Ravi Kumar from Google. In addition some of the references _x000D_
suggest that some practical advances have been obtained._x000D_
But the PI should have discussed that in details._x000D_
_x000D_
The PI want to apply this model to solve several problems on massive data._x000D_
_x000D_
A very general task is to run in parallel several different_x000D_
algorithms. Since I do not think the number of algorithms would be that high, this should be an attainable goal._x000D_
_x000D_
A second goal is to Identify classes of algorithms that can be transformed into fast distributed methods._x000D_
_x000D_
This is vague and too general to evaluate. Classes of algorithms?_x000D_
On the plus side the PI was able to achieve a similar goal twice._x000D_
The PI's past showed that it can be done for a class of sequential greedy algorithms. This is paper 63 which won best paper award in SPAA_x000D_
2014._x000D_
_x000D_
A second success is by giving a general scheme to make solution that use Dynamic programming highly parallel. See paper 57 by Sungjin Im, Benjamin Moseley, and Xiaorui Sun which is a STOC paper._x000D_
In fact most of the paper of the PI are in rather theoretical conferences, and _x000D_
its hard to know if they are practical._x000D_
_x000D_
The next goal is streaming. In this situation you have a massive collection of massive data is streamed and a much smaller memory is available. The idea is to try to preserve in the small memory a function of the data read so far, so that at the end, a certain property of the Data could be approximated (well known initial examples were approximating the average and if I remember correctly, the variance as well)._x000D_
_x000D_
If I understand correctly, the PI want to make the streaming computation massively parallel. And thus the stream is divided among many processors._x000D_
_x000D_
An important goal is to try and make algorithms for strings highly parallel. In particular the edit distance (which is a metric) is in my opinion a very important notion from a practical point of view. The PI also suggest a (maybe harder task of) making string alignment algorithms highly parallel._x000D_
_x000D_
The PI in particular works on questions from Biology. This seems promising as the PI works with a person from the industry._x000D_
_x000D_
The PI suggest the highly ambitious goal of making the computation of _x000D_
an approximation for the distances in a graph, massively parallel._x000D_
This is the part from the proposal to be shred with Ravi Kumar._x000D_
_x000D_
Note that approximation of distances may not be the practical measure, and that the path are usually stochastic with some distribution._x000D_
_x000D_
Here the PI suggest the deal with the seminal goal of being scalable._x000D_
This means that if the input significantly grows, the algorithms still would run efficiently. _x000D_
_x000D_
Note that in Map reduce,  like in the class NC, the number of rounds at worse should be at most polylogarithmic._x000D_
_x000D_
The PI ultimate goal is to give a 1+epsilon approximation for the shortest path problem, in O(log n) rounds._x000D_
A simple randomized approach is presented for sqrt{n} rounds,_x000D_
and the PI suggest some ways that may turn the number of rounds to polylog._x000D_
_x000D_
An interesting goal is to approximate the maximum matching on a bipartite graph via massively parallel system._x000D_
The author uses a theorem that indicates that if all augmenting paths are large, the matching is already close to be maximum. _x000D_
_x000D_
As one could expect from a researcher of CMU, the PI is a strong researcher. A lot of papers in STOC/FOCS/SODA. As a student, the PI got a best student paper SODA paper award which is impressive._x000D_
_x000D_
The goals of the proposal if attainable may be important._x000D_
It looks like the PI should be able to solve at least some of the _x000D_
problem suggested. In fact in page 16 the author promises to improve a ratio of 1/2 to 1-epsilon. This may indicate that some preliminary work has been done._x000D_
_x000D_
In the context of the five review elements, please _x000D_
evaluate the strengths and weaknesses of the proposal with respect to broader impacts._x000D_
_x000D_
The author suggest several things as broader impact._x000D_
_x000D_
1) Develop a course and write a book on the topic._x000D_
This is rather standard._x000D_
_x000D_
2) The author has several practical papers with undergraduate students._x000D_
I am not surprised the CMP students would be able to program._x000D_
A more difficult goal is to achieve a theoretical paper with _x000D_
an undergraduate student. This has been done_x000D_
and is not impossible. I do not see this part as especially impressive._x000D_
_x000D_
3) The authors hints that his work may have practical applications. But this simply can not be deduced from the information in the proposal._x000D_
_x000D_
The Broader impact here is not strong. Perhaps the word I should use is reasonable._x000D_
_x000D_
Please evaluate the strengths and _x000D_
weaknesses of the proposal with respect to any additional solicitation-specific review criteria, if _x000D_
applicable_x000D_
_x000D_
As I said, the weaknesses is the lack of discussion of the overhead_x000D_
in massively parallel computing, the lack of clarification of how much will the proposal affect the industry (not all project of google gets to be a software that is sold). And the Broader impact is not strong._x000D_
_x000D_
Summary Statement_x000D_
_x000D_
The PI is a very strong researcher. The problems are essential._x000D_
The PI seems to be capable to handle such questions._x000D_
And for the somewhat weak point see above._x000D_
_x000D_
_x000D_
_x000D_
</t>
  </si>
  <si>
    <t xml:space="preserve">In the context of the five review elements, please _x000D_
evaluate the strengths and weaknesses of the proposal with respect to intellectual merit._x000D_
_x000D_
Strengths:_x000D_
_x000D_
The proposed research seeks to design improved algorithms for fundamental problems in parallel systems such as MapReduce._x000D_
_x000D_
The research agenda is far-reaching, as it seeks to improve algorithmic solutions of important problems. Moreover, it includes both short-term and long-term goals. For example, some of the short-term goals include obtaining a (1+eps)-approximate shortest paths algorithm with polylog(n) rounds is an important, and optimistic goal. The broader goals include obtaining general methods for transforming a divide &amp; conquer algorithm to a MapReduce algorithm. It is worth noting that the PI has obtained a similar meta-theorem in the past regarding greedy algorithms._x000D_
_x000D_
Based on their high-level description, the technical approaches that will be explored to solve the proposed problems, seem plausible. The implementation goal seems to be planned thoroughly. The budget includes funds for purchasing processing time in large systems for evaluation purposes._x000D_
_x000D_
The PI is qualified to lead this research effort. He has obtained some important results in the area, and he has received a best-paper award at SPAA. _x000D_
_x000D_
_x000D_
In the context of the five review elements, please _x000D_
evaluate the strengths and weaknesses of the proposal with respect to broader impacts._x000D_
_x000D_
Strengths:_x000D_
The work of the PI transcends the boundaries of theory, as demonstrated by his work on k-means clustering that has been implemented and included in machine learning software package._x000D_
_x000D_
The proposal outlines specific collaboration plans with Google on designing algorithms for shortest paths. This has the potential to transfer ideas between theory and practice._x000D_
_x000D_
_x000D_
_x000D_
Please evaluate the strengths and _x000D_
weaknesses of the proposal with respect to any additional solicitation-specific review criteria, if _x000D_
applicable_x000D_
_x000D_
The education plan is very good: the proposal includes plans to develop a K-12 technology course, organize a bi-annual workshop between theory and practice, and write a book._x000D_
_x000D_
_x000D_
Summary Statement_x000D_
_x000D_
This is a well thought-out proposal. It seeks to address important algorithmic problems in an exciting new direction. Progress on the outlined problems could likely lead to improved algorithms in practice._x000D_
_x000D_
</t>
  </si>
  <si>
    <t>HB1006554</t>
  </si>
  <si>
    <t>Singh</t>
  </si>
  <si>
    <t>mohitsinghr@gmail.com</t>
  </si>
  <si>
    <t xml:space="preserve">In the context of the five review elements, please _x000D_
evaluate the strengths and weaknesses of the proposal with respect to intellectual merit._x000D_
_x000D_
The proposal considers designing algorithms for parallel model of computation like mapreduce. The proposal aims to develop generic methods to convert a class of sequential algorithms to such parallel models. PI also aims to look at string matching problems in the model as well a matching and shortest path problems. _x000D_
_x000D_
PI is an expert in the area and gives a good plan for proposed research. The main drawback of the work is lack of potentially transformative ideas and focuses narrowly on particular problems. PI has restricted the proposal to a particular model proposed in previous work. The proposal does not take a critical look at the models that have been proposed and are being proposed and whether they need to be revised given the ongoing advances in technology._x000D_
_x000D_
In the context of the five review elements, please _x000D_
evaluate the strengths and weaknesses of the proposal with respect to broader impacts._x000D_
_x000D_
PI has proposed interaction with companies and code development to ensure research is incorporated in new technologies. The PI also plan to develop coursework and write a book to disseminate the work._x000D_
_x000D_
Please evaluate the strengths and _x000D_
weaknesses of the proposal with respect to any additional solicitation-specific review criteria, if _x000D_
applicable_x000D_
_x000D_
_x000D_
_x000D_
Summary Statement_x000D_
_x000D_
The proposal is technically strong and aims to develop new algorithms for multiple problems in the parallel models of computation. The main drawback is the narrow outlook to restrict the work to a certain specific model proposed in literature._x000D_
_x000D_
</t>
  </si>
  <si>
    <t>This project will develop an algorithmic foundation for massively parallel computing frameworks such as Spark and MapReduce. The project's goal is to give scalable massively parallel algorithms for problems such as matchings, flows, shortest-paths and sequence-comparison. The methods developed will overcome common barriers in scalable algorithm design by leveraging the unique features of massively parallel computing frameworks.Massively distributed frameworks such as Spark and MapReduce are commonly used in industry for large scale computing. These technologies and their use have been developed mostly by practitioners and applied researchers. This project will offer new insights into the use of these frameworks through theoretical algorithmic investigation. The theoretical work in this project will influence practice similarly to other areas such as parallel computing and streaming computations._x000D_
_x000D_
Massively distributed frameworks were originally developed for simple types of computations, but the technologies have the potential to be useful for a rich class of applications. This project will demonstrate this by developing scalable methods for central problems in large data analysis. This project has the following goals. For each goal, preliminary work discussed in this proposal shows that the direction is promising and likely to be successful._x000D_
_x000D_
-Develop meta-algorithms that take a sequential method as input and output a fast distributed simulation. Target classes to simulate include divide-and-conquer and streaming algorithms. Such meta-algorithms will give a systematic approach to scale existing methods._x000D_
_x000D_
-Develop scalable methods for computing near optimal matchings, b-matchings and bipartite flows. These techniques will lead to efficient large scale solutions for assignment problems such as mapping ads to webspace._x000D_
_x000D_
-Reveal scalable methods for sequence comparison problems arising in bioinformatics including edit-distance, longest common subsequence, and subsequence alignment. The methods will efficiently produce provably near-optimal solutions for comparing large sequences. This will scale whole genome comparison and related problems._x000D_
_x000D_
-Develop scalable methods for near optimal shortest path computations, a central challenge in operations research. This will reveal new directions for scalable shortest-path algorithm design by investigating the applicability of massively parallel frameworks for the problem._x000D_
_x000D_
Achieving these goals can influence methods in production similarly to past massively distributed algorithmic investigations for problems such as clustering. Successfully addressing these challenges requires a background in distributed algorithm design, modeling, and hands-on cluster computing experience.  The PI brings this background to the project.The PI has been given permission to integrate current approaches for data analytics into the core undergraduate optimization course and this course will be redesigned in this project. A graduate course on massively distributed computing will be developed. The PI will develop a K-12 technology course on robotics. Graduate and undergraduate students will be trained during the project._x000D_
_x000D_
Techniques developed will be summarized in a book. This book will make the key ideas for massively distributed algorithm design accessible to the community. The PI will organize a bi-annual workshop bringing practitioners and theoreticians together to advance algorithm design.</t>
  </si>
  <si>
    <t>1749563</t>
  </si>
  <si>
    <t>Del Pia</t>
  </si>
  <si>
    <t xml:space="preserve"> Panel Summary       
 SUMMARY OF PROPOSED RESEARCH ACTIVITY_x000D_
_x000D_
Description :_x000D_
_x000D_
The proposal aims to design algorithms for mixed integer quadratic programs. One goal is to find polynomial time algorithms for convex/quasi-convex MIQP when the number of integer variables is fixed and obtain approximation schemes for concave MIQP under similar assumptions. Another is to solve the general MIQP in fixed dimensions. In addition, the proposal aims to look at MIQP when the constraint matrix is structured such as TU/TDI etc. Development of cutting plane algorithms is also proposed. _x000D_
_x000D_
INTELLECTUAL MERIT_x000D_
_x000D_
Strengths_x000D_
_x000D_
+ The proposed problems are fundamental problems in optimization and their resolution will add to the rich and classical theory of algorithms for (mixed) integer programming in fixed dimensions._x000D_
+ PI is well qualified to work on the problems proposed and has significant preliminary results. _x000D_
+ The plan of work is very well organized (although there is no precise timeline). _x000D_
+ The PI plans for 'plan B' options: he discusses what he would do if what he plans does not work, which illustrates the level of readiness of this project. _x000D_
_x000D_
_x000D_
Weaknesses_x000D_
_x000D_
- The research proposed is creative, but perhaps not transformative -- many of the concepts and techniques are well established in the optimization literature_x000D_
_x000D_
_x000D_
BROADER IMPACTS_x000D_
_x000D_
Strengths_x000D_
_x000D_
+ The work has potential for impact on solvers that aim to solve these problems in practice. _x000D_
+ The educational and outreach activities are creative and extremely well thought out and articulated and the PI seems to be very passionate and involved with outreach, as well as educating younger students._x000D_
+ The PI has designed detailed hands on optimization activities at the K-12 level, and these morph into optimization puzzles for undergraduate students_x000D_
_x000D_
Weaknesses_x000D_
_x000D_
- The suggested techniques seem to be more restricted to the field, rather than advance knowledge across different fields_x000D_
- The PI could have provided more details of past education and outreach activities_x000D_
_x000D_
_x000D_
CAREER SOLICITATION-SPECIFIC REMARKS:_x000D_
_x000D_
Letter of institutional commitment._x000D_
_x000D_
There is a strong letter of commitment from Jeff Linderoth, Department Chair, Department of Industrial and Systems Engineering, at the University of Wisconsin-Madison._x000D_
_x000D_
Integration of research and education:_x000D_
_x000D_
The panel was unanimous that the research and education plan of this proposal are very well integrated, with a strong optimization education component from K-12, to undergraduate, all the way to the advanced PhD level._x000D_
 _x000D_
_x000D_
ADDITIONAL REMARKS_x000D_
_x000D_
Research plan:_x000D_
_x000D_
The research plan, duration, and budget are appropriate for the proposed research._x000D_
_x000D_
Collaboration plan:_x000D_
_x000D_
Two letters of collaboration have been provided from partners who are crucial for the education and outreach components; this collaboration is planned out in detail, which the panel appreciates. _x000D_
_x000D_
Data Management Plan:_x000D_
_x000D_
The PI anticipates that the only end product of the proposed research will be research papers, which will be disseminated online via preprint services such as arxiv. This is adequate for this proposal._x000D_
_x000D_
Results of prior support:_x000D_
_x000D_
The PI mentions the most relevant NSF grant as_x000D_
_x000D_
	Structural Properties and Strong Relaxations for Mixed Integer Polynomial Optimization_x000D_
_x000D_
Several papers have resulted from that project. The PI mentions potential important applications in optimization software, but does not provide any evidence that he is working towards realizing this potential._x000D_
_x000D_
Suggestions to PI:_x000D_
_x000D_
For the applied problems, the PI should provide more detail for why other heuristics/approximations will not work as well as the MIQP-based approach. Also, for the educational section, it would be good if the PI could also provide details of past activities in addition to future plans, specially with regards to K-12._x000D_
_x000D_
Justification for Panel Rating:_x000D_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PI is well qualified to approach the problems proposed and has significant results in the problems proposed. _x000D_
_x000D_
Panel Rating:_x000D_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</si>
  <si>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A very good proposal setting clear questions and a nice plan of action. Excellent educational plan._x000D_
_x000D_
Intellectual merit:_x000D_
Strengths:_x000D_
+ The PI has conducted prior work in the area he plans to work on. He has prior NSF support in the same general area._x000D_
+ The research questions identified by the PI are ambitious, yet very clear and on point. _x000D_
+ The success of this proposal will contribute to an increased understanding of MIQP, theoretically, and practically with an enhanced toolbox for practitioners._x000D_
+ The plan of work is very well organized (although there is no precise timeline). _x000D_
+ The PI plans for 'plan B' options: he discusses what he would do if what he plans does not work, which illustrates the level of readiness of this project._x000D_
_x000D_
Weaknesses_x000D_
- No timeline._x000D_
- Except for discussed alternative plans, there is no clear assessment plan. _x000D_
_x000D_
_x000D_
In the context of the five review elements, please _x000D_
evaluate the strengths and weaknesses of the proposal with respect to broader impacts._x000D_
_x000D_
Strengths_x000D_
+ The success of this project will have tremendous impact on a wide variety of practitioners as solvers are expected to be greatly enhanced._x000D_
+ The PI plans to use his affiliation with the Wisconsin Institute for Discovery to help disseminate his work to a variety of fields. _x000D_
+ The PI plans to put together outreach activities for pre-college students and other competitions for undergraduate and graduate students._x000D_
+ He plans to create a course centered on the topic of his proposed work, which he plans to use as a starting point for a monograph._x000D_
_x000D_
Weaknesses_x000D_
- None_x000D_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very creative educational plan._x000D_
+ His education plan is substantial, ambitious, well thought-out, and creative. The depth of the proposed activities and focus show a drive for integrating research and education._x000D_
_x000D_
Weaknesses_x000D_
- None_x000D_
_x000D_
Data Management Plan_x000D_
The Data Management Plan seems appropriate. _x000D_
_x000D_
_x000D_
Summary Statement_x000D_
_x000D_
Overall, an excellent proposal with a strong and ambitious research agenda and an excellent education plan. _x000D_
_x000D_
_x000D_
</t>
  </si>
  <si>
    <t xml:space="preserve">In the context of the five review elements, please _x000D_
evaluate the strengths and weaknesses of the proposal with respect to intellectual merit._x000D_
_x000D_
The proposal looks at multiple problems in the general class of mixed integer quadratic programs. Just the integer part, or just the quadratic part, are enough to make the problem intractable. But there are many special cases that can be solved efficiently, such as when the number of integer variables is small and the quadratic objective is in fact convex (e.g. when the quadratic part is positive semi-definite). The PI proposes to expand the set of special cases which are known to be tractable, and develop heuristic (e.g. cutting plane methods) in other cases. This is a widely applicable problem, with nice connections to classical optimization. Thus this has substantial intellectual merit. The research proposed is creative, but perhaps not transformative -- many of the concepts and techniques are well established in the optimization literature. The PI is well qualified, and one of the foremost experts in MIQP, and the program of research has a high chance of success._x000D_
_x000D_
In the context of the five review elements, please _x000D_
evaluate the strengths and weaknesses of the proposal with respect to broader impacts._x000D_
_x000D_
The education plan is specially creative, with hands-on components. The PI proposes interactive activities to encourage the study and understanding of optimization for K-12 students and interested adults. These are highly innovative, e.g. students will solve shortest path problems in a parking lot. This morphs into optimization puzzles for undergrads smoothly_x000D_
_x000D_
The project (specially the cutting planes part) has the potential to advance the state of MIQP solvers._x000D_
_x000D_
_x000D_
Please evaluate the strengths and _x000D_
weaknesses of the proposal with respect to any additional solicitation-specific review criteria, if _x000D_
applicable_x000D_
_x000D_
_x000D_
_x000D_
Summary Statement_x000D_
_x000D_
This is a high quality proposal in all respects. But there is some concern that the theory proposed is not transformative, and the practical impact is somewhat removed from a concrete application (e.g. it is in terms of solvers, but not in terms of actual problems on the ground) so there is some risk that alternate, more direct approaches may be available in the underlying application domains._x000D_
_x000D_
</t>
  </si>
  <si>
    <t xml:space="preserve">In the context of the five review elements, please _x000D_
evaluate the strengths and weaknesses of the proposal with respect to intellectual merit._x000D_
_x000D_
strengths:_x000D_
+ The proposed research questions are both theoretically important and will have significant practical applications if resolved. The techniques that the PI plans to develop to solve those questions could advance knowledge and understanding within the field._x000D_
+ The PI is very well positioned to conduct the suggested research_x000D_
+ The proposal is very well written and I enjoyed reading it._x000D_
+ The proposed research plan is well thought out._x000D_
_x000D_
weaknesses:_x000D_
- other than the great  practical implications of the work, the suggested techniques seem to be more restricted to the field, rather than advance knowledge across different fields_x000D_
_x000D_
In the context of the five review elements, please _x000D_
evaluate the strengths and weaknesses of the proposal with respect to broader impacts._x000D_
_x000D_
strengths:_x000D_
+ the educational plan is stellar. The educational and outreach activities are extremely well thought out and articulated and the PI seems to be very passionate and involved with outreach, as well as educating younger students. I found absolutely no weaknesses in this aspect of the proposal._x000D_
_x000D_
Please evaluate the strengths and _x000D_
weaknesses of the proposal with respect to any additional solicitation-specific review criteria, if _x000D_
applicable_x000D_
_x000D_
_x000D_
_x000D_
Summary Statement_x000D_
_x000D_
The proposal aims to advance the design and analysis of algorithms for Mixed Integer Quadratic Programming. While for Mixed Integer Linear Programming, a lot is known, there is very little progress in understanding complexity and algorithmic aspects of MIQP. The proposed activities are well thought out and explained, and the problems that the PI aims to solve are both theoretically and practically interesting, albeit perhaps of a somewhat narrow scope. The educational plan of the PI is exceptional. Overall a very good proposal_x000D_
_x000D_
</t>
  </si>
  <si>
    <t xml:space="preserve">In the context of the five review elements, please _x000D_
evaluate the strengths and weaknesses of the proposal with respect to intellectual merit._x000D_
_x000D_
The proposal aims to design algorithms for mixed integer quadratic integer programs. The proposal aims to find polynomial time algorithms for convex/quasi-convex MIQP when the number of integer variables is fixed and obtain approximation schemes for concave MIQP under similar assumptions. The proposal also aims to solve the general MIQP in fixed dimensions. In addition, the proposal aims to look at MIQP when the constraint matrix is structured such as TU/TDI etc. Development of cutting plane algorithms is also proposed. 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_x000D_
PI is a well qualified to approach the problems proposed and has significant results in the problems proposed. _x000D_
_x000D_
_x000D_
In the context of the five review elements, please _x000D_
evaluate the strengths and weaknesses of the proposal with respect to broader impacts._x000D_
_x000D_
The proposal outlines various avenues of broader impact including education, outreach to k-12, graduate and undergraduate student involvement. The PI will also aim to disseminate research to relevant companies developing software solutions for MIQPs as well as writing a book/monograph and developing a new course._x000D_
_x000D_
Please evaluate the strengths and _x000D_
weaknesses of the proposal with respect to any additional solicitation-specific review criteria, if _x000D_
applicable_x000D_
_x000D_
_x000D_
_x000D_
Summary Statement_x000D_
_x000D_
The proposal aims to find efficient exact or approximate algorithms for various versions of MIQP. The proposal will advance the understanding of computatability of MIQPs fundamentally._x000D_
_x000D_
</t>
  </si>
  <si>
    <t>The goal of the proposed research is to advance the design and the analysis of algorithms for Mixed-Integer Quadratic Programming (MIQP). The relevance of MIQP is twofold. On the one side, many important applications can be naturally modeled as MIQPs. On the other side, MIQP is a prototypical Mixed-Integer Nonlinear Programming (MINLP) model, as it captures the critical elements of those models, but in the simplest possible way, making it the natural first step to construct efficient algorithms for MINLP._x000D_
In particular, MIQP subsumes Mixed-Integer Linear Programming (MILP). Over the past 60 years the field of MILP has achieved great success from a theoretical, computational, and applied point of view. Such a level of maturity has not been reached when one considers MIQP. The objective of the proposed research is to close this gap on a theoretical level. Specifically, the goals are: (i) Design exact and approximation algorithms that run in polynomial time for important classes of MIQP problems; (ii) Identify classes of MIQP problems for which it is NP-hard to find exact and approximate solutions; (iii) Design cutting plane algorithms for wide classes of MIQP problems. By leveraging on the extensive MILP and Quadratic Programming (QP) literature, for the first time novel directions are proposed for extending a variety of powerful MILP and QP methods to the vastly different MIQP setting._x000D_
To promote interest in optimization among precollege students and the general public, interactive activities will be developed and delivered. At the undergraduate level, an optimization puzzle competition will stimulate interest in optimization, and a new module will expose students to core MIQP problems. At the graduate level, a new algorithmic course on MIQP will be introduced, and it will be used as the starting material for the design of a monograph on MIQP.The success of this project will shed light on the fundamental limits of computation in MIQP and will expose large classes of MIQP problems that can be solved efficiently within those limits. Moreover, it will significantly enhance the mathematical toolkit used by researchers for the design and analysis of algorithms for MIQP. The success of this project could also lead to resolving some fundamental open questions regarding computational complexity such as: (a) Does there exist a Fully Polynomial-Time Approximation Scheme (FPTAS) for MIQP, provided that the number of integer variables and the number of negative eigenvalues of the objective function are fixed? (b) Does there exist a polynomial-time exact algorithm for MIQP in fixed dimension?Seminal work in algorithms for MILP is the key component that led to the development of highly efficient and robust solvers for MILP that are used by thousands of organizations for solving large scale optimization problems. In spite of their significant impact in a variety of fields, there exist a multitude of important applications that cannot be formulated as MILP problems. A large number of these applications, in areas such as engineering, computer science, physics, biology, finance, and economics can be modeled as MIQPs. However, state-of-the-art MIQP solvers are currently not comparable to MILP solvers. Like in the MILP case, the proposed algorithmic framework for MIQP could have a significant impact in our ability to enhance state-of-the-art solvers that will eventually solve real-world MIQP problems. Moreover, this work will lay the foundations for the design of solution methods for the more general class of MINLP problems. The PI's affiliation with the Wisconsin Institute for Discovery will play a key role in spreading the impact of this research among neighboring fields._x000D_
The proposed interactive activities will increase the number of decision-makers in industry, government, and general public that choose to use optimization tools to make better decisions. The optimization puzzle competition and the new undergraduate module will foster an environment for undergraduate research in optimization. The new graduate course on MIQP will enrich an already vibrant environment for graduate research. This course, and the corresponding monograph, will also disseminate the state-of-the-art theory and solution methodologies for MIQP, and will get more researchers involved in this promising area of research.</t>
  </si>
  <si>
    <t>1749609</t>
  </si>
  <si>
    <t>Lee</t>
  </si>
  <si>
    <t xml:space="preserve"> Panel Summary       
 SUMMARY OF PROPOSED RESEARCH ACTIVITY_x000D_
_x000D_
Description :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is to investigate some avenues from convex geometry, such as resolve the KLS conjecture,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_x000D_
_x000D_
 INTELLECTUAL MERIT_x000D_
_x000D_
_x000D_
Strengths_x000D_
_x000D_
+ The panel unanimously thought that this was an excellent research direction and the execution plan of the suggested research was very well thought out._x000D_
+ The proposal was well written and pleasing to read_x000D_
+ plan of attack is there with details_x000D_
+ The PI has an excellent track record and has done stellar research in the field, thus the panel was confident that (some of) the goals of the proposal, even though ambitious, will come to fruition._x000D_
_x000D_
Weaknesses_x000D_
_x000D_
- The panel found no apparent drawbacks in the research and intellectual merit aspects of the proposal._x000D_
_x000D_
BROADER IMPACTS_x000D_
_x000D_
_x000D_
_x000D_
Strengths_x000D_
_x000D_
+ The panel thought that the research proposed had great potential of shaping the way we think of optimization_x000D_
+ The panel liked how the PI proposed to include the proposed research ideas in curriculum_x000D_
+ The panel appreciated the fact that the PI gave examples of concrete people he has influenced _x000D_
+ The PI's attempts to develop an interdisciplinary curriculum, and the multi-disciplinary workshops he has organized at STOC and ICCOPT bridging the discrete and continuous optimization communities is indicative of strong outreach across fields._x000D_
_x000D_
_x000D_
_x000D_
Weaknesses_x000D_
_x000D_
- While some panel members felt the educational and broader impacts section was adequate, some others were unsatisfied with it and would have liked to see a better developed educational plan. Some panel members saw it was a significant drawback that there was not enough effort to reach undergrads, K-12 and minority students._x000D_
_x000D_
- The panel thought that the mention of the empirical study was very short, making it unclear if the research will have impacts in the applications domains. It would be best if the PI expanded on the empirical part, or removed it._x000D_
 _x000D_
_x000D_
CAREER SOLICITATION-SPECIFIC REMARKS:_x000D_
_x000D_
Letter of institutional commitment. adequate_x000D_
_x000D_
Integration of research and education: The curriculum development the PI proposes is integrating his very important research with teaching. The panel thought that was really nice.  _x000D_
_x000D_
 _x000D_
_x000D_
ADDITIONAL REMARKS_x000D_
_x000D_
Research plan: clear_x000D_
_x000D_
Collaboration plan: adequate_x000D_
_x000D_
_x000D_
Data Management Plan: adequate_x000D_
_x000D_
Results of prior support:  Clearly stated_x000D_
_x000D_
 _x000D_
_x000D_
Suggestions to PI: _x000D_
 _x000D_
_x000D_
Justification for Panel Rating: The panel thought the research directions of the PI are excellent. However, the panel felt that the proposal was somewhat lacking in the outreach and broader educational aspect._x000D_
_x000D_
 _x000D_
_x000D_
Panel Rating:_x000D_
_x000D_
X_ Highly Competitive_x000D_
_x000D_
_ Competitive_x000D_
_x000D_
_ Low Competitive_x000D_
_x000D_
_ Not Competitive_x000D_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</si>
  <si>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This proposal seeks to better understand connections between sampling and convex optimization, and in particular to attack the conjecture of Kannan, Lovasz and Simonovits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Relatedly, the proposal seeks to reduce the number of iterations for these methods, beyond the improvement from sqrt(m) to sqrt(n) already achieved by the proposer and others (where here n is the number of variables and m the number of constraints). The proposal offers several promising and specific pathways to achieve progress in this area, which, while possibly not leading to a full proof of the conjecture, could make significant progress on known bounds for these problems. It also proposes work on important related problems including isoperimetry for 0-1 polytopes and mixing of random walks on manifolds._x000D_
_x000D_
Yin Tat Lee has an extremely strong record of recent theory publications with three FOCS papers in 2015, two STOC and two SODA papers in 2016, and four STOC papers and one FOCS paper in 2017._x000D_
_x000D_
_x000D_
In the context of the five review elements, please _x000D_
evaluate the strengths and weaknesses of the proposal with respect to broader impacts._x000D_
_x000D_
The PI has a track record of working to facilitate cross-disciplinary collaboration and plans to continue in these efforts. In particular, there are close connections from these topics to machine learning. Additionally, the proposal includes efforts to make the topics of the proposal more widely accessible through survey papers and online resources._x000D_
_x000D_
_x000D_
Please evaluate the strengths and _x000D_
weaknesses of the proposal with respect to any additional solicitation-specific review criteria, if _x000D_
applicable_x000D_
_x000D_
_x000D_
_x000D_
Summary Statement_x000D_
_x000D_
This is an ambitious proposal on cutting-edge problems in convex optimization. The central problem of concern here (the KLS conjecture) is hard, so there is a reasonably high risk that it will not be completely resolved by the proposed line of research, but given the PI's track record and concrete plans for approaching the project it seems likely that this proposal will nevertheless lead to significant advances._x000D_
_x000D_
</t>
  </si>
  <si>
    <t xml:space="preserve">In the context of the five review elements, please _x000D_
evaluate the strengths and weaknesses of the proposal with respect to intellectual merit._x000D_
_x000D_
The PI proposes to study some of the most fundamental problems in convex optimization, and has a credible path of attack. The problems proposed can be divided into three categories: (a) Convex geometry ù here, the main problems are to understand efficient approximations of polyhedra by ellipsoids, and to understand how to get fast samples from a convex set. (b) Combinatorial algorithms, most notable fast algorithms for linear programs, and (c) Convex optimization, where insights from (a) and (b) are used to get taster cutting plane methods._x000D_
_x000D_
This is a high quality proposal in all regards, and deserves to be supported. The division of problems into convex and combinatorial seems somewhat arbitrary, but the PI has a strong track record, and as long as there is progress on these problems, it is not going to matter much how we characterize them._x000D_
_x000D_
This is a high risk proposal in that many of the problems proposed may result in impossibility results as opposed to algorithmic progress; however even negative results will be intellectually exciting, and the PI absolutely deserves to be supported in this attempt._x000D_
_x000D_
In the context of the five review elements, please _x000D_
evaluate the strengths and weaknesses of the proposal with respect to broader impacts._x000D_
_x000D_
The broad impact is strong, including a survey on sampling algorithms.The PI has a strong research and outreach plan._x000D_
_x000D_
At the same time, the empirical section is a bit of a throw-away. Given the importance of these problems, it is best to either just focus on the theory (which is very compelling, and is likely to lead to many practical advances) or devote substantial effort to practice; the proposal seems to assume that the journey from theory to broad impact in practice is likely to be helped by a few lines of code divorced from an application, which seems unrealistic._x000D_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</si>
  <si>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_x000D_
The proposal studies convex optimization and the related problems of convex geometry and combinatorial optmization.  The PI suggests studying several classic conjectures and hard long-term open problems.  The main one is the KLS conjecture, which asks how well an elipsoid approximates a convex shape.  Improving these bounds immediately improves the running time guarantees of important optimization algorithms.  Another problem studied in the proposal is sampling uniformly from a convex shape.  These are all classic and very difficult problems.  However, the PI has made amazing progress in these directions in recent years.  He outlines some creative new approaches in his proposal, building on his current work but also involving significant new ideas (see, e.g., page 7).  I would normally say the proposed research agenda is too ambitious, but it is a problem that deserves significant attention from the community, and the PI is clearly the right person to be doing this._x000D_
_x000D_
In the context of the five review elements, please _x000D_
evaluate the strengths and weaknesses of the proposal with respect to broader impacts._x000D_
_x000D_
The broader impacts are rather minimal.  The PI mentions several standard things, including curriculum development and workshops (I didn't see any discussion of mentoring).  The most interesting part of the broader impacts was a brief discussion of how the PI has helped faculty members from other universities incorporate convex optimization topics into their advanced algorithms courses._x000D_
_x000D_
Please evaluate the strengths and _x000D_
weaknesses of the proposal with respect to any additional solicitation-specific review criteria, if _x000D_
applicable_x000D_
_x000D_
None._x000D_
_x000D_
Summary Statement_x000D_
_x000D_
The PI is a clear superstar, and we should do all we can to support his career.  I only wish he had a more developed broader impacts section._x000D_
_x000D_
</t>
  </si>
  <si>
    <t xml:space="preserve">In the context of the five review elements, please _x000D_
evaluate the strengths and weaknesses of the proposal with respect to intellectual merit._x000D_
_x000D_
strengths_x000D_
+ the proposal poses extremely interesting questions that, if answered, will both result to much faster algorithms as well as new mathematical techniques that would benefit theoretical CS as well as application fields._x000D_
+the PI has an excellent track record on the topics proposed, which puts him in a unique position to conduct and succeed in the proposed research_x000D_
+ Even though the goals are very ambitious, I believe that this is one of the cases where it is likely that they could be achieved by the PI_x000D_
_x000D_
weaknesses:_x000D_
- I found the proposal a little dense and not very polished. A few parts were intertwined in a not-so-clear way. I would have liked to see a little cleaner write up._x000D_
_x000D_
In the context of the five review elements, please _x000D_
evaluate the strengths and weaknesses of the proposal with respect to broader impacts._x000D_
_x000D_
strengths:_x000D_
+ the proposed research is somewhat interdisciplinary and could bring together researchers from various fields, both theoretical and practical._x000D_
+ The PI is planning to develop interesting new courses that would incorporate some of the research and I believe would be beneficial for students and other researchers alike._x000D_
_x000D_
weaknesses:_x000D_
- I found the educational and outreach aspect of the proposal largely sub-par. I would have given it an "excellent" rating for the intellectual merit, but as far as the educational and broader impacts aspect go, there is not enough for a CAREER proposal and I would give it a "fair/poor" rating for that aspect only._x000D_
_x000D_
Please evaluate the strengths and _x000D_
weaknesses of the proposal with respect to any additional solicitation-specific review criteria, if _x000D_
applicable_x000D_
_x000D_
_x000D_
_x000D_
Summary Statement_x000D_
_x000D_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if to investigate some avenues from convex geometry, such as resolve the KLS conjecture. The research and intellectual aspect of the proposal are excellent, thought I would have liked it to be a bit more well-written. The PI is uniquely qualified to conduct the research suggested and succeed. However, the educational and broader impact part of the proposal are poor and barely present in the proposal._x000D_
_x000D_
</t>
  </si>
  <si>
    <t>Over the past five years, computer scientists have made considerable progress understanding the theory and practice of convex optimization and its application to various fields, including computer science, operations research, statistics, economics, and mathematics. Breakthroughs such as the Laplacian paradigm have yielded faster algorithms for massive graph problems over a large class of linear systems. Specific problems where long-standing running time barriers have been broken include linear programming and maximum flow. A common theme underlying these results is the power of combining techniques from both continuous and discrete optimization. Evidence suggests that these techniques can be taken even further. _x000D_
_x000D_
The proposed research seeks to develop faster, more efficient algorithms for continuous and discrete optimization. A major obstacle here is the lack of understanding of convex geometry. The PI intends to use the problem of sampling points from convex sets to better explain this topic. Sampling and convex optimization problems are two sides of the same coin. One problem asks how to effectively explore convex sets; the other requires binary searches on them. To date, the best existential reductions from convex problems to linear systems were often related to sampling. _x000D_
_x000D_
This research focuses on three key topics and related goals: _x000D_
_x000D_
Algorithmic Convex Geometry. Understand how well we can approximate convex sets by ellipsoids (KLS conjecture). Develop faster algorithms for sampling points for general convex sets. Explore ways to deform an explicit given polytope as a Riemannian manifold and use the deformations to develop faster polytope sampling algorithms. _x000D_
_x000D_
Combinatorial Optimization. Break the sqrt(n)-iterations barrier for solving linear programming by: understanding the relation of the KLS conjecture and certain interior point methods; approximating polytopes by other shapes; incorporating stochastic optimization techniques in interior point methods; and developing a fine-grained complexity for interior point methods. _x000D_
_x000D_
Convex Optimization. Investigate cutting plane methods via the geometry of localization sets. Develop efficient cutting plane methods via algorithmic convex geometry. Identify non-convex optimizations via sampling algorithms.This project will propose various approaches to attack significant problems in convex geometry and convex optimization, such as the KLS conjecture and the sqrt(n)-iterations barrier for linear programming, via the lens of geometry. Many of these approaches cross domains, including combinatorial optimization, convex optimization, convex geometry, spectral graph theory, Riemannian geometry, stochastic processes, differential equations and randomized linear algebra. Thus, this research will promote the transfer of knowledge among many fields and further solidify the foundations of convex optimization.Given the use of convex optimization techniques in machine learning, statistics, operator research, and industry in general, the techniques developed here will likely have an impact that extends well beyond theoretical computer science. To disseminate the research widely, the PI plans to develop new courses and write surveys on this topic. Furthermore, the PI will continue to organize workshops for both optimization and theoretical computer science communities and to maximize the impact of the proposed research on empirical data science via presentations, collaborations, and implementations.</t>
  </si>
  <si>
    <t>1749678</t>
  </si>
  <si>
    <t>Im</t>
  </si>
  <si>
    <t xml:space="preserve"> Panel Summary       
 _x000D_
SUMMARY OF PROPOSED RESEARCH ACTIVITY _x000D_
Description: _x000D_
_x000D_
The PI proposes the development of a general framework for solving online scheduling problems, focused on ideas around gradient descent. Scheduling problems appear in a large number of industrial and engineering applications, and the PI hopes to make improvements in our understanding of some very difficult scheduling problems._x000D_
_x000D_
INTELLECTUAL MERIT _x000D_
_x000D_
Strengths _x000D_
+ The PI has done exceptional work on the theory of scheduling, and is well qualified to work on the problems proposed.  _x000D_
+ Scheduling algorithms are needed in many real world applications._x000D_
+ The PI appears to have worked out a coherent theory of how his new algorithms would function and how they might be analyzed._x000D_
_x000D_
_x000D_
Weaknesses _x000D_
- The PI needs to convey his theory better in the proposal.  The proposal did not explain how this gradient descent approach would really be different from attempting to minimize a potential function in an online manner. The discussion of potential functions was not clear, and would have been better if it were preceded by an explanation of how they are used._x000D_
-  The proposal did not outline a convincing route to solving the multi-dimensional bin packing problem.  _x000D_
_x000D_
BROADER IMPACTS _x000D_
Strengths _x000D_
+ Scheduling algorithms are critical in many real world applications._x000D_
+ Teaching at UC Merced will give the PI opportunities to reach many underrepresented minorities._x000D_
+ The PI plans to engage local highschool students through the UC Merced Frontiers of Science and Engineering seminar series._x000D_
+ The PI also plans to help train future K-12 teachers through the CalTeach/UC Science and Math Initiative._x000D_
_x000D_
_x000D_
CAREER SOLICITATION-SPECIFIC REMARKS: _x000D_
Letter of institutional commitment was fine._x000D_
_x000D_
Integration of research and education: The PI plans to integrate his research agenda into his undergraduate courses, and to advise undergraduate and graduate students on related research projects._x000D_
_x000D_
_x000D_
ADDITIONAL REMARKS _x000D_
_x000D_
The Data Management Plan is above threshold for this project. _x000D_
_x000D_
The results of prior support are clearly stated. _x000D_
_x000D_
_x000D_
Suggestions to PI: _x000D_
It would be better if the PI explained some of the uses of scheduling in Computer Science, Engineering, and Industry.  The implication of importance of scheduling implied at the beginning through the sentence, "For example, it is widely observed that even a small delay in processing web search or big data analytics queries could result in significant revenue loss" was both suspect and unsupported._x000D_
_x000D_
When comparing fields, the utility of stochastic models in scheduling was too quickly dismissed.  It has had a substantial impact on the design of algorithms that are used in practice._x000D_
_x000D_
The proposal could have clarified what the eventual framework might look like.  It would be helpful to give examples of other successful frameworks as a proof of concept._x000D_
_x000D_
_x000D_
Justification for Panel Rating: _x000D_
This is a proposal by a very strong researcher to work on problems in his area of expertise.  The proposal would benefit from better framing and a better exposition of its approach._x000D_
_x000D_
Panel Rating:_x000D_
_ Highly Competitive _x000D_
_XCompetitive _x000D_
_ Low Competitive _x000D_
_ Not Competitive _x000D_
The summary was read by/to the panel and the panel concurred that the summary accurately reflects the panel discussion._x000D_
</t>
  </si>
  <si>
    <t>YB0880523</t>
  </si>
  <si>
    <t>Bender</t>
  </si>
  <si>
    <t>bender@cs.stonybrook.edu</t>
  </si>
  <si>
    <t xml:space="preserve">In the context of the five review elements, please _x000D_
evaluate the strengths and weaknesses of the proposal with respect to intellectual merit._x000D_
_x000D_
This proposal explores new techniques for solving online scheduling.  The proposal is structured around the following problems (with emphasis on the first):_x000D_
_x000D_
- Online scheduling via gradient descent.  How can a scheduling problem be expressed in a form so that gradient descent can be applied? This means finding good potential functions, approximate formulations using time-indexed linear programming, etc. The PI considers scheduling instances where all jobs need to be completed, different machines models, and metrics based on completion time and  arrival time.  I find the technical arguments here compelling. I like the structure of giving some of the big challenging problems in scheduling and explaining why the techniques in this section might chip away at those problems. _x000D_
_x000D_
- Preemptive online packing in the service of maximizing the throughput.  There exist methods for online scheduling in the nonpreemptive case. But these do not naturally extend to the preemptive setting. _x000D_
_x000D_
- Low-level low-dimensional scheduling. The PI is interested in the multidimentional bin packing for small dimension. Apparently, many of the facets of the problem--both what makes it easy and hard--do not seem to naturally translate to small dimension. This is a compelling problem, as the PI says, because it is what happens in virtualized environments where you want to pack multiple workloads onto the same machine. _x000D_
_x000D_
- Deeper understanding of the power of resource augmentation. _x000D_
_x000D_
I have lots of positive impressions of the proposal, especially the technical aspects. The PI is a fantastic researcher, who is doing high quality work.  He has an impressive vision about scheduling theory. _x000D_
_x000D_
The proposal is well organized and the problems are exciting. The PI successfully shows how he thinks and demonstrates techniques that could be used. Part of writing a good proposal is to justify the area of research. This happens nicely in the introduction (though not the summary). _x000D_
_x000D_
I now give suggestions for improving the writing. _x000D_
_x000D_
First of all, it's worth doing a proofread. The proposal is sloppy in places---sometimes very sloppy._x000D_
_x000D_
I think that there are writing issues because the PI is trying to write what he thinks the panel wants to hear, rather than what he earnestly believes.  _x000D_
_x000D_
The proposal seems to be unnecessarily critical early on. For example:_x000D_
"We do not have a framework for systematic algorithmic design although we have some analysis tools."  This doesn't really seem believable. Better to say positive things rather than negative ones at least until we know the intellectual setting of the proposal. _x000D_
_x000D_
I don't even know what a "framework" is, or if I do, I think that there are fantastic frameworks for online scheduling (e.g., total work plus critical path plus work stealing in online parallel scheduling).  Surely there's some technical nugget that can be communicated early on to explain what the PI means._x000D_
_x000D_
Overall, I really like the proposal._x000D_
_x000D_
In the context of the five review elements, please _x000D_
evaluate the strengths and weaknesses of the proposal with respect to broader impacts._x000D_
_x000D_
Scheduling is an important area, and the PI is a leader in the field. I believe that by working with practitioners, this PI will be able to improve many aspects of system design. The techniques in this proposal will also have impact on other areas of combinatorial optimization._x000D_
_x000D_
The educational component is nice._x000D_
_x000D_
_x000D_
Please evaluate the strengths and _x000D_
weaknesses of the proposal with respect to any additional solicitation-specific review criteria, if _x000D_
applicable_x000D_
_x000D_
_x000D_
_x000D_
Summary Statement_x000D_
_x000D_
I view this as a VG proposal. There is a deep and principled look at a bunch of scheduling problems and a good teaching statement._x000D_
_x000D_
_x000D_
</t>
  </si>
  <si>
    <t>SM1006553</t>
  </si>
  <si>
    <t>He</t>
  </si>
  <si>
    <t>xinhe@buffalo.edu</t>
  </si>
  <si>
    <t xml:space="preserve">In the context of the five review elements, please _x000D_
evaluate the strengths and weaknesses of the proposal with respect to intellectual merit._x000D_
_x000D_
The project studies new algorithmic approaches for solving online_x000D_
scheduling problems in various settings. A main approach is_x000D_
"gradient descent". While it is not completely new, the applications_x000D_
of this method in several variations discussed in the proposal present_x000D_
new challenges. Admission control is a critical scheduling component._x000D_
Within preemptive setting, little is known. The PI proposes to_x000D_
develop new algorithmic tools for solving these problems._x000D_
_x000D_
A set of closely related problems are discussed. Each is well motivated,specific goals are clearly described. The concrete approach for attacking them is somehow vague._x000D_
_x000D_
In the context of the five review elements, please _x000D_
evaluate the strengths and weaknesses of the proposal with respect to broader impacts._x000D_
_x000D_
Scheduling algorithms are needed in many of real world systems. The resultsfrom this project may have potential applications in these applications._x000D_
_x000D_
Education Plan: the PI works in a minority serving institution._x000D_
The proposal discussed concrete plans for involvement in K-12 education, undergraduate training, and graduate student mentoring. The PI supervised an undergraduate student through a previous REU program with good result._x000D_
_x000D_
Please evaluate the strengths and _x000D_
weaknesses of the proposal with respect to any additional solicitation-specific review criteria, if _x000D_
applicable_x000D_
_x000D_
_x000D_
_x000D_
Summary Statement_x000D_
_x000D_
The proposed project studies a set of interrelated problems._x000D_
Each sub-area is well motivated and specific goals are clearly_x000D_
described. The concrete approach for attacking them is vague sometimes._x000D_
_x000D_
The PI has done good work in this area, and is well qualified for_x000D_
the proposed research. The project seems fit the PI's long term_x000D_
research agenda well._x000D_
_x000D_
The Departmental letter of support shows strong commitment of the_x000D_
school for the professional development of the PI._x000D_
_x000D_
</t>
  </si>
  <si>
    <t xml:space="preserve">In the context of the five review elements, please _x000D_
evaluate the strengths and weaknesses of the proposal with respect to intellectual merit._x000D_
_x000D_
The project is an ambitious project on fundamental problems in on-line algorithms. It attempts to provide a rather general scheme to deal with such problems._x000D_
_x000D_
In particular the PI tries to define some axioms that will imply that a certain problem can have good competitive ratio, using Gradient Descent._x000D_
_x000D_
This tool is highly natural and I think was not used enough._x000D_
It was used at times even in sequential algorithms_x000D_
(such as the minimization of a Submodular function under Matroid Constrains. See a paper by Vondrak)._x000D_
_x000D_
In Gradient Descent you define a function of the time that includes the length and release date of the jobs seen so far. _x000D_
The decisions are based on the derivative of this function (as a function of t). In section 3, the PI suggest  a (quite reasonable) general scheme for working with Gradient Descent._x000D_
_x000D_
The PI gives a *sufficient* collection of properties (see page 12) that will allow for a good analysis under the Gradient Descent idea._x000D_
One of the questions asked is if these _x000D_
conditions necessary? My guess would be that these conditions are not necessary._x000D_
_x000D_
The author wants to propose  competitive on-line algorithms for some notoriously difficult optimization problems._x000D_
The first is  called MINIMIZING THE FLOW TIME. This is the sum over all tasks of the processing time minus the arrival time.  _x000D_
Even in sequential algorithms this problem is highly complex to approximate. It was given some competitive ratio under the augmentation of resources model (this is a paper by Khanna and Chekuri). The challenge is to give an O(1) competitive ratio using _x000D_
Gradient Descent. With all the positive things I see in the suggested method, this may be too much to ask. However, I can not rule_x000D_
out a success since there are no lower bounds. _x000D_
_x000D_
The same questions are suggested within _x000D_
several models. One of them is the myopic model. In the myopic model the algorithm does not track in detail the scheduling decisions it has made. Rather,_x000D_
it only tracks and uses myopic information such as how much each job has been processed and how much_x000D_
workload is left for the job, and the job's arrival time._x000D_
_x000D_
Another natural question for Flow time is to study it under different metric than L_1, namely L_k for k&gt;1._x000D_
_x000D_
Next the PI suggest again a notoriously hard second question._x000D_
Multidimensional packing problems. In this problem there are D resources (machines), each of which exists in limited supply._x000D_
Each job j has a demand vector v_{jd} from machine number d,_x000D_
This results in a weighted bipartite graph. _x000D_
For a processor p_d and a job i there is a processing speed   _x000D_
a_{i,d}. The overall processing speed is the minimum over d _x000D_
of a_{id}/v_{id} (the finish time of the job)._x000D_
_x000D_
This model contains as one of the simple special cases the multidimensional Knapsack problem that admits a PTAS in the offline case. But the algorithm is complex._x000D_
There are no good existing competitive algorithms._x000D_
The PI aims for an O(1) approximation by the tools above._x000D_
I would imagine that in the most general model, this is not possible (see below). Instead perhaps for the most general version,_x000D_
it is possible to prove lower bounds. The PI suggested this himself. _x000D_
_x000D_
Another problem type is  maximizing  the throughput (giving up on some jobs) An example is preemptive on-line packing problems._x000D_
_x000D_
Another basic problem discussed is routing on graphs._x000D_
Edges have capacities. It is assumed that jobs have no deadlines._x000D_
_x000D_
Requests arrive over time. A request is a pair (s_i,t_i) _x000D_
with some demand. It is required to send a flow demand between a source s_i and a sink t_i. The goal is to schedule the requests online, so that capacities are not violated and _x000D_
the throughput is maximized. Namely, some jobs are discarded _x000D_
and we loose their demand. This is a problem that is more general than the disjoint path problem, which admits very poor (offline!) approximation if capacities are not violated and are equal to the demands. To deal with that the PI suggest that the capacities will be _x000D_
much larger than the demands. The goal is to improve the O(log m) ratio known in this case. The PI suggest some ideas for this problem as well. Finally the authors suggest studying these problems for few machines. For more information, see the proposal._x000D_
_x000D_
The researcher is a strong researcher. The discussed problems are essential._x000D_
Even if some times the goal posed seem to be a very hard open questions. It seems clear that the PI will be able to produce some papers on *variants* of the problems in this proposal. The idea of using gradient descent is interesting if_x000D_
successful. The proposal has large potential for good theoretical results._x000D_
_x000D_
In the context of the five review elements, please _x000D_
evaluate the strengths and weaknesses of the proposal with respect to broader impacts._x000D_
_x000D_
The broader impact suggested is the merit of the proposal itself._x000D_
This is not satisfactory. If for no other reason, because it in not a sure thing that these problems will be solved._x000D_
_x000D_
The university is rather interesting. Very new (2005). The PI is the only_x000D_
theory person in the whole department._x000D_
It is  not located in an area of privileged _x000D_
students. The PI states: the university serves _x000D_
ethnically and economically diverse population of California's San Joaquin Valley. The PI also states that over half of the students are the first in their families to attend a university._x000D_
All this is a clear positive for the proposal._x000D_
_x000D_
With all that the University has some marks of a big enough _x000D_
university, such as graduate students._x000D_
_x000D_
Being the only theory person in the department may allow the PI _x000D_
to improve the way the theory courses are taught._x000D_
_x000D_
Please evaluate the strengths and _x000D_
weaknesses of the proposal with respect to any additional solicitation-specific review criteria, if _x000D_
applicable_x000D_
_x000D_
The lack of Broader impact suggested is a weakness._x000D_
_x000D_
_x000D_
_x000D_
Summary Statement_x000D_
_x000D_
A clearly competitive proposal_x000D_
_x000D_
</t>
  </si>
  <si>
    <t>HS0880526</t>
  </si>
  <si>
    <t>Spielman</t>
  </si>
  <si>
    <t>spielman@cs.yale.edu</t>
  </si>
  <si>
    <t xml:space="preserve">In the context of the five review elements, please _x000D_
evaluate the strengths and weaknesses of the proposal with respect to intellectual merit._x000D_
_x000D_
The goal of the proposal is very ambitious: the development of a systematic approach to solving scheduling problems.    _x000D_
I fear that it may be too ambitious: I do not know of any area of algorithm design that is amenable to such a systematic approach.  They all seem to require the creativity and insight that the proposed approach seeks to avoid._x000D_
_x000D_
The proposal begins by suggesting that improvements in scheduling algorithms would have a large impact on science and business.  I am suspect, especially about the practical utility of the adversarial scheduling models which the PI prefers to stochastic models._x000D_
_x000D_
The main approach proposed to deriving a general framework for scheduling algorithms is through the use of gradient descent.  The PI seems to have thought this through carefully.  However, it is not explained in sufficient detail for me to be able to understand it.  For example, I did not understand the definition of a "residual TF objective".  Similarly, I could not make sense of the abstract description of a potential function in section 3.2.  It would help if it were preceded with an explanation of how such potential functions are used._x000D_
_x000D_
The PI has proposed some particular scheduling problems to solve.  This should help the development of the general theory he seeks.  _x000D_
_x000D_
I would suggest that in future proposals the PI better defines the problems he aims to study.  For example, Vector Scheduling is not defined._x000D_
_x000D_
_x000D_
In the context of the five review elements, please _x000D_
evaluate the strengths and weaknesses of the proposal with respect to broader impacts._x000D_
_x000D_
The PI will participate in some programs for educating local high school students.  As he is teaching at UC Merced, he will have the opportunity to reach many undergraduates who are from minorities that are underrepresented in computer science._x000D_
_x000D_
_x000D_
Please evaluate the strengths and _x000D_
weaknesses of the proposal with respect to any additional solicitation-specific review criteria, if _x000D_
applicable_x000D_
_x000D_
_x000D_
_x000D_
Summary Statement_x000D_
_x000D_
The PI proposes to continue his work in the design of scheduling algorithms.  The main goal of a systematic approach to their design is ambitious.  But, it is difficult to evaluate its success probability._x000D_
_x000D_
</t>
  </si>
  <si>
    <t>Scheduling is increasingly challenging and important as the resources to be allocated over time become more diverse and timely scheduling decisions become more critical in a large number of applications. Online scheduling, which studies dynamic scheduling settings, has received increasing attention and interest as a result of its wide appearance in practice and its study has produced a plethora of new exciting results for various online scheduling problems. Unfortunately, despite all this success, our understanding of online scheduling remains far from being satisfactory. First of all, we do not have a framework for systematic algorithmic design although we have some analysis tools. Designing online scheduling algorithms still requires non-trivial amounts of creativity. There is a critical need to find algorithm design strategies that can keep pace with the changing scheduling environments. _x000D_
_x000D_
The main thrust of this proposal is to find a systematic way of developing online scheduling algorithms, which will give powerful tools to both theoreticians and practitioners. The new algorithmic toolkits will be flexible enough to address the changing scheduling environments. The new approaches will be used to address key challenges in scheduling, which are also of fundamental importance in theoretical computer science, in terms of  problems themselves or technical challenges._x000D_
_x000D_
Keywords: scheduling, online and approximation algorithms, and algorithmic framework.Despite recent great success in developing online scheduling algorithms for various problems and new analysis tools, our understanding of online scheduling remains limited. Further, as modern scheduling is becoming increasingly more complicated and dynamic, it is becoming more challenging to develop algorithms for new scheduling environments or adapt the developed algorithms to real-world scheduling. What is missing in the current online scheduling research and is imperatively needed to change the current situation is a framework that enables deriving scheduling algorithms in a systematic and principled way. Such a framework will speed up the process of developing and analyzing new scheduling algorithms and the algorithms developed in a unified manner are likely to be easily adapted to new scheduling environments and run together smoothly. _x000D_
_x000D_
This proposal will discover new algorithmic approaches for scheduling, which could significantly improve our understanding of online scheduling and have practical impact. To achieve this goal, fundamental questions in online and offline scheduling will be explored or revisited with new angles. Due to the fundamental importance of the questions to be explored, this proposal will not only advance scheduling theory but also enrich various areas in theoretical computer science.Our daily life increasingly relies on cloud computing, social networking, and web data query, etc., whose technological innovations have recently been a powerhouse for industry and economy. While these applications require effective scheduling, because of the increasing complexity of the scheduling environments, it has become challenging to develop new scheduling algorithms. To continuously fuel the powerhouse, it is imperative to find a systematic way of developing scheduling algorithms on the ground of solid theory. This proposal has the potential to have practical impact on real-world scheduling. The proposed work will discover a new lens through which scheduling will will be seen as transparent. The research findings will give an alternative way of educating students on scheduling in a more broad context, which will have a significant impact on CS curriculum. The PI seeks to equip the next-generation of students with the relevant algorithmic skills and theories via effective teaching and mentorship, as well as broadly disseminate the proposed work via organizing workshops, writing tutorials, and developing new courses. Special efforts will be made to broaden the participation of under-represented groups in science and engineering.</t>
  </si>
  <si>
    <t>1749734</t>
  </si>
  <si>
    <t>Sidford</t>
  </si>
  <si>
    <t xml:space="preserve"> Panel Summary       
 SUMMARY OF PROPOSED RESEARCH ACTIVITY_x000D_
Description: _x000D_
_x000D_
This proposal aims to tackle a number of fundamental challenges in graph algorithms and convex optimization. The PI wants to advance the state of the art in this context by pursuing the following three thrusts:_x000D_
_x000D_
1) Using the fast solver for directed Laplacian systems that the PI recently developed to obtain new algorithms for directed graph and hypergraph problems. The intention of the PI is to build on the great success of graph algorithmic techniques that relied on fast solvers for symmetric Laplacian systems._x000D_
_x000D_
2) Simplifying and extending the graph algorithmic approach that are based on first order methods. The particular new problems of interest here relate to l_p-flows and Markov decision processes._x000D_
_x000D_
3) Making progress on the provable convergence bounds for interior point methods, which are a fundamental tool for fast solving of linear programs. _x000D_
_x000D_
_x000D_
INTELLECTUAL MERIT_x000D_
_x000D_
Strengths_x000D_
+ The panel viewed the objectives that the proposal identifies as very ambitious and worth pursuing. Many of them are recognized as outstanding questions in the field and making progress on them would likely have transformational effect._x000D_
+ The PI has a truly impressive track record and is very well positioned to pursue the outlined directions. In fact, each of these directions builds on the previous work of the PI.  _x000D_
_x000D_
_x000D_
Weaknesses_x000D_
- The research plan was fairly vague on the exact approaches the PI intends to take to attack the stated goals. There was not much of discussion of the challenges that need to be overcome either._x000D_
_x000D_
BROADER IMPACTS_x000D_
_x000D_
Strengths_x000D_
+ The research agenda spans a number of different disciplines and is likely to bring these disciplines closer together. _x000D_
+ The PI intends to design courses as well as write a textbook that will make it easier for others to pursue such an interdisciplinary research._x000D_
_x000D_
_x000D_
Weaknesses:_x000D_
- Beyond the interdisciplinary aspect of the PI's research, there seems to be little in terms of non-standard broader impact activities presented._x000D_
- Some of the panelists were concerned that writing a textbook might constitute a significant time commitment that might overly detract the PI from pursuing the stated research goals._x000D_
_x000D_
_x000D_
CAREER SOLICITATION-SPECIFIC REMARKS:_x000D_
Letter of institutional commitment included._x000D_
Integration of research and education: _x000D_
_x000D_
The research agenda of the PI will be tightly intertwined with the undergraduate and graduate courses he will be teaching as well as the PI's advising of undergraduate and graduate students._x000D_
_x000D_
_x000D_
ADDITIONAL REMARKS_x000D_
Data Management Plan: Adequate_x000D_
Results of prior support: No prior support (except NSF graduate fellowship)_x000D_
_x000D_
Suggestions to PI:_x000D_
The PI is strongly advised to significantly expand and flesh out the specific approaches that he intends to employ to achieve the stated goals. _x000D_
_x000D_
Also, per NSF policy, the PI should include his name in the list of authors on the list of products provided in the biographical sketch. --&gt;_x000D_
The NSF instructions on Biosketches (https://www.nsf.gov/pubs/policydocs/pappg17_1/pappg_2.jsp#IIC2fic) say, "Each product must include full citation information including names of all authors..." _x000D_
_x000D_
The panel needed to spend some time to verify that the listed papers were the PI's. _x000D_
_x000D_
Justification for Panel Rating: _x000D_
_x000D_
The panel recognized the research goals as very ambitious and the PI as having a very strong track record in the relevant domains. However, the actual research plan was viewed as very underdeveloped and, in particular, it did not provide much information on the approaches the PI intends to employ to pursue the stated goals. After some discussion, the panel reached a consensus that this is a significant weakness of the proposal._x000D_
_x000D_
_x000D_
Panel Rating: _x000D_
_ Highly Competitive_x000D_
X_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</si>
  <si>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concerns fast algorithms for classical graph problems such as maximum flow. Flow has long been known to be polynomial time, but with algorithms that scale quadratically (for sparse graphs), making them difficult to use for large instances._x000D_
On the other hand, problems such as pagerank or multidimensional scaling that can be expressed in terms of the eigenvectors of an associated sparse matrix can often be solved much more quickly, in near-linear time by using iterative methods. There are difficulties involving the speed of convergence of these methods, but they have largely been overcome for graph Laplacians, a standard matrix for these sorts of problems; see reference [65]._x000D_
_x000D_
The proposal seeks to extend these methods in three ways: First, by extending the graph Laplacian approach from undirected graphs to directed graphs and hypergraphs; second, by generalizing the proposer's previous work that found near-linear flow algorithms using first order methods, graph decompositions, and cut approximators; and third, by combining interior point methods for convex optimization with the specific structure of graph problems, allowing previous concordance-based limits to be avoided. The details are left very vague._x000D_
_x000D_
Sidford has a very strong recent record of publications at top-level theory conferences (three STOC/FOCS papers in 2016, and three again in 2017). He has also frequently published at COLT, ICML, and other machine learning venues._x000D_
_x000D_
_x000D_
In the context of the five review elements, please _x000D_
evaluate the strengths and weaknesses of the proposal with respect to broader impacts._x000D_
_x000D_
The proposal contains the usual "I will achieve broader impacts by teaching this material to students" boilerplate. However, it also proposes that the PI write a textbook on this subject, an undertaking that for most authors would occupy most of their time for at least a year, leaving little for research._x000D_
_x000D_
_x000D_
Please evaluate the strengths and _x000D_
weaknesses of the proposal with respect to any additional solicitation-specific review criteria, if _x000D_
applicable_x000D_
_x000D_
_x000D_
_x000D_
Summary Statement_x000D_
_x000D_
This is an ambitious proposal without enough detail to provide a clear picture of whether it can succeed. But the proposer's past record of success is evidence that it can, and if it can make significant progress on the main open problem in this area (directed flow) it will be an important addition to the field._x000D_
_x000D_
</t>
  </si>
  <si>
    <t xml:space="preserve">In the context of the five review elements, please _x000D_
evaluate the strengths and weaknesses of the proposal with respect to intellectual merit._x000D_
_x000D_
strengths:_x000D_
+ The research proposed is very timely relevant and aims to attack open questions in large graph optimization that are of great interest._x000D_
+Providing faster algorithms for a plethora of both classical and modern optimization problems, would advance the state of the art in both theory and practice of CS._x000D_
+ A lot of interesting research directions that would have great impact in the field._x000D_
+the PI is very well positioned to conduct the research proposed as shown by his track record._x000D_
_x000D_
_x000D_
weaknesses:_x000D_
- there does not seem to be a very well articulated technical content of this proposal. Namely, the PI does not explain how he is planning to achieve his goals_x000D_
_x000D_
_x000D_
In the context of the five review elements, please _x000D_
evaluate the strengths and weaknesses of the proposal with respect to broader impacts._x000D_
_x000D_
Strengths: _x000D_
+The research is fairly interdisciplinary and would result to better collaborations between different fields of math and CS, which would further expand research possibilities. _x000D_
+ The PI has and is planning to develop a few courses that would incorporate his research on optimization and enable students to train on the intersection of a few different areas, making them well-positioned to conduct future research._x000D_
_x000D_
_x000D_
Weaknesses:_x000D_
- The Educational part of the proposal focuses quite a lot on past work of the PI (e.g. courses that are already developed) while there is little mention of future concrete educational projects. _x000D_
- The main thread of the educational aspect is the interdisciplinary nature of the work, and the PI's passionate approach to reach out to as many areas of math and CS as possible in order to promote research. While this goal is definitely very important (and also a strength of the proposal as noted above), it seems that the PI has spent a good chunk of the educational part repeating the importance of his research (which is also a strength, but has appeared previously in the intellectual merit part) and not giving very concrete plans on how to educate, promote diversity, and make a difference to the lives of students, apart from the research component of it._x000D_
_x000D_
Please evaluate the strengths and _x000D_
weaknesses of the proposal with respect to any additional solicitation-specific review criteria, if _x000D_
applicable_x000D_
_x000D_
_x000D_
_x000D_
Summary Statement_x000D_
_x000D_
The proposal is focusing on new techniques for efficiently solving classical and modern graph optimization problems, which would have large impact both in theory and in practice, especially when it comes to dealing with very large input graphs. The research suggested in the proposal is very innovative and interesting, and the PI is well positioned to conduct the research. One of the main key broader impacts of the suggested research is its interdisciplinary nature, which would advance collaboration between different fields and hopefully change the lights under which we think about graph optimization. Unfortunately, the PI does not give a concrete plan on how he plans to answer a lot of the very intriguing questions he is asking. Moreover, he does not seem to have a very broad educational plan, which mostly focuses on the interdisciplinary nature of the research and its (very positive) concequences._x000D_
_x000D_
</t>
  </si>
  <si>
    <t xml:space="preserve">In the context of the five review elements, please _x000D_
evaluate the strengths and weaknesses of the proposal with respect to intellectual merit._x000D_
_x000D_
The PI deals with some of the techniques that in the front burner in algorithms. The PI is an expert on the Laplacian method _x000D_
(even though I do not like the fact that the PI fails to explain even the most basic details)._x000D_
_x000D_
I will explain a bit on the Laplacian of a graph for the case that its needed._x000D_
Its the matrix D-G with D a diagonal matrix having the degrees of the vertices, minus the incidence Matrix of the graph. Its extremely useful._x000D_
For example it is positive semi definite. Starting about 2003 or so _x000D_
a paper by Spielman and Teng (that seems to be a very big breakthrough) showed almost linear time algorithm to solve a linear system if the matrix is a Laplacian (by factoring basically)._x000D_
_x000D_
This started an effort to try and solve famous problem using fast solving_x000D_
of linear systems. There is progress on many classical problems._x000D_
The PI is involved in many of them. For example Almost-linear-time algorithms for Markov chains, acceleration of Gradient Descent _x000D_
and related problems (computing cuts etc). This tries to overcome_x000D_
the now long standing upper bound on the multiplication of two matrices. The author also discussed interior point methods._x000D_
_x000D_
It is very impressive that the PI was involved in two best students paper awards from FOCS (one paper by two students, and the other by _x000D_
three students) and one best paper award from SODA with 4 authors. The results are indeed very strong. In general, the papers of the PI tend to have many authors. His last STOC 2017 paper has 7 authors! In such a case it can not be that everybody contributed the same and the contribution of the PI is less clear._x000D_
I would suggest to the author to make at least one strong single author paper before his next promotion is considered._x000D_
_x000D_
The proposal is ambitious, to say the least. It is suggested to generalize the techniques to directed graphs. Note that for example the partitioning problems that can be solved using spectral theory and related issues are provably hard in directed graph (this applies to directed multicut and I think to directed sparsest multicut as well)._x000D_
Hence, you can not generalize everything to directed graphs._x000D_
The mixing time or cover time for directed graph also is problematic (its exponential). The PI states that he hopes to develop tools for directed graph and for hypergraphs by numerical method _x000D_
continuous optimization and spectral graph theory. I am not sure that the latter tool can be of much help, but the PI knows this subject better than me. I have no idea what is a Laplacian of an hypergraph._x000D_
I am not sure its defined._x000D_
_x000D_
The author also suggest to generalize his best SODA paper on_x000D_
An Almost-Linear-Time Algorithm approximation for flow_x000D_
to more general questions such as flow in directed graphs,_x000D_
Machine learning and related problems that correspond to the Laplacian of directed graphs._x000D_
_x000D_
Solving the directed Laplacian fast is possible. The applications are hard. There are almost no sparsification results for directed graph,_x000D_
and I expect this to be a very hard task._x000D_
Getting a good sparsification is a barrier that is required _x000D_
for applications for problem on directed graphs._x000D_
Sparsification is quite easy on undirected graphs._x000D_
_x000D_
The authors suggest to try to use the well known application for _x000D_
partitioning, on hypergraphs. I do not exactly understand how._x000D_
This also needs sparsification results for hypergraphs._x000D_
The PI speaks also on faster optimization for Bipartite matching that I would assume is a hard question (there was progress recently)._x000D_
_x000D_
The PI speaks about challenges in interior point methods. I am less familiar with this material. But again the goal is very ambitious,_x000D_
namely finding faster interior point solvers. But in a FOCS 2014 paper the PI has some advance in this open question (even though I think this question is not fully solved)._x000D_
_x000D_
The PI has no current grant from NSF. His request of 500000 dollars_x000D_
seems to be almost standard for a career award._x000D_
_x000D_
I do not know if the problems that the PI suggests are solvable. But he is an extremely able researcher. If someone solves them, he has as a chance as most other researchers._x000D_
_x000D_
The good thing of the proposal is that it speaks on some_x000D_
of the most active and important subjects in solving problems exactly or approximating problems that have polynomial time solutions._x000D_
_x000D_
The second very good point is that the PI seems a very very strong researcher. _x000D_
_x000D_
_x000D_
_x000D_
In the context of the five review elements, please _x000D_
evaluate the strengths and weaknesses of the proposal with respect to broader impacts._x000D_
_x000D_
I will not give the top score to proposals that do not take the _x000D_
broader impact seriously. We can fund the PI this time,_x000D_
since the PI did not get a lot of money from NSF and for the first time _x000D_
I can cope with the fact that he does not almost bother to _x000D_
state a broader impact, but the work itself._x000D_
_x000D_
I am skeptical that the Laplacian methods will really be used in the industry. They use numerical methods that I know quite well._x000D_
The proposal can move forward the theory of the subject considerably._x000D_
But a broader impact is beyond the proposal itself._x000D_
_x000D_
The PI just says that he may work with students and develop courses _x000D_
and that is not particularly strong._x000D_
_x000D_
The PI does not seem to take Broader impact seriously._x000D_
_x000D_
Please evaluate the strengths and _x000D_
weaknesses of the proposal with respect to any additional solicitation-specific review criteria, if _x000D_
applicable_x000D_
_x000D_
Even if the broader impact is a bit weak _x000D_
this is understandable for a very young researcher_x000D_
_x000D_
This is probably one of the stronger proposals at the end of the day._x000D_
_x000D_
Summary Statement_x000D_
_x000D_
I would expect that this proposal would have more than just 50 percent approval probability._x000D_
_x000D_
</t>
  </si>
  <si>
    <t>NP0987734</t>
  </si>
  <si>
    <t>Madry</t>
  </si>
  <si>
    <t>madry@mit.edu</t>
  </si>
  <si>
    <t xml:space="preserve">In the context of the five review elements, please _x000D_
evaluate the strengths and weaknesses of the proposal with respect to intellectual merit._x000D_
_x000D_
This proposal aims to advance the state of the art on a number of fundamental challenges in graph algorithms and convex optimization. Specifically, the PI outlines a plan of attack on three main directions: _x000D_
_x000D_
* Extending the, extremely successful so far, so called Laplacian paradigm from symmetric to directed and hypergraph settings. Here, the PI intends to build on a host of preliminary results, including his recent work that presented the first close to linear time solver for directed Laplacian system. _x000D_
_x000D_
* Simplifying the existing first order based graph algorithmic techniques and broadening their reach to a new class of problems, such as Markov Decision Processes and l_p-flows. _x000D_
_x000D_
* Improving general running time bounds for interior point method. Beyond what the classic self-concordance theory can achieve._x000D_
_x000D_
The above directions are ambitious and touch on some of the most central and pressing problems in graph algorithms and convex optimization. In particular, many of the more concrete objectives specified in this proposal target longstanding questions progress on which would constitute a true breakthrough in the field. _x000D_
_x000D_
The PI has also an unusually strong track record in this domain. With multiple truly impressive results that make progress on most classic questions in the area. In fact, many of the proposed advances would build directly on the trailblazing work of the PI.  _x000D_
_x000D_
The only criticism I have is that the proposal seems to lack a bit in terms of fleshing out the exact approaches that the PI intends to use to tackle the outlined objectives as well as what the exact barriers to achieving these objectives now are. _x000D_
_x000D_
As a result, the proposal reads more like a catalogue of important open problems that could be within our reach given the recent advances in the area than a concrete and thought out plan of attacking them._x000D_
_x000D_
Still, given the PI's track record, I view this as a rather minor weakness._x000D_
_x000D_
_x000D_
In the context of the five review elements, please _x000D_
evaluate the strengths and weaknesses of the proposal with respect to broader impacts._x000D_
_x000D_
The broader impacts aspects of this proposal are good. _x000D_
_x000D_
A particularly interesting component is the educational plan that the PI outlines. The goal of integrating recent advances in the field into a textbook and making an effort to connect better the fields of theoretical computer science, numerical analysis, and operations research seems very timely and important._x000D_
_x000D_
_x000D_
Please evaluate the strengths and _x000D_
weaknesses of the proposal with respect to any additional solicitation-specific review criteria, if _x000D_
applicable_x000D_
_x000D_
_x000D_
_x000D_
Summary Statement_x000D_
_x000D_
This is an ambitious, exciting and timely research plan, commensurate with the track record of the PI._x000D_
_x000D_
</t>
  </si>
  <si>
    <t>1749747</t>
  </si>
  <si>
    <t>Weinstein</t>
  </si>
  <si>
    <t>P180209</t>
  </si>
  <si>
    <t xml:space="preserve"> AF CAREER/CRII Panel B</t>
  </si>
  <si>
    <t xml:space="preserve"> Panel Summary       
 Description: This proposal is focussed on attempting to find techniques to prove new lower bounds on data structure problems. The problems discussed in the proposal are of fundamental importance. Proving lower bounds is extremely challenging in computer science. There are few models where we truly have a full understanding of the complexity of computation. Communication complexity lies on one end of this spectrum (we know a lot about it), general models like circuits lies on the other end (there are many basic open questions). The data structures model seems to lie in between. At the same time, data structure problems are practically relevant._x000D_
_x000D_
_x000D_
Strengths_x000D_
_x000D_
+  There is a lot of space here for interaction with other kinds of research (for example understanding the complexity of computing polynomials)_x000D_
+ The technical part of the proposal with respect to data structure lower bounds is written very well with deep fundamental questions and proposed approaches. _x000D_
+ The problems posed are fundamental and some of the questions even if partly addressed (e.g., breaking the logarithmic barrier for static data structure lower bounds) will be significant theoretically._x000D_
_x000D_
_x000D_
Weaknesses_x000D_
- The second (and smaller) part of the proposal titled ?Information theory in modern distributed systems? is missing discussion of relevant work in distributed computing._x000D_
_x000D_
Broader Impact: _x000D_
_x000D_
Strengths:_x000D_
+ The proposal has a good community outreach component that promotes information theory in computer science and bridging different groups that are interested in the area._x000D_
+ The proposal lays out an interesting outreach program for high school students in New York City. _x000D_
_x000D_
Solicitation-specific criteria: _x000D_
The PI has developed a new course on the boundary of information theory and theoretical computer science bringing together researchers from both areas. The PI has also given several tutorials and survey talks and written survey articles._x000D_
_x000D_
Data Management Plan: adequate_x000D_
_x000D_
Justification for Panel Rating: _x000D_
The proposal would have been rated higher if the last part had more details. The proposal could be more competitive if the PI had a longer track record working on data structures. _x000D_
_x000D_
_x000D_
Panel Rating: _x000D_
_ Highly Competitive_x000D_
X Competitive_x000D_
_ Low Competitive_x000D_
_ Not Competitive_x000D_
The summary was read by/to the panel and the panel concurred that the summary accurately reflects_x000D_
the panel discussion._x000D_
_x000D_
_x000D_
_x000D_
</t>
  </si>
  <si>
    <t>KU0968186</t>
  </si>
  <si>
    <t>Pandurangan</t>
  </si>
  <si>
    <t>GopalPandurangan@gmail.com</t>
  </si>
  <si>
    <t xml:space="preserve">In the context of the five review elements, please _x000D_
evaluate the strengths and weaknesses of the proposal with respect to intellectual merit._x000D_
_x000D_
Summary: This proposal addresses two majors directions using an information-theoretic approach: (1) data structure lower bounds in the cell probe model and (2) algorithms for distributed systems. It addresses fundamental open problems in establishing improved lower bounds  for static and dynamic data structures in the cell-probe model. It also explores connections to circuits and coding theory._x000D_
_x000D_
_x000D_
Strengths:_x000D_
_x000D_
1.	The technical part of the proposal with respect to data structure lower bounds is written very well with deep fundamental questions and proposed approaches._x000D_
_x000D_
2.	The PI has done a significant work in the area with many publications in top conferences. The PI demonstrates in-depth understanding of research in the area of data structure lower bounds  which has been active area of research in the theory community, especially in the last decade or so._x000D_
_x000D_
3.	The problems posed are fundamental and some of the questions even if partly addressed (e.g., breaking the logarithmic barrier for static data structure lower bounds) will be significant theoretically._x000D_
_x000D_
Weaknesses:_x000D_
1.	The main weakness is the second (and smaller) part of the proposal titled 'Information theory in modern distributed systems.'. This part is not well fleshed out and lacks understanding of significant research in distributed computing and literature done in this area. It is too generally titled, whereas the main focus is on a specific topic (asymmetric information for compressing sensing).  The MapReduce part is also not flesh out well with missing related work on connectivity and related problems in distributed computing._x000D_
_x000D_
2.	The proposal is titled too generally, while the bulk of the proposal focuses on lower bounds for data structures. It would be better if just this was the focus of the whole proposal._x000D_
_x000D_
_x000D_
In the context of the five review elements, please _x000D_
evaluate the strengths and weaknesses of the proposal with respect to broader impacts._x000D_
_x000D_
Strengths:_x000D_
1.	It has a good community outreach component that promotes information theory in computer science and bridging different groups that are interested in the area._x000D_
_x000D_
2.	Lays out an interesting outreach program for high school students in New York City._x000D_
_x000D_
Weaknesses:_x000D_
_x000D_
1. The proposal should elaborate on the industrial impact, in particular, on implementing algorithms and software package. Does the PI have prior experience on this?_x000D_
_x000D_
_x000D_
Please evaluate the strengths and _x000D_
weaknesses of the proposal with respect to any additional solicitation-specific review criteria, if _x000D_
applicable_x000D_
_x000D_
The integration of education and research is good._x000D_
_x000D_
Summary Statement_x000D_
_x000D_
This is a strong proposal if just confined to the first part, namely lower bounds for data structures. It poses fundamental open questions with credible approaches. The PI is very well-suited to undertake research in this area with many significant publications in data structure lower bounds. The practical impact is less clear, since in many cases the difficulty is closing at most a logarithmic  factor  gap._x000D_
_x000D_
</t>
  </si>
  <si>
    <t>HP0953471</t>
  </si>
  <si>
    <t>Rao</t>
  </si>
  <si>
    <t>anuprao@cs.washington.edu</t>
  </si>
  <si>
    <t xml:space="preserve">In the context of the five review elements, please _x000D_
evaluate the strengths and weaknesses of the proposal with respect to intellectual merit._x000D_
_x000D_
This proposal is focussed on attempting to find techniques to prove new lower bounds on data structure problems. The problems discussed in the proposal are of fundamental importance. Proving lower bounds has proven to be extremely challenging in computer science. There are few models where we truly have a full  understanding of the complexity of computation. Communication complexity lies on one of this spectrum (we know a lot about it), general models like circuits like on the other end (there are many basic open questions). The data structures model seems to lie in between. At the same time, data structure problems are actually practically relevant._x000D_
_x000D_
As the PI's proposal illustrates, there is a lot of space here for interaction with other kinds of research (for example understanding the complexity of computing polynomials). Overall, I find the goals of the proposal ambitious, but a good target for this PI, who has a proven track record of succeeding on challenging problems in the past._x000D_
_x000D_
In the context of the five review elements, please _x000D_
evaluate the strengths and weaknesses of the proposal with respect to broader impacts._x000D_
_x000D_
The PI details several initiatives related to education that he is involved in and will be involved in. These involve interacting with high school students and broadly helping with STEM education at an early stage._x000D_
_x000D_
Please evaluate the strengths and _x000D_
weaknesses of the proposal with respect to any additional solicitation-specific review criteria, if _x000D_
applicable_x000D_
_x000D_
_x000D_
_x000D_
Summary Statement_x000D_
_x000D_
This proposal deserves to be funded._x000D_
_x000D_
</t>
  </si>
  <si>
    <t>HG0714371</t>
  </si>
  <si>
    <t>Rubinfeld</t>
  </si>
  <si>
    <t>ronitt@csail.mit.edu</t>
  </si>
  <si>
    <t xml:space="preserve">In the context of the five review elements, please _x000D_
evaluate the strengths and weaknesses of the proposal with respect to intellectual merit._x000D_
_x000D_
This proposal concerns the interplay between information, communication and computation, as applied to data structures and distributed computing.  This is an exciting research area with several cool breakthroughs.   The PI has suggested promising avenues for furthering_x000D_
the research, and has contributed several results in these directions._x000D_
_x000D_
The PI also proposes  a study of compressed sensing with asymmetric _x000D_
information for modeling communication in the internet-of-things, though these directions could be more fleshed out in the proposal._x000D_
_x000D_
PI is a promising young researcher._x000D_
_x000D_
In the context of the five review elements, please _x000D_
evaluate the strengths and weaknesses of the proposal with respect to broader impacts._x000D_
_x000D_
The PI will participate in Columbia programs to encourage STEM in K-12.  The PI is developing a new course on Information Theory in TCS, which is a very good contribution to the field._x000D_
_x000D_
Please evaluate the strengths and _x000D_
weaknesses of the proposal with respect to any additional solicitation-specific review criteria, if _x000D_
applicable_x000D_
_x000D_
_x000D_
_x000D_
Summary Statement_x000D_
_x000D_
+ Exciting area with good directions_x000D_
+ PI has good track record_x000D_
+ good broader impacts_x000D_
_x000D_
_x000D_
_x000D_
</t>
  </si>
  <si>
    <t>AS1006560</t>
  </si>
  <si>
    <t>Zuckerman</t>
  </si>
  <si>
    <t>diz@utexas.edu</t>
  </si>
  <si>
    <t xml:space="preserve">In the context of the five review elements, please _x000D_
evaluate the strengths and weaknesses of the proposal with respect to intellectual merit._x000D_
_x000D_
The PI proposes a strong research program of proving lower bounds for data structures in the prominent cell probe model. The PI suggest proving important lower bounds, such as a super constant lower bound on the number of queries required for an explicit static problem using space n^1.01.   The PI has a good track record, having proved lower bounds for the membership problem in the static case when the space is only a small additive amount above the information theoretic minimum, and a query lower bound of roughly log^{1.5} n in the dynamic case for 2D weighted range counting._x000D_
_x000D_
There are also interesting connections with locally decodable codes._x000D_
_x000D_
A weakness is that given the state of the art, breaking the barriers that the PI identifies seems very difficult, so it's not clear a breakthrough is imminent._x000D_
_x000D_
_x000D_
In the context of the five review elements, please _x000D_
evaluate the strengths and weaknesses of the proposal with respect to broader impacts._x000D_
_x000D_
The PI wants to bridge the gap between Electrical Engineering and Computer Science, do educational outreach to underrepresented groups, and have impact in industry._x000D_
_x000D_
Please evaluate the strengths and _x000D_
weaknesses of the proposal with respect to any additional solicitation-specific review criteria, if _x000D_
applicable_x000D_
_x000D_
_x000D_
_x000D_
Summary Statement_x000D_
_x000D_
This is a very good proposal about using information theoretic methods to prove lower bounds._x000D_
_x000D_
</t>
  </si>
  <si>
    <t>1749748</t>
  </si>
  <si>
    <t>Chandrasekaran</t>
  </si>
  <si>
    <t>6</t>
  </si>
  <si>
    <t xml:space="preserve"> Panel Summary       
 _x000D_
SUMMARY OF PROPOSED RESEARCH ACTIVITY_x000D_
_x000D_
The proposed research focuses on developing provably good algorithms for optimization problems, and on obtaining provable guarantees for cutting-plane based heuristics that are successful in practice._x000D_
_x000D_
_x000D_
INTELLECTUAL MERIT_x000D_
_x000D_
Strengths_x000D_
_x000D_
+ The proposed problems concern foundational issues the algorithmic theory of the cutting planes method. Despite significant efforts, surprisingly little is known in theory. Thus the proposal, if successful, would make progress in closing this large gap._x000D_
_x000D_
+ For certain problems, the known polynomial-time algorithms use elipsoid, and are thus highly impractical. Developing cutting plane algorithms, with provable guarantees, is a promising direction for obtaining probably good algorithms that are also practical._x000D_
_x000D_
+ The cutting planes method is very successful in practice (e.g. in algorithms for TSP). The proposed research plan could lead to a theoretical justification for this phenomenon._x000D_
_x000D_
+ The problem is challenging, but the suggested research plan seems reasonable. The idea of trying to interpret primal/dual algorithms as cutting plane is interesting._x000D_
_x000D_
+ The PI has made some progress on understanding the cutting plane methods in his prior work (for matchings). This is a promising sign for the future of this research agenda._x000D_
_x000D_
Weaknesses_x000D_
_x000D_
- There is too much focus on the subtour elimination LP for TSP. The plan of attack for some of the other problems is not explained in detail._x000D_
_x000D_
- The proposed line of attack might be too optimistic. Furthermore, whether the technical connection to primal-dual is strong enough is somewhat unclear._x000D_
_x000D_
BROADER IMPACTS_x000D_
_x000D_
Overall, the broader impacts seem adequate._x000D_
_x000D_
Strengths_x000D_
_x000D_
+ Progress on understand the cutting planes method could provide theoretical justification for the success of various heuristics. This could have broader implications in the design of practical algorithms, and therefore in applied domains._x000D_
_x000D_
+ The PI seems invested in undergraduate advising._x000D_
_x000D_
+ The PI has plans for teaching high-school students, with an emphasis on particularly diverse groups._x000D_
_x000D_
Weaknesses_x000D_
_x000D_
CAREER SOLICITATION-SPECIFIC REMARKS:_x000D_
_x000D_
Letter of institutional commitment. Present_x000D_
_x000D_
Integration of research and education:_x000D_
_x000D_
+ The PI plans to integrate the results of his research to the curriculum of optimization courses._x000D_
_x000D_
+ The PI is committed in and has plan for advising undergraduate students on research projects related to this research._x000D_
_x000D_
+ The PI has attended a teaching program at UIUC aimed at improving teaching techniques in engineering._x000D_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proposal could be improved by explaining in more detail the plan of attack for problems other than TSP._x000D_
_x000D_
 _x000D_
_x000D_
Justification for Panel Rating: The panel concluded that this is a promising research direction, with possible important applications both in theory and in practice. The proposal can be improved if the PI provides more details on how he plans to attack some of the most challenging problems._x000D_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</si>
  <si>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outlines a serious attempt to build a theory for analyzing the complexity of cutting-plane methods. These methods constitute a fundamental tool in real world linear and integer programming and integer solving, but despite decades of study in operations research their theoretical aspects are still fairly poorly understood. _x000D_
_x000D_
The PI plans to focus first on understanding the cutting plane method in the context of problems that are known to be "easy" (in particular, polynomial-time solvable) and well understood already from other perspectives, such as optimizing over the TSP Subtour Elimination Polytope and Matroid Intersection Polytope. He then plans to tackle a much more ambitious goal of developing an efficient algorithm for optimizing over a polytope whose Chvatal-Gomory rank is one._x000D_
_x000D_
+ the proposal addresses a very important area that is definitely missing in current mainstream theoretical computer science research_x000D_
+ the PI has good background in this area as well as possesses a good grasp and interest in both its theoretical and practical aspects_x000D_
+ the described concrete objectives, including the connection to primal dual algorithms, are quite compelling and constitute solid foundations for a systematic plan of attack_x000D_
_x000D_
- the proposal would be much stronger if the PI presented some more concrete ideas on how he wants to achieve the outlined goals. Of course, this is in principle not required, but it is somewhat worrisome that the discussion of promising approaches is fairly basic and boils down to not much more than presenting well-known insights and difficulties._x000D_
_x000D_
In the context of the five review elements, please _x000D_
evaluate the strengths and weaknesses of the proposal with respect to broader impacts._x000D_
_x000D_
The broader impacts component is good. Its two main points are: _x000D_
_x000D_
* the desire to bringing the theory and practice closer together in the context of cutting plane methods; and _x000D_
* outreach activities with regard to undergraduate and high school students, including minorities._x000D_
_x000D_
Please evaluate the strengths and _x000D_
weaknesses of the proposal with respect to any additional solicitation-specific review criteria, if _x000D_
applicable_x000D_
_x000D_
_x000D_
_x000D_
Summary Statement_x000D_
_x000D_
This proposal constitutes a systematic attempt to build theoretical foundations of a very important, but so far mostly neglected by the TCS community, topic. _x000D_
_x000D_
The main weakness of the proposal is that the described approaches to making the progress do not seem to go much beyond fairly well known insights._x000D_
_x000D_
</t>
  </si>
  <si>
    <t xml:space="preserve">In the context of the five review elements, please _x000D_
evaluate the strengths and weaknesses of the proposal with respect to intellectual merit._x000D_
_x000D_
Strengths:_x000D_
_x000D_
The proposal seeks to obtain new algorithms for fundamental combinatorial optimization problems using the cutting planes method. _x000D_
This method has been proved successful in practice, but lacks theoretical justification in most cases. Therefore, the possible benefits from the proposed research agenda are two-fold: (i) the design of better algorithms for existing well-studied problems, and (ii) the theoretical justification of practical heuristics (e.g. the cutting planes algorithm for TSP). As such, the resolution of some of the problems could lead to better algorithms in practice._x000D_
_x000D_
A main goal is to give cutting plane algorithms for solving certain LPs that can currently only be solved via the ellipsoid method, which is inefficient in practice._x000D_
_x000D_
The proposal considers important optimization problems, such as TSP and Matroid Intersection (finding the maximum common independent set in k matroids). This is an ambitious plan, and any positive results could likely lead to ideas of interest to other problems._x000D_
_x000D_
I find the high-level description of the method for inserting and removing constraints, in the context of Matroid Intersection, to be quite natural and interesting. I believe this is a research direction worth pursuing._x000D_
_x000D_
The PI is an expert in combinatorial optimization, and specifically in the cutting plane method. He is well qualified to lead the research effort._x000D_
_x000D_
Weaknesses:_x000D_
_x000D_
A few of the suggested problems might not have immediate algorithmic applications. For example, the problem of improving the 2^n bound on the number of cuts required to solve integer programs, does not seem to be very well motivated. It is of course a natural and interesting question from the mathematical point of view. However, since it is not possible to compute a polynomially large set of cuts, in polynomial time, that yield a solution to an arbitrary IP (unless P=NP), the algorithmic applications of this particular question seem less appealing._x000D_
_x000D_
_x000D_
_x000D_
In the context of the five review elements, please _x000D_
evaluate the strengths and weaknesses of the proposal with respect to broader impacts._x000D_
_x000D_
Strengths:_x000D_
_x000D_
Since cutting plane methods are successful in practice, the proposal could lead to new insights for obtaining faster heuristics. This could be true also for specific problem instances (e.g. series-parallel, or other restricted graph classes for the subtour elimination polytope)._x000D_
_x000D_
_x000D_
Please evaluate the strengths and _x000D_
weaknesses of the proposal with respect to any additional solicitation-specific review criteria, if _x000D_
applicable_x000D_
_x000D_
_x000D_
_x000D_
Summary Statement_x000D_
_x000D_
The proposal outlines a research plan to study fundamental algorithmic questions related to the cutting planes method in combinatorial optimization. This is a method of importance both in theory and in practice._x000D_
_x000D_
</t>
  </si>
  <si>
    <t xml:space="preserve">In the context of the five review elements, please _x000D_
evaluate the strengths and weaknesses of the proposal with respect to intellectual merit._x000D_
_x000D_
PI proposes research in developing cutting plane algorithms for linear programs arising from study of combinatorial optimization problems. In particular, the focus is on the subtour elimination polytope for TSP, matroid intersection and similar problems. The PI also proposes to also looks at linear programs for structured linear programs._x000D_
_x000D_
Obtaining a better understanding of cutting plane methods is important due to their use in commercial solvers as well as better understanding leading to faster algorithms theoretically as well as practically. _x000D_
_x000D_
The proposed research is slightly narrow. The main focus of the proposal is the subtour lp (and matroid intersection). The proposal also mentions solving problems with CG rank 1. This is a hard problem but no roadmap for this direction is given._x000D_
_x000D_
In the context of the five review elements, please _x000D_
evaluate the strengths and weaknesses of the proposal with respect to broader impacts._x000D_
_x000D_
The broader impact of the research undertaken can be tremendous due to applicability of cutting plane methods in solvers. The proposal also gives an outreach and detailed education plan that will be impactful._x000D_
_x000D_
Please evaluate the strengths and _x000D_
weaknesses of the proposal with respect to any additional solicitation-specific review criteria, if _x000D_
applicable_x000D_
_x000D_
_x000D_
_x000D_
Summary Statement_x000D_
_x000D_
Overall the proposal is on a good topic but the research questions proposed and directions given are slightly narrow._x000D_
_x000D_
</t>
  </si>
  <si>
    <t xml:space="preserve">In the context of the five review elements, please _x000D_
evaluate the strengths and weaknesses of the proposal with respect to intellectual merit._x000D_
_x000D_
The PI proposes the development of a theory for cutting plane algorithms.  Cutting planes are one of the most effective ways of solving Integer Programming problems in practice, and have been in use for over 50 years.  However, there is almost no theory explaining how or why they work._x000D_
_x000D_
The PI proposes to develop such a theory.  This is an ambitious goal, but it is grounded in concrete problems.  The first of these is an attempt to develop a provably fast cutting plane algorithm for optimization over the subtour polytope.  The proposed approaches to the problem seem reasonable, and the PI's prior work indicates that he would be well suited to solve the problem._x000D_
_x000D_
The PI also suggests optimization over the 2-edge connected subgraph polyhedron.  This seems to be an easier problem, but one that is still interesting enough to be a good starting point._x000D_
_x000D_
The next problem the PI proposes solving is the development of a cutting planes algorithm for optimizing over the intersection of 2 or 3 matriod polytopes.  The problem of optimizing over the intersection of 2 matriod polytopes is solvable in polynomial time in a number of ways.  So, it is reasonable to hope that one might be able to analyze a cutting plane method for solving this problem.  This is a well thought out problem, and its solution could be very informative._x000D_
_x000D_
The third problem the PI will attempt to solve is the derivation of a polynomial time algorithm for solving integer linear programs in matrices with strong Chvatal rank 1.  For this problem, he also identifies important subcases whose solution would be of interest._x000D_
_x000D_
_x000D_
In the context of the five review elements, please _x000D_
evaluate the strengths and weaknesses of the proposal with respect to broader impacts._x000D_
_x000D_
Cutting planes methods are used to solve integer linear programs in a huge number of industrial and scientific applications.  If the PI makes significant advances in this area, it could greatly accelerate the solution of these problem.  _x000D_
_x000D_
Educational efforts of the PI include developing courses related to the proposed research, production of a monograph based on these courses, and supervising teams of undergraduates on projects in optimization.  The PI will continue to participate in activities at UIUC designed to recruit underrepresented minorities.  He will also help design and supervise activities for high school students. _x000D_
_x000D_
_x000D_
Please evaluate the strengths and _x000D_
weaknesses of the proposal with respect to any additional solicitation-specific review criteria, if _x000D_
applicable_x000D_
_x000D_
_x000D_
_x000D_
Summary Statement_x000D_
_x000D_
This is a strong proposal by an accomplished researcher with a refreshing breadth of prior work.  He proposes the development of a theory of cutting planes algorithms.  While many researchers have tried and failed to do this over the last 50 years, the PI has had rare prior success and outlines a credible approach to success._x000D_
_x000D_
The broader impacts include potential industrial and scientific applications of the work, as well as outreach activities, curriculum development, and supervision of valuable projects for undergraduates._x000D_
_x000D_
_x000D_
</t>
  </si>
  <si>
    <t>Integer Linear Programming (IP) is a powerful formulation used to model and solve discrete optimization problems. The linear programming (LP) relaxation of an IP formulation serves as an indispensable tool to bound the optimum value of the IP. For this reason, the LP-relaxation is often solved as a first step towards solving the IP. For several combinatorial optimization problems, the constraints in the IP formulation are implicit and overwhelmingly large in number. Consequently, there is no hope to even load the corresponding LP-relaxation in a computer's working memory, let alone solve it to optimality. A practical way to solve such large LP instances is the cutting plane method: start by solving a subproblem that imposes a small number of constraints and repeatedly add a constraint (cut) that is violated by the current optimum and re-solve until there are no more violated constraints. The primary focus of this research program is the following:_x000D_
_x000D_
Project Goal. Design efficient cutting plane algorithms to solve the LP-relaxation of fundamental combinatorial optimization problems. _x000D_
_x000D_
We plan to thoroughly understand the efficacy of cutting plane methods both for combinatorial optimization problems as well as more general structured integer programs. We will focus on problems that have served as exemplars for progress in the field. Concrete problems of interest include:_x000D_
1) Optimizing over relaxations of combinatorial polytopes including the subtour polytope of the TSP (traveling salesman problem) formulation, and the intersection of three matroid polytopes._x000D_
2) Solving structured IPs--in particular, IPs over polytopes whose Chvatal-Gomory rank is one._x000D_
_x000D_
As a proof of concept, the PI had earlier demonstrated that the primal-dual approach can be leveraged to design a provably efficient cutting plane algorithm for matching. The PI intends to study and develop this methodology to its formal maturity in order to address fundamental problems as well as understand its limits._x000D_
Keywords: combinatorial optimization; polyhedral theory; traveling salesman problem; matroid intersection; cutting planes; Chvatal-Gomory rank.The practical use of cutting plane methods has often been ad hoc. There is no systematic theory that identifies problems for which the method is provably efficient. The program proposes to develop a systematic algorithmic theory of cutting planes. The major technical challenge in the design and analysis of cutting plane algorithms is identifying structural properties of optimum solutions to the intermediate LP-relaxations and designing cuts to control these properties in order to quantify the progress of the algorithm. Furthermore, the structural properties of optimum solutions to LP-relaxations have been a principal workhorse in the design of approximation algorithms. Thus, successful identification of structural properties and the ability to control them through cuts will substantially transform our ability to design and implement approximation algorithms.IP formulations and LP-relaxations have been vital tools in Operations Research and Mathematical Programming. While cutting plane methods have become more widespread and commonly implemented in commercial IP and LP solvers, there are very few problems with theoretical convergence guarantees. The cutting plane method is indeed the backbone of Concorde, the current fastest TSP solver. A systematic algorithmic theory of the cutting plane method to be developed in this program will bridge this gap between theory and practice and have a direct and lasting impact on these solvers. Faster solvers in turn have far ranging applications in optimization. On the educational side, the program will drive the integration of polyhedral theory and its algorithmic applications in the courses currently taught by the PI. The PI will also engage high-school students through outreach activities that focus on inculcating the simplicity of algorithm design through intellectually stimulating puzzles.</t>
  </si>
  <si>
    <t>1749855</t>
  </si>
  <si>
    <t>Orabona</t>
  </si>
  <si>
    <t xml:space="preserve"> Panel Summary       
 INTELLECTUAL MERIT:_x000D_
_x000D_
The goal of this proposal is to provide new algorithms with provable guarantees that depend on less parameters than the current machine learning algorithms. For example, this project aims at removing the need to set learning rates, regularization hyper parameters, and use weight initialization strategies in convex and non-convex optimization based machine learning algorithms._x000D_
_x000D_
+ Strengths_x000D_
-- This is a high risk, high rewards proposal on removing hyper parameters (and their tuning) from machine learning algorithms._x000D_
-- The proposal is very well written._x000D_
-- The proposal has a very exciting vision._x000D_
-- The PI is well qualified  to make progress on the problems he is proposing; he has good preliminary work in these directions._x000D_
_x000D_
- Weaknesses_x000D_
-- While the proposal research is broad and general, the techniques that the PI plans to use are quite specific (e.g. connection to a betting game). It's unclear whether the algorithms and results that are expected from this research are for some special learning scenarios or are going to be quite general (and if they are general, why it's possible to achieve that). The PI can strengthen the proposal by addressing this. _x000D_
-- The  relative ranking compared to the other proposals in the same panel was the only reason for which some of the panelists did not rank this proposal in the Excellent category._x000D_
_x000D_
_x000D_
BROADER IMPACTS:_x000D_
If successful, the research has direct benefits on the practicality of machine learning algorithms in various domains. The proposal provides adequate integration of research and education: course development, student advising/monitoring and outreach to K-12 classrooms (including collaborating with the non-profit company Kioto to create web-based machine learning courses for K-12 schools)._x000D_
_x000D_
+ Strengths_x000D_
The integration of research and teaching was particularly strong. _x000D_
_x000D_
- Weaknesses_x000D_
Some panelists felt that the proposed agenda is quite challenging and thus too risky, which might mitigate its potential broader impact._x000D_
_x000D_
Summary:_x000D_
This is a very strong proposal which has identified a number of interesting and interrelated research questions related to advancing the state of the art in theoretical machine learning via eliminating hyper parameters. The  broader impact and education components are strong as well._x000D_
_x000D_
PANEL RECOMMENDATION: Justification, including key strengths and critical_x000D_
weaknesses._x000D_
__Highly competitive (HC)_x000D_
_X_Competitive (C)_x000D_
__Low Competitive (LC)_x000D_
__Not Competitive (NC)_x000D_
_x000D_
The summary was read by/to the panel and the panel concurred that the summary accurately reflects the panel discussion. 
</t>
  </si>
  <si>
    <t>YC1007331</t>
  </si>
  <si>
    <t>Balcan</t>
  </si>
  <si>
    <t>ninamf@cs.cmu.edu</t>
  </si>
  <si>
    <t xml:space="preserve">In the context of the five review elements, please _x000D_
evaluate the strengths and weaknesses of the proposal with respect to intellectual merit._x000D_
_x000D_
The goal of this proposal is to provide new algorithms and the theoretical understanding to remove some of the hyperparameters present in current machine learning algorithms.  For example, this project aims at removing the need to set learning rates, regularization hyperparameters, and use weight initialization strategies in convex and non-convex machine learning algorithms. Hence, the proposed research is expected to shorten the production cycle of machine learning models, allowing the engineers to focus on the models rather than on the training of the models._x000D_
_x000D_
_x000D_
The PI has a recent interesting work in this direction a reasonable plan to attach the proposed objectives._x000D_
_x000D_
In the context of the five review elements, please _x000D_
evaluate the strengths and weaknesses of the proposal with respect to broader impacts._x000D_
_x000D_
The educational&amp;broader impact component is nicely laid out: it includes curriculum development, outreach to the growing community of machine learning practitioners via tutorial materials and open-source software on a dedicated website, collaborating with the non-profit company kidOYO to create web-based machine learning courses for K-12 schools._x000D_
_x000D_
_x000D_
Please evaluate the strengths and _x000D_
weaknesses of the proposal with respect to any additional solicitation-specific review criteria, if _x000D_
applicable_x000D_
_x000D_
_x000D_
_x000D_
Summary Statement_x000D_
_x000D_
This is a well written proposal on new algorithms and the theoretical understanding to remove some of the hyperparameters present in current machine learning algorithms. The project has an exciting vision and the PI is well qualified  to make progress on the problems he is proposing; he has good preliminary work in these directions._x000D_
_x000D_
_x000D_
</t>
  </si>
  <si>
    <t>XN0907598</t>
  </si>
  <si>
    <t>Chen</t>
  </si>
  <si>
    <t>yiling@seas.harvard.edu</t>
  </si>
  <si>
    <t xml:space="preserve">In the context of the five review elements, please _x000D_
evaluate the strengths and weaknesses of the proposal with respect to intellectual merit._x000D_
_x000D_
This proposal aims to develop theory for hyperparameter-free machine learning algorithms (or reducing hyperparameters). The proposed research includes three components: (1) Characterize computational complexity of learning algorithms without assuming knowledge on values of hyperparameters. In other words, take into account the computation involved for setting and tuning hyperparameters when considering the complexity of a learning algorithm. (2) Develop hyperparameter-free online optimization for both convex and some non-convex functions. (3) Reduce hyperparameters in deep learning. _x000D_
_x000D_
The research plan for the three components are generally well thought out and built upon the PI's previous research. For (1), the PI plans to first establish a lower bound of optimal computational complexity for learning in RKHS and then design a learning algorithm to match this optimal bound. The PI plans to extend his prior results (a lower bound for stochastic optimization in a particular setting and a hypermarameter-free stochastic approximation procedure) to achieve these. For (2), the PI's prior work has established a connection between parameter-free online convex optimization and a betting game and has used this connection to design parameter-free online learning algorithms. The PI will extend the work to richer settings. For (3), the PI again plans to leverage the aforementioned connection to the betting game to help remove superfluous hyperparameters from deep learning. But why the technique may help deep learning algorithms are somewhat vague to me. _x000D_
_x000D_
The directions of the proposed research are challenging and exciting. Theory for hyperparameter-free machine learning can fundamentally change our understanding of machine learning. The PI has a track record of developing interesting results in the area of the proposed research and is highly qualified for carrying out the proposed research.  _x000D_
_x000D_
One weakness of the proposal is: While the proposal research is broad and general, the techniques that the PI plan to use are quite specific (e.g. connection to a betting game). I didn't figure out from reading the proposal whether, as a result, the algorithms and results that are expected from this research are for some special learning scenarios or are going to be quite general (and if they are general, why it's possible to achieve that)._x000D_
_x000D_
In the context of the five review elements, please _x000D_
evaluate the strengths and weaknesses of the proposal with respect to broader impacts._x000D_
_x000D_
+ If successful, the research has direct benefits on practicality of machine learning algorithms in various domains._x000D_
_x000D_
Please evaluate the strengths and _x000D_
weaknesses of the proposal with respect to any additional solicitation-specific review criteria, if _x000D_
applicable_x000D_
_x000D_
Adequate integration of research and education: course development, student advising/mentoring and outreach to K-12 classrooms._x000D_
_x000D_
Summary Statement_x000D_
_x000D_
A solid, ambitious and well-reasoned proposal._x000D_
_x000D_
</t>
  </si>
  <si>
    <t>WE0867353</t>
  </si>
  <si>
    <t>Drineas</t>
  </si>
  <si>
    <t>drineas@gmail.com</t>
  </si>
  <si>
    <t xml:space="preserve">In the context of the five review elements, please _x000D_
evaluate the strengths and weaknesses of the proposal with respect to intellectual merit._x000D_
_x000D_
The objective of the proposal is to prevent overfitting as in machine learning by tuning the hyperparameters of the algorithm in order to trade-off the simplicity of the model with its performance on the training data. The PI seeks to design hyperparameter-free algorithms in order to achieve a better understanding of the computational complexity of learning. The career goal of the PI is to lay the foundations for hyperparameter-free non-linear and_x000D_
non-convex machine learning algorithms and already has some preliminary results in this direction. _x000D_
_x000D_
The proposal has three research directions, with the third direction being probably the most interesting and timely one. The first two directions focus on characterizing (fully?) the computational complexity of learning without prior knowledge and on doing stochastic optimization without hyperparameters. The third direction aims to reduce the hyperparameters in deep learning. _x000D_
_x000D_
Overall, this is a challenging and worth-while objective. Removing hyperparameters instead of fine-tuning them is an important direction for machine learning in the era of big data. The PI has a significant amount of prior work in this area and has a reasonable plan to attach the proposed objectives. I was not able to follow all the details of the PI's proposed plan, but the research questions are reasonably formulated -- I would have preferred a more detailed discussion of the assumptions under which the PI will actually deliver some of the proposed lower bounds. The proposed work in deep learning is more qualitatively described and was somewhat easier to follow. The end objective is to understand the characteristics of machine learning tasks that guarantee a better performance with deep learning methods with fewer hyperparameters._x000D_
_x000D_
In the context of the five review elements, please _x000D_
evaluate the strengths and weaknesses of the proposal with respect to broader impacts._x000D_
_x000D_
The broader impacts of the proposed research could be significant, if successful. However, the proposed agenda is quite challenging and thus risky. Other broader impacts are relatively standard, except for the collaboration with kidOYO, which is quite interesting. There is a letter of support for kidOYO, but no preliminary work showing how the educational infrastructure that kidOYO builds could benefit from the PI's agenda._x000D_
_x000D_
Please evaluate the strengths and _x000D_
weaknesses of the proposal with respect to any additional solicitation-specific review criteria, if _x000D_
applicable_x000D_
_x000D_
See above discussion._x000D_
_x000D_
Summary Statement_x000D_
_x000D_
A high risk high rewards proposal on removing hyperparameters (and their tuning) from machine learning algorithms. Solid proposal, with a nice vision and good preliminary work. Reasonable educational broader impacts._x000D_
_x000D_
</t>
  </si>
  <si>
    <t>NC1006557</t>
  </si>
  <si>
    <t>Mattei</t>
  </si>
  <si>
    <t>nsmattei@gmail.com</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</si>
  <si>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proposed research is important and an impressive number of key questions are identified towards expanding machine learning algorithms to eliminate dependancy on manually tuned hyperparameters..  It has the potential to impact not only the subfield of Machine Learning but inform advancements across a number of disciplines in computer science.  Focusing on eliminating hyperparameters is an important step and has broad application._x000D_
_x000D_
2. To what extent do the proposed activities suggest and explore creative, original, or potentially transformative concepts?_x000D_
_x000D_
The proposed activities are impressive -- the questions are obviously linked though not in an inter-coupled way and the PI identifies key aspects that need to be addressed. _x000D_
_x000D_
3. Is the plan for carrying out the proposed activities well-reasoned, well-organized, and based on a sound rationale? Does the plan incorporate a mechanism to assess success?_x000D_
_x000D_
This was a very tight proposal in so far as some of the same algorithmic machinery could be applied in may different areas without being codependent.  These aspects can be worked on independently and advances in any of them could be cross-fertilized._x000D_
_x000D_
4. How well qualified is the individual, team, or institution to conduct the proposed activities?_x000D_
_x000D_
He is obviously well qualified and given his experience creating opensource software there is obvious opportunity for significant impact_x000D_
_x000D_
5. Are there adequate resources available to the PI (either at the home institution or through collaborations) to carry out the proposed activities?_x000D_
_x000D_
Yes, there is strong support from both the coordinating institutions and within the department._x000D_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Very strong broader impacts -- the PI has identified several channels for teaching that are non-traditional and have significant opportunity to make an impact on a variety of populations, in addition his commitment to creating new learning modules and outreach to local communities._x000D_
_x000D_
2. To what extent do the proposed activities suggest and explore creative, original, or potentially transformative concepts?_x000D_
_x000D_
The PI has identified gaps where his research area can seamlessly support broader outreach.  The ideas (creating learning modules) are creative and potentially transformative if done well. _x000D_
_x000D_
3. Is the plan for carrying out the proposed activities well-reasoned, well-organized, and based on a sound rationale? Does the plan incorporate a mechanism to assess success?_x000D_
_x000D_
Yes, the plan is solid and there are feedback mechanisms to address success both for releasing software as well as outreach activities._x000D_
_x000D_
4. How well qualified is the individual, team, or institution to conduct the proposed activities?_x000D_
_x000D_
The PI has a track record of open-source software and identified good channels to host and maintain his work._x000D_
_x000D_
5. Are there adequate resources available to the PI (either at the home institution or through collaborations) to carry out the proposed activities?_x000D_
_x000D_
There were sufficient resources allocated to achieve the ambitious broader impacts (i.e., a GA for programming).  The PI seems committed to these broader impacts both with OYO and releasing source code._x000D_
_x000D_
Please evaluate the strengths and _x000D_
weaknesses of the proposal with respect to any additional solicitation-specific review criteria, if _x000D_
applicable_x000D_
_x000D_
_x000D_
_x000D_
Summary Statement_x000D_
_x000D_
An extremely strong proposal which has identified a number of interesting and interrelated research questions related to advancing the state of the art in theoretical machine learning via eliminating hyperparameters.  Outstanding attention to broader impacts and establishing connections to deliver the research to a diverse set of stakeholders._x000D_
_x000D_
_x000D_
</t>
  </si>
  <si>
    <t>Machine Learning has been described as the fuel of the next industrial revolution. Yet, current state-of-the-art machine learning algorithms still heavily rely on having a human in the loop setting hyperparameters to make the algorithms work properly._x000D_
The long-term goal of this project is to change the way machine learning algorithms are designed and analyzed, removing the need for hyperparameters to be tuned, yet retaining optimal theoretical and empirical performance. The overall objective is to lay the foundations for hyperparameter-free non-linear and non-convex machine learning algorithms. _x000D_
The PI's recent results built unexpected connections between optimal sequential investment and machine learning with convex models. This connection allows us, for example, to use hyperparameter-free algorithm from optimal sequential investment to design hyperparameter-free convex learning algorithms. Hence, the central hypothesis is that these connections will lead to hyperparameter-free learning algorithms for non-convex models, in particular for modern Deep Learning architectures._x000D_
_x000D_
The central hypothesis will be tested by pursuing the following inter-related specific aims:_x000D_
- Generalization and computational complexity. The aim is to fully characterize the computational complexity of learning, without assuming knowledge of unknown quantities._x000D_
- Stochastic optimization without hyperparameters. The PI will extend his recent results on hyperparameter-free online convex optimization to take advantage of curvature and smoothness. Moreover, the PI will extend these results to non-convex smooth functions proving convergence to local minima._x000D_
- Reducing hyperparameters in Deep Learning. A natural application of this theory is to deep learning models. For example, the PI aims at designing, analyzing, and implementing full fledged optimization algorithms aimed to be used by deep learning practitioners, rather than proof of concepts on synthetic problems._x000D_
_x000D_
The proposed line of research fundamentally differs from the current practice of trying to patch existing machine learning methods, finding ways to tune the hyperparameters rather than removing them.The proposed research is expected to contribute new algorithms and the theoretical understanding to remove at least some of the hyperparameters present in current machine learning algorithms. This will be done through a theoretical analysis on the role of the hyperparameters and through the design of hyperparameter-free algorithms. For example, this project aims at removing the need to set learning rates, regularization hyperparameters, and use weight initialization strategies in convex and non-convex machine learning algorithms. Hence, the proposed research is expected to shorten the production cycle of machine learning models, allowing the engineers to focus on the models rather than on the training of the models.Machine learning algorithms are at the core of many recent and future developments in Biology, Medicine, Engineering, etc. However, there is still a wide gap between theoretical and applied results. This project brings together these two worlds, for designing better theoretically principled machine learning algorithms. Also, the proposed Education Plan is designed to fill the same gap in the minds of the students. It will involve designing theoretical undergraduate courses on advanced machine learning and curricular materials for graduate courses. Also, the PI plans to outreach to the growing community of machine learning practitioners via tutorial materials and open-source software on a dedicated website. Moreover, to have a broad and direct impact on the local community of Long Island, the PI will collaborate with the non-profit company kidOYO to create web-based machine learning courses for K-12 schools.</t>
  </si>
  <si>
    <t>1749977</t>
  </si>
  <si>
    <t>Solomon</t>
  </si>
  <si>
    <t xml:space="preserve"> Panel Summary       
 _x000D_
SUMMARY OF PROPOSED RESEARCH ACTIVITY_x000D_
_x000D_
The proposed research focuses on geometric optimization problems where the objective is to find a geometric object/space that optimized a certain function. There are three main categories of problems: smooth, combinatorial, and stochastic. The problems under consideration are of importance in various application domains, such as computer graphics. The main goal is to derive algorithms based on gradient-descent._x000D_
_x000D_
_x000D_
INTELLECTUAL MERIT_x000D_
_x000D_
The PI attacks problems that are important and challenging. However, it seems that the PI has chosen to explore his method of attack before clarifying the foundational aspects of the problems. This led panelists to question the fit to Algorithmic Foundations. _x000D_
_x000D_
Strengths_x000D_
_x000D_
+ The problems that the proposal seeks to address are hard and of importance in practical domains. Despite their importance, not much combinatorial work has been done._x000D_
_x000D_
Weaknesses_x000D_
_x000D_
- On the class of smooth problems, the PI plans to explore provable convergence for certain algorithms based on gradient-descent, but never discusses the quality of the solutions that they converge to. It should first be resolved whether convergence is to a local or a global optimum -- for many optimization problems it is NP-hard to compute a global optimum solution, even though a local optimum might be easy to find. _x000D_
_x000D_
- It is not clear what is precisely the technical algorithmic contribution that the PI is proposing. The proposal seems to be written with a non-AF audience in mind._x000D_
_x000D_
- The questions considered in the section on stochastic algorithms seem similar, at least in spirit, to problems studied in the area of learning probability distributions. This area has received a lot of attention in recent years in the theory community. The PI does not comment on how his approach differs from that line of work._x000D_
_x000D_
_x000D_
BROADER IMPACTS_x000D_
_x000D_
Overall, the broader impacts section is quite good, and he seems to have a strong track record._x000D_
_x000D_
Strengths_x000D_
_x000D_
+ The problems under consideration are important and have practical applications._x000D_
_x000D_
_x000D_
CAREER SOLICITATION-SPECIFIC REMARKS:_x000D_
_x000D_
Letter of institutional commitment. Present_x000D_
_x000D_
Integration of research and education: Adequate_x000D_
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panel concluded that, even though the proposed research is important, it does not fit, in its current form, in algorithmic foundations. In order for the proposal to be more competitive in this area, it would have to be written with an AF audience in mind. Furthermore, the algorithmic goals would have to be restated so that they can be evaluated under more standard algorithmic measures of performance (e.g. convergence to a global optimum)._x000D_
_x000D_
 _x000D_
_x000D_
Panel Rating:_x000D_
_x000D_
_ Highly Competitive_x000D_
_x000D_
_ Competitive_x000D_
_x000D_
X_ Low Competitive_x000D_
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</si>
  <si>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Structured Optimization for Geometric Problems_x000D_
_x000D_
L: 1749977 Solomon, Justin MIT $  550,000_x000D_
_x000D_
_x000D_
P180207 LC AF CAREER/CRII Panel A (14 panelists; 2 decl confl),_x000B_  on 10/24/2017, recommended as Low Competitive (E,V,V/G,F)_x000D_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</si>
  <si>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PI proposes to develop fast numerical algorithms for geometric optimization problems, involving smooth  problems, mixed smooth-discrete problems, and stochastic optimization. The proposed research will combine techniques from many areas including numerical optimization, differential geometry, topology, and discrete optimization. Although the goal is to develop general techniques, they are motivated by interesting problems such as surface parametrization, surface to surface mapping, and optimal transport._x000D_
_x000D_
A successful outcome of the project will lead to a major progress in the field and likely to have significant impact. The PI is well qualified to pursue the proposed research, as he already has made important contributions to this area._x000D_
_x000D_
In the context of the five review elements, please _x000D_
evaluate the strengths and weaknesses of the proposal with respect to broader impacts._x000D_
_x000D_
The proposal lays out a comprehensive and well thought out plan how the PI will ensure to disseminate the research to a broad community and how to integrate it with various educational and mentoring activities. What he has accomplished in this direction in relatively short period is impressive, and I am sure he will continue to do so in the coming years._x000D_
_x000D_
Please evaluate the strengths and _x000D_
weaknesses of the proposal with respect to any additional solicitation-specific review criteria, if _x000D_
applicable_x000D_
_x000D_
_x000D_
_x000D_
Summary Statement_x000D_
_x000D_
It's a strong proposal  on an important topic by a highly successful young researcher who has demonstrated that he is capable of pursuing the proposed research. The PI has clear vision how his research agenda will unfold and how he will combine it with his educational, mentoring, and outreach activities._x000D_
_x000D_
</t>
  </si>
  <si>
    <t xml:space="preserve">In the context of the five review elements, please _x000D_
evaluate the strengths and weaknesses of the proposal with respect to intellectual merit._x000D_
_x000D_
This proposal is on a proposal that I would have thought out of scope for this area: the numerical optimization of systems of parameters describing the shape of an object, by local optimization or random search procedures that provide neither the guarantees on runtime nor the guarantees on near-optimal solution quality demanded by optimization work in theoretical computer science. Even their "most ambitious goal" of establishing theoretical guarantees on the convergence rate of numerical optimization algorithms would only establish that the algorithm converges to something, not that what it converges to is optimal._x000D_
_x000D_
Solomon does not seem to have a record of publishing in theory venues. His recent publications are in machine learning and computer graphics._x000D_
_x000D_
_x000D_
In the context of the five review elements, please _x000D_
evaluate the strengths and weaknesses of the proposal with respect to broader impacts._x000D_
_x000D_
The class of problems considered here is very broad, and so has many applications in other areas. Some that the proposal mentions specifically include texture mapping in computer graphics, brain visualization, engineering simulation, and supply chain optimization. Correspondingly, though, optimization methods for those problems in these applications are already well-established._x000D_
_x000D_
Please evaluate the strengths and _x000D_
weaknesses of the proposal with respect to any additional solicitation-specific review criteria, if _x000D_
applicable_x000D_
_x000D_
_x000D_
_x000D_
Summary Statement_x000D_
_x000D_
I think this is too far out of scope to be fairly evaluated as a theory proposal. My score reflects the poor fit of the proposal to the program, rather than its intellectual merits as a proposal in its proper subject._x000D_
_x000D_
</t>
  </si>
  <si>
    <t xml:space="preserve">In the context of the five review elements, please _x000D_
evaluate the strengths and weaknesses of the proposal with respect to intellectual merit._x000D_
_x000D_
strengths:_x000D_
+ ambitious goals, well motivated from practice. It would be really nice to develop a self-contained theory for geometric optimization_x000D_
+ the PI has done a lot of work in the area and is well qualified to conduct the research._x000D_
+ He proposes a rich set of techniques that seem novel and will result to quality work._x000D_
+ significant practical applications with the faster algorithms the PI is proposing in all aspects that require geometric optimization_x000D_
weaknesses:_x000D_
- I found the proposal a little dense. For a non-expert in the field such as myself, I would have liked a little more background and I would have liked concepts more thoroughly explained and goals more clearly stated. _x000D_
- Following up on the above comment, I would also like the new techniques to be more pronounced, so that the non-expert can understand what is the key contribution that the PI is planning to achieve._x000D_
-perhaps, even if the proposed research is of theoretical nature, it wold be better suited for some other solicitation, given its tremendous practical implications?_x000D_
_x000D_
In the context of the five review elements, please _x000D_
evaluate the strengths and weaknesses of the proposal with respect to broader impacts._x000D_
_x000D_
strengths:_x000D_
+good educational aspect. the PI is involved in a  lot of educational activities including outreach and early age education_x000D_
+ good interplay between theory and practice, the research could bring together people from a few areas_x000D_
_x000D_
_x000D_
Please evaluate the strengths and _x000D_
weaknesses of the proposal with respect to any additional solicitation-specific review criteria, if _x000D_
applicable_x000D_
_x000D_
_x000D_
_x000D_
Summary Statement_x000D_
_x000D_
The proposed research revolves around developing efficient and stable numerical algorithms for general classes of geometric optimization problems. The PI is planning to develop both theory and algorithms for geometrically structures numerical optimization, which has implications in many areas such as simulation, manufacturing, graphics. I found the proposal to be a very good proposal, with ambitious yet achievable goals. The PI is well qualified to conduct the research, has an excellent track record, suggested and the proposal is well written, with a very nice educational aspect. On the other hand, I thought the proposal was somewhat dense, and perhaps of more interest to a solicitation outside AF, such as one that has more focus on graphics perhaps? This is why I am only giving it Very Good rating._x000D_
_x000D_
</t>
  </si>
  <si>
    <t xml:space="preserve">In the context of the five review elements, please _x000D_
evaluate the strengths and weaknesses of the proposal with respect to intellectual merit._x000D_
_x000D_
Strengths:_x000D_
_x000D_
The proposal outlines a research agenda for advancing the state of the art in geometric optimization in various problem domains. The main goals are on continuous, discrete, and stochastic optimization. All the considered problems are important and have attracted a lot of attention. Progress in any of the proposed problems would be an important achievement._x000D_
_x000D_
The PI is an expert in geometric optimization and is very well positioned to conduct the proposed research._x000D_
_x000D_
Weaknesses:_x000D_
_x000D_
Even though the main problem categories are clear, I would have liked to see a more systematic exposition of the methods that the PI plans to pursue. Moreover, some of the problems are only defined in general terms. For example, in the stochastic optimization setting, what exactly is the objective and the input space?_x000D_
_x000D_
The stochastic optimization setting seems closely related to problems considered in the area of learning probability distributions. It would have been nice if the PI had included a brief comparison explaining how the proposed research plan differs from work in that area._x000D_
_x000D_
_x000D_
In the context of the five review elements, please _x000D_
evaluate the strengths and weaknesses of the proposal with respect to broader impacts._x000D_
_x000D_
Strengths:_x000D_
_x000D_
The problems considered are of importance in applied domains, such as engineering. The PI outlines a plan for transferring the findings to applications through collaboration with domain experts, and implementations._x000D_
_x000D_
Please evaluate the strengths and _x000D_
weaknesses of the proposal with respect to any additional solicitation-specific review criteria, if _x000D_
applicable_x000D_
_x000D_
Strengths:_x000D_
_x000D_
The PI has received a teaching award and seems committed to teaching. He is also actively pursuing a leadership role in dissemination of his findings through workshops._x000D_
_x000D_
Summary Statement_x000D_
_x000D_
Overall, this proposal outlines a research agenda that seeks to improve the solutions to fundamental problems in geometric optimization. I would have liked to see more details for the approach that the PI will pursue for some of the problems._x000D_
_x000D_
</t>
  </si>
  <si>
    <t>Numerical optimization is a critical component of the modeling toolbox for computational applications from machine learning to computer-aided design. While geometry is intertwined with optimization in theory and application, modern developments in optimization have had limited effect on computerized geometry processing, since problems where the unknown is a shape rarely satisfy statistical assumptions needed to apply modern machine learning methods._x000D_
_x000D_
This project will develop efficient, stable numerical algorithms for geometric optimization problems. The primary goal is development of theory and algorithms for geometrically-structured variables, cutting across applications like simulation, manufacturing, graphics, and operations. The theoretical and empirical parts of this work will demonstrate that geometric structure in a continuum problem implies structure in its discretization, suggesting new efficient algorithms.The project is divided into stages involving smooth problems, combinatorial variables, and stochasticity. Each broadens the scope of geometric optimization while developing underlying theory of conditioning and efficiency for problems whose unknown is a shape._x000D_
_x000D_
For smooth problems, the team will consider first-order manifold methods for which Riemannian gradient descent generates meaningful shape deformations at each step. It is conjectured that after discretization, the number of iterations to convergence depends more on geometric complexity than on the number of unknowns. Next, the team will consider mixed combinatorial-smooth problems, allowing for topological constraints. Finally, the project considers stochastic algorithms, with the goal of sampling from the minimizer of a variational problem without minimizing explicitly over an infinite dimensional space. _x000D_
_x000D_
The intellectual merit of this project involves fundamental developments for understanding/applying optimization to geometric variables, including fine-grained notions of convergence, complexity, and sampling. Effort also is dedicated to interface with applications including surface-to-surface mapping, deformation, meshing, and optimal transport, to demonstrate how the proposed developments can be used in practice.Developments in geometry/optimization have broad scientific impact across disciplines, from medical imaging to graphics to machine learning. Dr. Solomon has extensive experience sharing with other communities and will continue during CAREER support._x000D_
_x000D_
Dr. Solomon's career benefited from early mentorship, and he includes collaborators at all levels to encourage careers in math/computing. He mentors high school students (Research Science Institute), undergraduates (UROP), and PhD/masters students.  Teaching is an integral part of the proposed agenda. Dr. Solomon is designing courses on computer graphics and shape analysis, sharing all materials, notes, a textbook, and video lectures online. He also advocates for K-12 computing education through the ACM Future of Computing Academy._x000D_
_x000D_
Dr. Solomon and his group (co-)organize educational and outreach events, including the Geometry of Redictricting Workshop, international tutorials on optimal transport, the New England Symposium on Graphics, and a BIRS conference on spectral geometry. They host international visitors for long-term research stays and visit foreign laboratories regularly._x000D_
_x000D_
Dr. Solomon plans to leverage his position to support STEM outreach in the community and among pre-college students via community lectures and providing materials/presentations of themes from the proposed research to support high school geometry lesson plans.</t>
  </si>
  <si>
    <t>1750032</t>
  </si>
  <si>
    <t>Thaler</t>
  </si>
  <si>
    <t xml:space="preserve"> Panel Summary       
 Description: _x000D_
The main goal is to understand the approximate degree and threshold degree of Boolean functions.  The approximate degree is the minimum degree of a real-valued polynomial that is always within 1/3 of the Boolean function on inputs over {0,1}.  This has many applications and is a fundamental measure.  The PI proposes to improve lower bounds on AC0 functions, among other problems.  The PI also proposes work on Verifiable Computing, which amounts to making interactive proofs zero-knowledge and succinct in practical settings.  _x000D_
_x000D_
Intellectual Merit:_x000D_
Strengths_x000D_
  + The PI had a strong FOCS 2017 paper giving an n^{1-a} lower bound on approximate degree for an AC0 function, for any a&gt;0._x000D_
  + Approximate and threshold degree are fundamental and have applications to various lower bounds._x000D_
  + The PI improved previous runtime of prover in Verifiable Computing._x000D_
  + Well written and creative, with ideas to solve the different problems._x000D_
_x000D_
Weaknesses_x000D_
  - Track record somewhat below top-ranked proposals, though still very good._x000D_
_x000D_
Broader Impact:_x000D_
Strengths_x000D_
  + VC software developed by the PI could have significant influence; his previous implementations have been used by multiple security groups._x000D_
  + Has spoken at summer schools, given tutorials, mentored students with disabilities, and plans to continue._x000D_
_x000D_
Weaknesses_x000D_
_x000D_
Suggestions to PI: _x000D_
Keep up the good work. With a longer track record, this could fare even better against the extremely stiff competition._x000D_
_x000D_
Justification for Panel Rating:  This was a strong proposal, earning a "competitive" ranking against stiff competition.  The somewhat lower track record prevented an even higher ranking._x000D_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</si>
  <si>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is about understanding several somewhat related research directions in understanding the complexity of  boolean functions. The first set of questions concerns the degree of representations of boolean functions as polynomials. These are very basic questions related to both mathematics and computer science, and there is a lot of work to be done to improve our understanding of them. The approximate degree has played a crucial role in some lower bounds for other models, most notably in proving lower bounds on the randomized communication complexity of disjointness in the number-on-forehead model._x000D_
_x000D_
Another direction the PI proposes has to do with efficiently verifiable computation. This is an area with many interesting theoretical questions, and the PI has an established record of proving strong results._x000D_
_x000D_
_x000D_
In the context of the five review elements, please _x000D_
evaluate the strengths and weaknesses of the proposal with respect to broader impacts._x000D_
_x000D_
The PI has already made several important contributions in terms of code, and exposition. He has delivered lectures to a wide audience and seems well placed to continue this good work._x000D_
_x000D_
_x000D_
_x000D_
Please evaluate the strengths and _x000D_
weaknesses of the proposal with respect to any additional solicitation-specific review criteria, if _x000D_
applicable_x000D_
_x000D_
_x000D_
_x000D_
Summary Statement_x000D_
_x000D_
This proposal should be funded!_x000D_
_x000D_
</t>
  </si>
  <si>
    <t xml:space="preserve">In the context of the five review elements, please _x000D_
evaluate the strengths and weaknesses of the proposal with respect to intellectual merit._x000D_
_x000D_
This proposal will study the methodology of use of polynomials to understand complexity theoretic aspects of functions, referred to as "the polynomial method".  The PI plans to apply this method to a broader class of functions, building on previous work.  The PI gives a number of directions with reason to believe that he will make progress.  This work may impact quantum algorithms, circuit complexity and learning theory._x000D_
_x000D_
The second part of the proposal will work on verifiable computing, focusing on interactive proofs that are zero-knowledge and succinct._x000D_
_x000D_
In prior work, the PI has done creative work and has suggested very nice directions._x000D_
_x000D_
In the context of the five review elements, please _x000D_
evaluate the strengths and weaknesses of the proposal with respect to broader impacts._x000D_
_x000D_
The PI is a creator and current contributor of an open source library that is widely used in government/industry._x000D_
_x000D_
The PI has spoken at summer schools, given tutorials and is mentoring students with disabilities._x000D_
_x000D_
The PI is designing a course on streaming, and another on probabilistic proof systems._x000D_
_x000D_
Please evaluate the strengths and _x000D_
weaknesses of the proposal with respect to any additional solicitation-specific review criteria, if _x000D_
applicable_x000D_
_x000D_
_x000D_
_x000D_
Summary Statement_x000D_
_x000D_
+ the research direction is compelling_x000D_
+ the PI has a strong track record_x000D_
+ the broader impacts are impressive_x000D_
_x000D_
</t>
  </si>
  <si>
    <t>HQ0947191</t>
  </si>
  <si>
    <t>Saha</t>
  </si>
  <si>
    <t>barna@cs.umass.edu</t>
  </si>
  <si>
    <t xml:space="preserve">In the context of the five review elements, please _x000D_
evaluate the strengths and weaknesses of the proposal with respect to intellectual merit._x000D_
_x000D_
The proposal proposes to make progress on our understanding of polynomial method which has been extremely influential in theoretical computer science. _x000D_
_x000D_
The first part of the proposal concentrates on approximate degree and threshold degree of functions, use of dual polynomials to establish lower bounds and connection to quantum query complexity. The proposal also identifies various learning algorithms where the method could be useful. The PI also considers communication analog of approximate degree, the UPP communication model, and several important new directions there._x000D_
_x000D_
In the second part, the PI proposes an ambitious project of developing practical verifiable computing protocols, by developing more efficient IP protocols that also have additional nice properties._x000D_
_x000D_
Summary of strength and weakness: The proposal is well-written with clear direction given to solve each problem._x000D_
_x000D_
In the context of the five review elements, please _x000D_
evaluate the strengths and weaknesses of the proposal with respect to broader impacts._x000D_
_x000D_
Broader impact is adequate and PI has an impressive track record in that direction such as developing software._x000D_
_x000D_
Please evaluate the strengths and _x000D_
weaknesses of the proposal with respect to any additional solicitation-specific review criteria, if _x000D_
applicable_x000D_
_x000D_
_x000D_
_x000D_
Summary Statement_x000D_
_x000D_
Overall, I think the questions posed in the proposal are very important and the PI has provided a nice plan on how they can be solved._x000D_
_x000D_
</t>
  </si>
  <si>
    <t xml:space="preserve">In the context of the five review elements, please _x000D_
evaluate the strengths and weaknesses of the proposal with respect to intellectual merit._x000D_
_x000D_
The PI proposes questions about understanding the minimum degree of a polynomial that approximates certain functions, or the even smaller threshold degree.  The PI had a very nice result in FOCS 2017 using dual polynomials to show that there's a function in AC0 with approximate degree at least n^{1-a} for any a&gt;0. He would like to give a linear lower bound for a function in AC0. The PI also wants to apply approximate degree in the study of learning algorithms._x000D_
_x000D_
In addition, the PI proposes to study the UPP model of communication complexity, where the players only have to be correct with probability greater than 1/2.  This is equivalent to the study of sign rank of matrices.   _x000D_
_x000D_
Finally, the PI proposes work on Verifiable Computing: to make interactive proofs zero-knowledge and succinct in practical settings. Whereas the original interactive proofs in the IP=PSPACE required the prover to spend superpolynomial time even for simple problems, the PI has improved later work by others to achieve prover runtime O(s log s) if the problem is solvable by an arithmetic circuit of size s.  This work could be impactful._x000D_
_x000D_
These are all interesting questions. The PI's track record is fairly good, especially recently with two FOCS 2017 papers. The main weakness is that those are his only STOC/FOCS publications, though he has published in other good venues._x000D_
_x000D_
In the context of the five review elements, please _x000D_
evaluate the strengths and weaknesses of the proposal with respect to broader impacts._x000D_
_x000D_
VC software developed by the PI could have significant influence; his previous implementations have been used by multiple security groups._x000D_
_x000D_
Please evaluate the strengths and _x000D_
weaknesses of the proposal with respect to any additional solicitation-specific review criteria, if _x000D_
applicable_x000D_
_x000D_
_x000D_
_x000D_
Summary Statement_x000D_
_x000D_
Nice proposal about understanding function representations by polynomials over the reals. The work on verifiable computing could have practical impact. The PI has a good track record, though maybe slightly below several other PIs._x000D_
_x000D_
</t>
  </si>
  <si>
    <t>Algebraic structure in the form of approximation or exact computation by low-degree polynomials arises frequently in computer science. The study of such structure is called the polynomial method, and it has led to many celebrated results in theoretical computer science over the last 50 years. Still, serious gaps remain in our understanding of its power. This project seeks to improve our understanding of known formulations of the polynomial method, and to develop new formulations to solve major open problems.The first part of this proposal focuses on two basic formulations of the polynomial method, called approximate degree and threshold degree, that have many applications. As one example, quantum computers have the potential to be vastly more efficient (for some problems) than today's classical computers, and approximate degree is one of the most promising tools available for understanding their power, because the approximate degree of a function is a lower bound on its quantum query complexity._x000D_
     Despite their applications, approximate and threshold degree are poorly understood. To address this, the PI has spent several years developing a relatively new technique for proving approximate degree lower bounds, called the method of dual polynomials. Until this past year, the method had been applied only to very special functions, yet recent work of the PI has, for the first time, applied the method to broad classes of functions. As a result, it is now poised to resolve the approximate and threshold degrees of many basic functions. A key goal of the proposed research is to accomplish this. Via established applications, this will profoundly impact the fields of quantum algorithms (where it is likely to imply the optimality of a variety of quantum algorithms), circuit complexity (where it will resolve the complexity of shallow circuits under basic complexity measures), and learning theory (where it will characterize the power of important objects including halfspace learners and deep nets)._x000D_
     While approximate and threshold degree are powerful notions, this proposal also identifies several major open problems in theoretical computer science that they cannot address, and puts forth new polynomial-based notions of structure with the goal of solving these problems._x000D_
_x000D_
The proposal's second part focuses on verifiable computing (VC). VC refers to cryptographic protocols enabling an untrusted prover to provide a guarantee to a verifier that the prover performed a computation correctly. Efficient VC systems would enable a wide variety of applications. For example, entities that offload data processing to the cloud could obtain guarantees that the cloud is operating correctly._x000D_
     Seminal theoretical results showed that VC protocols can solve much more challenging problems than can traditional (NP) proofs, and the last six years have seen major progress in building VC systems verging on practicality. The PI played a founding role in these efforts, producing the first implementation of a general-purpose VC system (concurrently with one other work), and he continues to play a leading role in the area. The PI's current work targets a specific approach to VC systems, namely interactive proofs (IPs), because IPs generally have lower costs than competing approaches. But IPs lack two key properties, called zero-knowledge and succinctness, and this has limited their applicability. The goal of the proposed research is to overcome the limitations of IPs without sacrificing their advantages. This will yield general-purpose non-interactive zero-knowledge proofs (NIZKs) that are more efficient and apply to a wider variety of applications than current constructions. NIZKs are VC protocols that also protect privacy, and they have many applications in cryptography, such as to emerging blockchain technologies.The proposed research will produce useful software, including a general-purpose toolchain producing efficient NIZKs. The PI has a record of impact via such software dissemination. For example, the PI is a co-creator of an open source library of streaming algorithms that is used widely in industry and government, and his IP implementations have been incorporated into systems built by multiple security research groups. The PI will continue to disseminate research to a broad range of communities via tutorials, summer schools, and written surveys. A major goal of this outreach will be maximizing understanding among researchers and practitioners of the capabilities of the resulting implementations.</t>
  </si>
  <si>
    <t>1750039</t>
  </si>
  <si>
    <t>Solomonik</t>
  </si>
  <si>
    <t xml:space="preserve"> Panel Summary       
 SUMMARY OF PROPOSED RESEARCH ACTIVITY_x000D_
_x000D_
Description : _x000D_
In this proposal, the PI plans to address the problem of scaling tensor algorithms. In particular, the PI proposes to look at parallel tensor network contraction algorithms and derive lower and upper bounds of their communication complexity as well as other metrics. This is an important problem to address as it generalizes, e.g., matrix multiplication, and, in general, communication complexity is a major issue in large-scale scientific computing._x000D_
 _x000D_
INTELLECTUAL MERIT_x000D_
_x000D_
Strengths_x000D_
+ Progress in the targeted area would have significant impact._x000D_
+ The PI is well qualified to conduct work in this area as he has a strong track record._x000D_
+ The PI offers a very nice introduction to tensor networks._x000D_
_x000D_
Weaknesses_x000D_
- It is not clear how the PI plans to obtain his bounds on communication complexity and other metrics, since the PI gives little indication about how he plans to proceed. _x000D_
- It is not clear how the PI proposes to apply his results to neural networks._x000D_
- After the clear introduction about tensor networks, the rest of the proposal reads like a list of results and potential problems. There is not much indication of what, exactly, the PI is planning to do to address the proposed goal. Furthermore, lost in the list of potential problems, it is not clear anymore what the goals are and what the research plan consists of. For example, among the large problems he listed, what are the small problems he plans to attack first? _x000D_
- There is no clear indication of what the problems the PI might solve are, or what a solution might look like._x000D_
_x000D_
BROADER IMPACTS_x000D_
_x000D_
The broader impacts are fairly narrow and conventional._x000D_
_x000D_
Strengths_x000D_
+ There are applications of the proposed work in many domain sciences. In particular, the PI has a track record of contributions to computational chemistry._x000D_
+ The PI plans to make his code open-source. He expects his work to lead to the development of a library of parallel algorithms for tensor networks. He has a track record of implementation impact._x000D_
_x000D_
Weaknesses _x000D_
- More on broader impacts, apart from training graduate students, is expected from a CAREER submission._x000D_
_x000D_
_x000D_
CAREER SOLICITATION-SPECIFIC REMARKS:_x000D_
_x000D_
Letter of institutional commitment: is provided, along with the proposal._x000D_
_x000D_
Integration of research and education: The PI plans to develop a bootcamp for undergraduate students around his work on tensors, and to use his research work as projects for undergraduate students. He also plans to develop a new intro course about tensors. He seems to put a lot of emphasis on undergraduate students. However, his integration plan, like his Broader Impact, is pretty conventional and thin._x000D_
 _x000D_
ADDITIONAL REMARKS_x000D_
_x000D_
Research plan: The panel found the research plan should be spelled out more.  _x000D_
_x000D_
Data Management Plan: was deemed adequate by the panel._x000D_
 _x000D_
Suggestions to PI: The introduction about tensors as the first part of the proposal is really interesting and clear. However, the panel strongly advises the PI to spend more time on detailing his research plan. Without a clear research plan, the panel cannot be convinced of and/or assess the feasibility of the proposed work. In particular, the proposal would be better if it explained the potential scientific impact of the research._x000D_
More efforts should also be spent on identifying and sharing the expected broader impacts of the proposed work, as well as on explaining how the PI plans to integrate research and education. Both areas of the proposal are weak._x000D_
 _x000D_
Justification for Panel Rating: _x000D_
The problem the PI proposes to address is very important and it is desirable that people work on it. However, the PI did not clearly convey his actual research plan and left the panel unconvinced. As a result, the panel ranked this proposal in the low competitive category.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</si>
  <si>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Scalable algorithms for tensor networks_x000D_
_x000D_
L: 1750039 Solomonik, Edgar U of Ill Urbana-Champaign $  524,117_x000D_
_x000D_
_x000D_
P180207 LC AF CAREER/CRII Panel A (14 panelists; 2 decl confl),_x000B_  on 10/24/2017, recommended as Low Competitive (G,G,G,F)_x000D_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</si>
  <si>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_x000D_
The PI proposes to (1) develop a theoretical framework for analyzing the scalability of tensor algorithms, (2) use it to guide the development of a high-performance tensor programming library, (3) use this expertise and infrastructure to develop tensor-based learning modules._x000D_
_x000D_
The PI is heavily application driven. _x000D_
_x000D_
The proposal gives a really nice summary of the area, which is likely not be in many people's bailiwick. _x000D_
_x000D_
The proposal claims to have an interest in these important performance metrics: _x000D_
(1) I/O complexity in the I/O and cache-oblivious models, and in related models._x000D_
(2) Communication in BSP and LogP models. _x000D_
(3) Communication complexity. _x000D_
There does not seem to be much detail establishing that the PI has experienced reasoning in these models, which I found disappointing._x000D_
_x000D_
On the other hand, the PI has lots of experience building  software, which suggests some knowledge of how to use whatever is relevant about the models. _x000D_
_x000D_
The research problems seem to be very general E.g.,: _x000D_
"Find lower and upper bounds for the communication complexity of any structured tensor network contraction." _x000D_
"For what types of structured tensor network contractions can cost be reduced by having processors compute pieces of multiple contractions between synchronizations?"_x000D_
_x000D_
The proposal did a great job of introducing the research area. _x000D_
_x000D_
But I think that there also should be more explanation about how the PI plans to solve the problems.  For example, after these very general research problems, what are some smaller problems to attack first?_x000D_
_x000D_
While a discussion of the tensor thinking was great, one of the parts of the proposal that attracted me was how to analyze various algorithms in the context of the metrics mentioned above.  Do existing approaches for matrices generalize to tensors? More worked out examples, like the ones in the beginning would be great._x000D_
_x000D_
_x000D_
_x000D_
In the context of the five review elements, please _x000D_
evaluate the strengths and weaknesses of the proposal with respect to broader impacts._x000D_
_x000D_
The broad impact section itself seems unnecessarily thin, even though I think that there is potential for a big impact. Nonetheless, the proposal does a great job  of explaining how an understanding of tensors can help other areas of computer science. _x000D_
_x000D_
The educational component is also very thin._x000D_
_x000D_
_x000D_
Please evaluate the strengths and _x000D_
weaknesses of the proposal with respect to any additional solicitation-specific review criteria, if _x000D_
applicable_x000D_
_x000D_
_x000D_
_x000D_
Summary Statement_x000D_
_x000D_
Given the compelling area in research problems coupled with the concerns mentioned above, I view this as a good proposal._x000D_
_x000D_
_x000D_
</t>
  </si>
  <si>
    <t xml:space="preserve">In the context of the five review elements, please _x000D_
evaluate the strengths and weaknesses of the proposal with respect to intellectual merit._x000D_
_x000D_
In this work, the PI proposes to study and develop parallel tensor algorithms. _x000D_
_x000D_
Intellectual merit:_x000D_
Strengths:_x000D_
+ The PI has conducted work that makes him qualified for the proposed work. _x000D_
+ The focus on communication complexity is key to improving the scalability of tensor algorithms.  _x000D_
+ The proposed study will result in new algorithms for tensor networks, and will be tested on problems, e.g., from computational chemistry._x000D_
_x000D_
Weaknesses_x000D_
- The timeline of proposed work is fairly coarse._x000D_
- There is no assessment plan._x000D_
- The proposed plan is somehow aligned with the goals of the proposal, but no real smaller-step plan is provided and the likelihood of reaching the goals is not discussed._x000D_
_x000D_
_x000D_
In the context of the five review elements, please _x000D_
evaluate the strengths and weaknesses of the proposal with respect to broader impacts._x000D_
_x000D_
Broader impact:_x000D_
Strengths_x000D_
+ The PI plans to support a PhD student and an undergraduate student through this project._x000D_
+ He plans to make his code open-source._x000D_
+ He expects his work to result in a library of parallel algorithms for tensor networks._x000D_
_x000D_
Weaknesses_x000D_
- There is no mention of efforts to recruit underrepresented students._x000D_
- The broader impacts appear quite narrow._x000D_
_x000D_
_x000D_
Please evaluate the strengths and _x000D_
weaknesses of the proposal with respect to any additional solicitation-specific review criteria, if _x000D_
applicable_x000D_
_x000D_
Integration of Research and Education: _x000D_
Strengths_x000D_
+  The PI plans to develop a bootcamp for undergraduate students around his work on tensors._x000D_
+  He plans to integrate his research work as projects for undergraduate students._x000D_
+ The PI seems to put a lot of emphasis on undergraduate students. _x000D_
+ The PI plans to develop a new intro course about tensors._x000D_
_x000D_
Weaknesses_x000D_
- The plan for integrating research and teaching is pretty conventional and thin._x000D_
_x000D_
_x000D_
Data Management Plan_x000D_
The Data Management Plan is appropriate, although very brief. _x000D_
_x000D_
_x000D_
Summary Statement_x000D_
_x000D_
Overall, this proposal fails to fully convince and has a weak education plan._x000D_
_x000D_
</t>
  </si>
  <si>
    <t xml:space="preserve">In the context of the five review elements, please _x000D_
evaluate the strengths and weaknesses of the proposal with respect to intellectual merit._x000D_
_x000D_
This proposal aims to develop lower and upper bounds on communication complexity of structured tensor network contraction. Tensor network contraction is a problem that generalizes a number of fundamental computational primitives, such as matrix multiplication. _x000D_
_x000D_
+ Communication complexity is an important consideration in modern large scale scientific computing, so progress here could have significant impact._x000D_
+ The PI has a solid track record working in this domain._x000D_
_x000D_
- The proposal is quite cryptic as to the exact nature and details of planned research, as well as the significance of achieving its (largely unstated) goals. Sprinkling pieces of the information on that throughout the introductory part makes it hard to extract any useful global view. _x000D_
_x000D_
The PI is thus strongly advised to significantly shorten the introductory part of the proposal description and spend more time on fleshing out the actual research plan. (The fact that the section "Research questions" starts only on page 10 is definitely not optimal.)_x000D_
_x000D_
In the context of the five review elements, please _x000D_
evaluate the strengths and weaknesses of the proposal with respect to broader impacts._x000D_
_x000D_
The broader impacts are fairly boilerplate._x000D_
_x000D_
Please evaluate the strengths and _x000D_
weaknesses of the proposal with respect to any additional solicitation-specific review criteria, if _x000D_
applicable_x000D_
_x000D_
_x000D_
_x000D_
Summary Statement_x000D_
_x000D_
This proposal touches on an important topic with potential for a lot of impact. Unfortunately, the proposal makes it hard to assess what would be the exact nature and possible outcomes of the planned research._x000D_
_x000D_
</t>
  </si>
  <si>
    <t xml:space="preserve">In the context of the five review elements, please _x000D_
evaluate the strengths and weaknesses of the proposal with respect to intellectual merit._x000D_
_x000D_
The proposal is well written in that it explains a lot of material about tensor algorithms, giving clear background and an explanation of the desired results.  However, these results are stated in an unfortunately abstract manner that makes it difficult to estimate how they would impact the design of any concrete algorithm._x000D_
_x000D_
The proposal would be better if it gave more examples of results that have been proved in this framework, and better expounded on those it does provide.  For example, when stating results for matrix multiplication (Theorem 3.1 and 3.2), the reader is left wondering what the implications of these results are for those who wish to multiply matrices.  This reader also wanted to know the meaning of the parameter H in the statements of those theorems, and to understand its meaning in the theorems._x000D_
_x000D_
The goal of the proposal is to derive tight lower and upper bounds (algorithms) on the communication complexity of tensor network contraction.  The proposal would be clearer if it suggestion possible outcomes.  Would these bounds allow one to obtain faster algorithms, or just learn that currently implemented algorithms are fast enough?_x000D_
_x000D_
Some indication of possible results comes from the list of places where tensor appear.  However, for the only one that this reviewer knows wellùneural networksùit is very difficult to imagine how the-ro posed  bounds for tensor contraction would tell us anything important about them.  The PI gives some evidence that his work in computational chemistry has been well received by experts in that field._x000D_
_x000D_
_x000D_
In the context of the five review elements, please _x000D_
evaluate the strengths and weaknesses of the proposal with respect to broader impacts._x000D_
_x000D_
The PI will work with undergraduates._x000D_
_x000D_
_x000D_
Please evaluate the strengths and _x000D_
weaknesses of the proposal with respect to any additional solicitation-specific review criteria, if _x000D_
applicable_x000D_
_x000D_
_x000D_
_x000D_
Summary Statement_x000D_
_x000D_
The PI has a strong record of publications in this area and won a distinguished awardùthe Householder awardùin numerical linear algebra.  This proposal would allow him to continue this work.  However, it is not clear what the technological benefits would be._x000D_
_x000D_
_x000D_
</t>
  </si>
  <si>
    <t>Tensor algebra is an abstract notation for nonlinear transformations of data. The formalism can be used as a representation for numerical and combinatorial algorithms alike. These algebraic representations are convenient because they are understandable, analyzable, and implementable. Generally, the computational complexity and numerical stability of these algorithms can be expressed in terms of basic characteristics of the tensors involved in solving or evaluating the tensor equations. This project aims to provide a better theoretical characterization of the parallel scalability of algorithms for tensor network contractions. _x000D_
_x000D_
The parallel scalability of these algorithms is described by the communication and synchronization complexity of the data movement they perform. The goal of the research is to infer lower and upper bounds on these complexities based on properties of the tensors arising in the equations. These theoretical questions target constructive results that yield performance models for a large class of application problems. Success in laying a systematic quantitative evaluation approach would lay the groundwork for development of automatic algorithmic exploration and tuning.Tensor representations are prevalent in computational chemistry, fast integral solvers, and neural networks, as well as high-order versions of finite-element methods and Markov chain analysis. Different factorizations of the tensor equations involved in these methods lead to algorithms with different numerical and complexity characteristics. A number of important fundamental tensor operations (matrix multiplication, tensor contraction, convolution) can be expressed as bilinear tensor equations, defining trilinear identities, namely factorizations of a third-order tensor. The factor tensors define the algorithm and encode all of its characteristics. Networks and nests of fundamental tensor operations (bilinear algorithms) are abstractions that encapsulate a yet more comprehensive and complicated set of tensor methods.The merits of `tensor thinking` (the use of tensor representations for problems and algorithms) are in exposing the problem to general analytical and computational tools. This notion holds especially high value in the educational domain, as a methodology for problem-solving with numerical data. Structural properties of tensors and tensor networks provide mathematical and visual descriptions for the characteristics of large data sets. The target research, namely to automatic determination of the scalability of algebraic tensor expressions, paves the path for the development of automated exercise modules in parallel programming for numerical methods.</t>
  </si>
  <si>
    <t>1750075</t>
  </si>
  <si>
    <t>Razaviyayn</t>
  </si>
  <si>
    <t>18</t>
  </si>
  <si>
    <t xml:space="preserve"> Panel Summary       
 Description: The main objective of this project is to fundamentally improve our understanding of optimization problems that arise in the context of mixture model inference and develop large-scale optimization procedures with theoretical performance guarantees for solving them. There are four high-level research tasks: (i) looking at the maximum-likelihood estimation (MLE) problem for Gaussian mixture models and studying how to avoid local optima when using the expectation-maximization (EM) algorithm; (ii) looking at MLE algorithms and more general optimization techniques and showing their convergence to local optima; (iii) creating better algorithms for the transcriptome sequencing problem in computational biology; and (iv) improving out-of-sample performance by using an approximate estimator for cross-validation instead of computing the exact cross-validation function._x000D_
_x000D_
Intellectual Merit:_x000D_
_x000D_
Strengths_x000D_
  + The PI has preliminary work in the area of the proposal (especially for the second task)._x000D_
  + The proposal is well organized and the PI has identified a number of interesting questions that are non-overlapping but are addressable in parallel._x000D_
_x000D_
Weaknesses_x000D_
  - Much of the proposed research (especially Tasks 1, 3, and 4) consists of making changes to existing techniques and then using numerical experiments to understand their behavior. It was not obvious how this proposal could result in novel theoretical results and contributions._x000D_
  - It was unclear how much the proposed mixture models deviate from just assuming that the underlying data can be nicely clustered; especially for task 3, the PI seems to directly assume clustering of the underlying data._x000D_
  - Some panelists noted that the proposed research plan might not be ambitious enough for a CAREER proposal; either a stronger theoretical component or a more solid evaluation component should be included in the proposal. _x000D_
  - Some panelists noted that the proposed application to computational biology is a weakness, since this part of the research plan was poorly developed and the PI has no prior work in this domain._x000D_
_x000D_
Broader Impact:_x000D_
_x000D_
Strengths_x000D_
  + The proposed educational plan was above average, including outreach to high schools. The PI seems to already have performed such outreach activities._x000D_
  + The PI has secured a collaboration letter from an industrial partner for his work on analyzing transcriptome data._x000D_
_x000D_
Weaknesses_x000D_
  - Some panelists noted that even if successful, this proposal will have limited impact in the machine learning and data mining communities._x000D_
_x000D_
Solicitation-specific criteria: The panel concurred that the integration of research and education was adequate._x000D_
_x000D_
Data Management Plan: _x000D_
_x000D_
The data management plan was deemed adequate by the panel._x000D_
_x000D_
Suggestions to PI: The panelists suggested that the PI should consider explaining in more detail the novelty of the proposed work as well as possible approaches and new theoretical insights that may emerge. The discussion of the broader impact of the proposed work in machine learning and data mining should also be improved._x000D_
_x000D_
Justification for Panel Rating: A well-written proposal with above average broader impact, at least from an educational perspective. However, there were many concerns regarding the intellectual merit (especially in terms of novel theoretical contributions) of the proposed work._x000D_
_x000D_
Panel Rating:_x000D_
_ Highly Competitive_x000D_
_ Competitive_x000D_
_ Low Competitive_x000D_
X Not Competitive_x000D_
_x000D_
The summary was read by/to the panel and the panel concurred that the summary accurately reflects the panel discussion. 
</t>
  </si>
  <si>
    <t>P180211</t>
  </si>
  <si>
    <t xml:space="preserve"> Comp Bio Career Virtual Panel</t>
  </si>
  <si>
    <t xml:space="preserve"> Panel Summary       
 CAREER Panel Summary _x000D_
_x000D_
Objective of the proposed work:_x000D_
_x000D_
This CAREER proposal aims to make contributions to both theory and application of algorithms for mixture models, which are popular tools for describing observations of heterogeneous populations with subpopulation structures. The specific tasks include theoretical exploration of the likelihood landscape of mixture models, design of scalable algorithms for optimization, and applications to sequencing data in computational biology. _x000D_
_x000D_
_x000D_
Overview of reviews:_x000D_
_x000D_
This proposal was reviewed by 4 reviewers in the panel. One reviewer rated the proposal 'Very Good', while the other 3 reviewers were less enthusiastic. The main concern identified by most reviewers was the lack of connection between the first two aims and the last two aims. For example, the proposal does not demonstrate how the activities or results in Aims 1 and 2 relate to or guide those in the latter aims. The simulations in aim 1 show the landscape with respect to the means, while the goal of aim 3 is to estimate the mixture probabilities. Without a strong running thread connecting the aims, it is difficult to appreciate the proposal as a coherent story, rather than loose components put together. Another concern was that the PI does not have track record in computational biology, but the panel did recognize that the PI has a strong background in optimization. _x000D_
_x000D_
_x000D_
_x000D_
Panel Discussion:_x000D_
Intellectual Merit: _x000D_
_x000D_
STRENGTHS:_x000D_
_x000D_
The proposed work will address mixture model inference problems that present significant challenges due to their combinatorial and non-convex nature._x000D_
_x000D_
The PI has a strong record of publication at the interface of optimization and machine learning._x000D_
_x000D_
The application to long read sequencing data is both interesting and challenging. Established collaboration and supporting letter from researchers in PacBio._x000D_
_x000D_
WEAKNESSES:_x000D_
_x000D_
The preliminaries in aim 1 do not show enough information and intuition with respect to how the analysis can be extended to larger K. _x000D_
_x000D_
There is lack of connection between the first two aims and the last two aims, both technicially and conceptually. _x000D_
_x000D_
Except for aim 3, the other aims lack specifics in terms of application, datasets or simulation setting, etc. More specifics can strengthen those aims. _x000D_
_x000D_
Lack of published track record in computational biology._x000D_
_x000D_
Lack of convincing evaluation plan. _x000D_
_x000D_
_x000D_
	_x000D_
Broader Impacts:_x000D_
STRENGTHS:_x000D_
_x000D_
The proposed research and education plans are well integrated. _x000D_
_x000D_
The high-school outreach plan is comprehensive._x000D_
_x000D_
Efficient use of the existing outreach programs offered by the PI's institution. _x000D_
_x000D_
_x000D_
WEAKNESSES:_x000D_
_x000D_
No significant weaknesses identified. _x000D_
_x000D_
_x000D_
_x000D_
CAREER RESPONSIVENESS: _x000D_
- This proposal aims to address important and challenging problems with combinatorial and non-convex nature, and can lead to a career long contributions to research, education and their integrations. _x000D_
- Strong letter from the department chair, including departmental support, alignment of teaching duties and research, as well as mentoring by senior colleagues._x000D_
_x000D_
_x000D_
_x000D_
Panel Recommendation:_x000D_
_x000D_
Low Competitive_x000D_
_x000D_
The panel recommendation was "Low Competitive". The enthusiasm of the panel was dampened by the lack of coherence and coordination among the proposed aims, as well as lack of specific connections between theoretical aims and applications, datasets, or simulations. _x000D_
_x000D_
_x000D_
This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</si>
  <si>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(NC) for proposal with low review scores_x000D_
_x000D_
CAREER: Large Scale Mixture Models: Theory, Algorithms, and Applications in Computational Biology_x000D_
_x000D_
L: 1750075 Razaviyayn, Meisam U of Southern California $  539,673_x000D_
_x000D_
_x000D_
P180209 NC AF CAREER/CRII Panel B (12 panelists),_x000B_  on 11/21/2017, recommended as Not Competitive (G,G,G   ,F)_x000D_
Std competition rank 18 of 29 rated projects: 5 HC, 9 C, 11 LC, 4 NC _x000D_
_x000D_
P180211 LC Comp Bio Career Virtual Panel  (6 panelists),_x000B_  on 11/21/2017, recommended as Low Competitive (V    ,G/F,G/F,G/F)_x000D_
Panel evaluated 5 rated projects: 1 HC, 2 C, 2 LC_x000D_
_x000D_
Ad hoc reviews (1): G, with last on 10/29/2017_x000D_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</si>
  <si>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ZT0899648</t>
  </si>
  <si>
    <t>Anshelevich</t>
  </si>
  <si>
    <t>eanshel@cs.rpi.edu</t>
  </si>
  <si>
    <t xml:space="preserve">In the context of the five review elements, please _x000D_
evaluate the strengths and weaknesses of the proposal with respect to intellectual merit._x000D_
_x000D_
This is a proposal focused on optimization and numerical methods, mostly for problems related to mixture models. There are four high-level research tasks: (1) Looking at the MLE problem for Gaussian mixture models, and studying how to avoid local optima when using the EM algorithm. The PI has preliminary work; it is for small K (the number of Gaussians being mixed) saying that either there are no local optima at all, or it is possible to avoid them with appropriate initialization. (2) Looking at MLE algorithms and more general optimization techniques, and showing their convergence to local optima (3) Creating better algorithms for the transcriptome sequencing problem in computational biology (4) Improving out-of-sample performance by using an approximate estimator for cross-validation instead of computing the exact cross-validation function._x000D_
_x000D_
_x000D_
Strengths:_x000D_
_x000D_
+ For Task 2, the PI has lots of preliminary work on showing when various optimization methods converge, and is likely to make a nice impact._x000D_
_x000D_
+ The applications to computational biology are nice and concrete; it seems likely that this project would result in some well-performing new tools for these problems._x000D_
_x000D_
_x000D_
Weaknesses:_x000D_
_x000D_
- For Task 1, it is really not clear how much insight the proposed work will yield about EM in Gaussian Mixture models. The preliminary work consists essentially of observations about very simple special cases, and it is not clear how these would be generalized (the PI does not really talk about this). The main conjectures are also only for very special cases, and the PI does not really say how they will be proved, except by saying that they seem to hold in numerical experiments._x000D_
_x000D_
- For Task 2, which is the task for which the PI seems especially qualified, very little details are given, or indication how to proceed, or even definitions of the algorithms the PI is analyzing and the issues involved. While this seems like the most promising direction, it is very difficult to tell its importance and feasibility without more detail._x000D_
_x000D_
- For Task 3, it seems that this is not even a mixture model: instead each sample comes from one specific transcript instead of being a combination of them. This is why clustering works. Why is using a mixture model a good idea here? There needs to be a better comparison with existing work, especially since the proposed technique seems to be essentially clustering based on prefixes._x000D_
_x000D_
- Much of the proposed research (especially Tasks 1, 3, and 4) consists of making new (although possibly important) changes to existing techniques, and then using numerical experiments to understand their behavior. It does not seem like this proposal is planning to spend much time in proving theorems about algorithm behavior, or getting further insight into this behavior. Certainly the PI does not talk about how they would do this._x000D_
_x000D_
_x000D_
Suggestions for Improvements: I would suggest focusing on one or two tasks, and really explaining the novelty of the proposed work, the ideas in preliminary work, the possible approaches and comparing with what has been tried, and the new theoretical insights that may result. The other tasks could also be mentioned, but only as an extra possible direction._x000D_
_x000D_
_x000D_
In the context of the five review elements, please _x000D_
evaluate the strengths and weaknesses of the proposal with respect to broader impacts._x000D_
_x000D_
Strengths:_x000D_
_x000D_
+ Course development, mentoring grad students and undergrads (PI has a history of mentoring undergrads)_x000D_
_x000D_
+ High-school outreach (the PI already does this)_x000D_
_x000D_
+ Collaboration with industry in bioinformatics (has collaboration letter)_x000D_
_x000D_
Please evaluate the strengths and _x000D_
weaknesses of the proposal with respect to any additional solicitation-specific review criteria, if _x000D_
applicable_x000D_
_x000D_
_x000D_
_x000D_
Summary Statement_x000D_
_x000D_
A proposal in an important area with nice applications, but not enough details about the proposed research are given, or what new theoretical insights would be likely._x000D_
_x000D_
_x000D_
</t>
  </si>
  <si>
    <t xml:space="preserve">In the context of the five review elements, please _x000D_
evaluate the strengths and weaknesses of the proposal with respect to intellectual merit._x000D_
_x000D_
The main objective of this project is to fundamentally improve our understanding of optimization problems that arise in the context of for mixture model inference and develop large-scale optimization procedures with theoretical performance guarantees for solving them. The PI claims that the proposed tools and algorithms will be more broadly applicable and will cover other non-convex problems._x000D_
_x000D_
The PI is building upon recent work that has shown that many nonconvex optimization problems that arise in machine learning can actually lead to efficient algorithms, contrary to the common view that non-convexity is akin to intractability. Within this domain, the PI seeks to work on optimization problems that arise in finite mixture distributions that are a common statistical model in many scientific disciplines. I am not convinced that the overall proposal is sufficiently ambitious and visionary; the proposal consists of a number of specific tasks that will result in a number of papers but, in total, do not seem to rise to a sufficiently broad CAREER plan. The evaluation plan of the proposed tasks in real data is rather weak and the computational biology tasks that the PI seeks to tackle necessitate background and outreach in computational biology that the PI seems to be lacking (there is one support letter towards that end, but the PI does not seem to have significantly published in biology venues in the past)._x000D_
_x000D_
In the context of the five review elements, please _x000D_
evaluate the strengths and weaknesses of the proposal with respect to broader impacts._x000D_
_x000D_
The broader impact of this proposal is above average, at least from an educational perspective. The PI has a well thought-out plan for outreach to high schools and has already established the necessary connections._x000D_
_x000D_
Please evaluate the strengths and _x000D_
weaknesses of the proposal with respect to any additional solicitation-specific review criteria, if _x000D_
applicable_x000D_
_x000D_
See above discussion._x000D_
_x000D_
Summary Statement_x000D_
_x000D_
An OK proposal from an intellectual merit perspective. An above average proposal with respect to broader impacts in education._x000D_
_x000D_
</t>
  </si>
  <si>
    <t>SH0824834</t>
  </si>
  <si>
    <t>Heber</t>
  </si>
  <si>
    <t>sheber@ncsu.edu</t>
  </si>
  <si>
    <t xml:space="preserve">In the context of the five review elements, please _x000D_
evaluate the strengths and weaknesses of the proposal with respect to intellectual merit._x000D_
_x000D_
The PI's research goals target investigation and algorithm design for large scale mixture model inference target function landscapes, a novel approach to improve out-of-sample performance, and the development of long-read transcriptome sequencing algorithms._x000D_
+ The proposed research aims are creative and original._x000D_
- Except for research task 3 (Pacific Bioscience long read sequence analysis) and a brief section in task 4 no specific application areas, data sets, or collaborations are described. In my opinion, the chance of success of the proposed research could be improved by focusing on specific problems and seeking corresponding collaborations with application scientists. _x000D_
- Evaluation metrics are missing._x000D_
- The research aims are not well-coordinated. It appears that aims 1 and 2 build on each other, while aims 3 and 4 are independent. The proposal states that the proposed aims are parallel tasks. However, working in parallel on four research tasks is quite challenging. The proposal could be improved by a detailed timeline. _x000D_
+ the planned collaboration with Pacific Biosciences is promising; the project could be further strengthened if an additional collaboration with an application scientist in this space is sought._x000D_
+ the PI has a good publication record and has access to sufficient resources for the proposed work._x000D_
+ Data Management Plan and Departmental Support Letter are appropriate._x000D_
_x000D_
In the context of the five review elements, please _x000D_
evaluate the strengths and weaknesses of the proposal with respect to broader impacts._x000D_
_x000D_
The education and outreach thrust includes course development, graduate and undergraduate student mentoring, organization of student reading groups, and outreach to high school students and teachers via the Neighborhood Academic Initiative (NAI) and the Viterbi Adopt-a-School Adopt-a-Teacher (VAST) program. The VAST program focuses on PreK-12 students and teachers, while the NAI program targets under-privileged and immigrant students. The PI plans to integrate his research into these activities._x000D_
_x000D_
Please evaluate the strengths and _x000D_
weaknesses of the proposal with respect to any additional solicitation-specific review criteria, if _x000D_
applicable_x000D_
_x000D_
_x000D_
_x000D_
Summary Statement_x000D_
_x000D_
The proposal lists interesting research goals. However, the proposed tasks are not sufficiently developed and coordinated. In particular, specific areas of application should be identified, and evaluation metrics should be identified. It would also be useful to expand the description of a long-term career plan around the proposed activities. The education and outreach activities are appropriate._x000D_
_x000D_
</t>
  </si>
  <si>
    <t>SK0956952</t>
  </si>
  <si>
    <t xml:space="preserve">In the context of the five review elements, please _x000D_
evaluate the strengths and weaknesses of the proposal with respect to intellectual merit._x000D_
_x000D_
This CAREER proposal aims to advance the theory and practice of algorithms for mixture model inference problems which present significant challenges due to their combinatorial and non-convex nature to develop scalable algorithms with strong theoretical performance guarantees. The resulting algorithms will be applied to problems in machine learning (e.g., optimizing out-of-sample predictive performance and in computational biology (e.g., long-read transcriptome sequencing). Anticipated results include new theoretical understanding of combinatorial and non-convex optimization problems arising in mixture model inference, and practical mixture model inference algorithms for large-scale machine learning and computational biology applications._x000D_
_x000D_
Strengths:_x000D_
Improved understanding of non-convex optimization problems that arise in mixture model inference can have significant impact on the theory and practice of machine learning, as well as a wide range of applications of mixture models, including computational biology. _x000D_
_x000D_
The PI has a strong record of publication at the interface of optimization and machine learning. _x000D_
_x000D_
The proposed research is well-conceived, well-organized, well-motivated, and built on a solid foundation of related work by the PI._x000D_
_x000D_
The approach to generalizing the analysis by relaxing the Gaussian assumption and the observation that the local optima are informative when the number of components in the mixture model exceeds 3 are both insightful and likely to lead to breakthroughs in our understanding of mixture models. _x000D_
_x000D_
Mixture model inference algorithms where in the number of mixture components defined_x000D_
on finite alphabets is large are ubiquitous in computational biology applications such as de_x000D_
novo long-read transcriptome sequencing._x000D_
_x000D_
_x000D_
Any advances in establishing the convergence of successive convex approximations (SCA) method and that of the alternating direction method of multipliers (ADMM) to local optima in the presence of saddle points are important from the standpoint of practical algorithms for large-scale non-convex optimization problems that arise in machine learning and other applications. _x000D_
_x000D_
The proposed approach to computational procedures for direct optimization of out-of-sample performance in statistical learning  (as opposed to the common practice of learning statistical models over a training set; and then adjusting regularizers using cross-validation) offers a fundamentally different and novel approach that if successful, could lead to a paradigm shift in machine learning._x000D_
_x000D_
Weaknesses_x000D_
_x000D_
The only potential  weakness has to do with the lack of detail in some of the theoretical aspects of the proposed work, which is not atypical of theoretical proposals._x000D_
_x000D_
In the context of the five review elements, please _x000D_
evaluate the strengths and weaknesses of the proposal with respect to broader impacts._x000D_
_x000D_
Strengths: _x000D_
_x000D_
The results of the proposed work would directly impact machine learning (using mixture models)  and computational biology (especially transcriptome sequencing), and indirectly benefit non-convex optimization. _x000D_
_x000D_
Broad dissemination of scalable open-source implementations of the  resulting non-convex optimization algorithms would benefit the broader machine learning, optimization, and computational biology communities. _x000D_
_x000D_
The plans for integrating research on non-convex optimization into education and training of students is well-conceived. _x000D_
_x000D_
The PI is especially well-positioned to develop a course on large-scale optimization for data science. Such a course is likely to be well-received by the emerging graduate and undergraduate programs in the Data Sciences. _x000D_
_x000D_
The project will benefit the research-based training of graduate and undergraduate students in an increasingly important area at the interface of optimization and data science._x000D_
_x000D_
The plans for outreach to high school students through USC Neighborhood Academic Initiative (NAI) and Viterbi Adopt-a-School Adopt-a-Teacher (VAST) programs to develop and distribute lesson plans to high school students and teachers are well-conceived._x000D_
_x000D_
The PI's engagement with NAI, along with his past track-record of success in broadening the participation of members of under-represented groups in research  careers in STEM disciplines, bode well for the success of similar efforts by the PI._x000D_
_x000D_
_x000D_
Please evaluate the strengths and _x000D_
weaknesses of the proposal with respect to any additional solicitation-specific review criteria, if _x000D_
applicable_x000D_
_x000D_
This CAREER proposal has all of the key elements of needed to lay the  foundation for a lifetime of contributions to research, education and their integration: Strong preparation for a successful research career in the chosen field; a strong track record of research and publication at the interface of non-convex optimization and machine learning; a well-motivated, well-articulated, innovative and compelling research plan built on a strong foundation of prior work, and with a high likelihood of impact within and beyond the discipline (benefited in part by careful focus on compelling applications in machine learning and computational biology), and credible plans for integrating research and education, including engagement of graduate and undergraduate students in research, and broadening the participation of underrepresented groups in STEM disciplines._x000D_
_x000D_
Summary Statement_x000D_
_x000D_
This is a very strong CAREER proposal, with compelling intellectual merits and a high likelihood of impact within and beyond the discipline (at the interface of optimization and data science). In the opinion of this reviewer, this proposal should have high priority for support._x000D_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</si>
  <si>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deals with interesting questions related to inference and optimization under various mixture models.  The proposal itself is extremely well organized and clear -- doing an exemplary job of showing how the problems that are targeted have clear impact not only on their own domain but across domains.  The research is ambitious but also extremely focused and clear._x000D_
_x000D_
2. To what extent do the proposed activities suggest and explore creative, original, or potentially transformative concepts?_x000D_
_x000D_
The questions that are intended to be addressed are interesting and have the potential to be transformative in a number of application areas including computational biology and gene sequencing.  As the target is general optimization models there are a number of opportunities for impact.  I would have liked to see a bit more discussion of how these results could be applied in other areas or how much generalization could be extracted from the questions that are posed._x000D_
_x000D_
3. Is the plan for carrying out the proposed activities well-reasoned, well-organized, and based on a sound rationale? Does the plan incorporate a mechanism to assess success?_x000D_
_x000D_
The plan is very well organized and the PI has identified a number of interesting questions that are non-overlapping but are addressable in parallel.  This structure makes sure that the PI will not get "stuck" but at the same time several of these streams have interesting applications.  Methods of success include releasing code and publications._x000D_
_x000D_
4. How well qualified is the individual, team, or institution to conduct the proposed activities?_x000D_
_x000D_
The PI has a track record of releasing software (a proposed broader impact) and the research questions are clearly in line with the PIs past expertise._x000D_
_x000D_
5. Are there adequate resources available to the PI (either at the home institution or through collaborations) to carry out the proposed activities?_x000D_
_x000D_
Has the support of his home institution as well as support for the applications in biology through outreach to local companies._x000D_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Overall broader impacts are good -- includes resources for outreach within the local community and under-served populations -- not clear how these activities exactly intersect with the content of the proposal but that is not a major issue.  The research broader impacts are well covered by the outreach with local companies and there is a clear path to impact there._x000D_
_x000D_
2. To what extent do the proposed activities suggest and explore creative, original, or potentially transformative concepts?_x000D_
_x000D_
Outreach to local companies and the targeted nature of the proposal means that there is a high likelihood for broader impact w.r.t. the proposed research directions _x000D_
_x000D_
The course proposed by the PI is interesting and unique._x000D_
_x000D_
3. Is the plan for carrying out the proposed activities well-reasoned, well-organized, and based on a sound rationale? Does the plan incorporate a mechanism to assess success?_x000D_
_x000D_
The plan is well reasoned.  While there is not a clear metric for success the programs that the PI is supporting have a track record of success._x000D_
_x000D_
4. How well qualified is the individual, team, or institution to conduct the proposed activities?_x000D_
_x000D_
In terms of working with industry the PI has a successful track record which will help ensure the success of the proposed broader impacts. However, the PI has some experience in working with high school students but none with high-school teachers so hopefully there are resources through the identified programs to ensure success there._x000D_
_x000D_
5. Are there adequate resources available to the PI (either at the home institution or through collaborations) to carry out the proposed activities?_x000D_
_x000D_
The PI has been in contact with a good number of local companies and outreach organizations to help deliver the proposed impacts.  Funds are allocated to work with teachers and towards broader impacts which is good._x000D_
_x000D_
_x000D_
Please evaluate the strengths and _x000D_
weaknesses of the proposal with respect to any additional solicitation-specific review criteria, if _x000D_
applicable_x000D_
_x000D_
_x000D_
_x000D_
Summary Statement_x000D_
_x000D_
An interesting and strong proposal which will focus on advancing the state of the art in probabilistic mixture models and their applications to computational biology.  An interesting and diverse set of questions is very well specified and opportunities to translate research to impact through coordination with local companies and teaching outreach in local communities is identified._x000D_
_x000D_
_x000D_
</t>
  </si>
  <si>
    <t>MBASU</t>
  </si>
  <si>
    <t>JP0857163</t>
  </si>
  <si>
    <t>Qin</t>
  </si>
  <si>
    <t>zhaohui.qin@emory.edu</t>
  </si>
  <si>
    <t xml:space="preserve">In the context of the five review elements, please _x000D_
evaluate the strengths and weaknesses of the proposal with respect to intellectual merit._x000D_
_x000D_
In this research project, the PI aims to design efficient algorithms with sound theoretical properties for solving optimization problems arisen from finite mixture model inference. In particular, the PI want to develop methods that can be scaled to optimization problems with large values of clusters, sample size and dimension. Finite mixture model is a classical statistical inference tool in model-based clustering, and widely used across many disciplines. So the proposed research would be useful for the scientific fields. It is evident that the PI is very capable in method development in the optimization field. _x000D_
_x000D_
However, I doubt the impact would be significant. Despite the fact that Finite Mixture Model is useful in many applications, it is not suitable for the big data scenario the PI wanted to apply it to. Essentially, Finite Mixture Model is ideal for small number of clusters case and when the number of clusters is easy to be decided on. For more complex scenario, infinite mixture model is much more flexible (no need to know the number of clusters a priori) and have been widely adopted and preferred over Finite Mixture Model. I do not understand why the PI never acknowledge this. This reviewer does not believe it is worth considering to apply Finite Mixture Model to any complex real data case unless there is compelling reason to believe what the true "K" should be which is extremely rare. In complex real data scenarios, the number of clusters is often being considered as a "nuisance" parameter. It is not important scientifically and only needed as a required parameter in the statistical model. But in Finite Mixture Model, special effort has to be made to decide on that which is not appealing._x000D_
_x000D_
The PI emphasizes the application on computational biology. But to my disappointment, the computational biology component is very small and weak. Only one application is described and the problem is very specific, even if successful (which I doubt), the impact would be extremely limited.   _x000D_
_x000D_
The computational biology problem is described as "de novo transcriptome sequencing" which seems a misnomer. I think the PI meant "de novo transcriptome assembly" or "de novo transcriptome quantification". There is no evidence to suggest the PI has never conducted any research in computational biology before, and it seems that the PI has limited knowledge in this topic. The problem that the PI is trying to solve is much more complicated than what is described in the proposal. To frame the problem as a 'clustering" problem is over-simplified. The reference cited "[25]" never mentioned "ICE" approach. And I have no idea what it is referring to. _x000D_
_x000D_
The PI has solid training and seems well versed in the optimization field of research and he has been very productive. And the PI has access to great resource at USC. It is noted that the PI has no previous research experience in computational biology. _x000D_
_x000D_
_x000D_
In the context of the five review elements, please _x000D_
evaluate the strengths and weaknesses of the proposal with respect to broader impacts._x000D_
_x000D_
The broad impact of the research to biology and other fiends is not convincing at the present form. The real world application is not well thought out and articulated. There is little evidence that the PI has made effort to really understand the scientific problems in other disciplines.  _x000D_
_x000D_
The PI is committed in education of graduate, undergraduate as well as high school students. The Pi has developed a nice educational plan._x000D_
_x000D_
Please evaluate the strengths and _x000D_
weaknesses of the proposal with respect to any additional solicitation-specific review criteria, if _x000D_
applicable_x000D_
_x000D_
_x000D_
_x000D_
Summary Statement_x000D_
_x000D_
In this application, the PI aims to design efficient algorithms with sound theoretical properties for solving optimization problems arisen from finite mixture model inference. In particular, the PI want to develop methods that can be scaled to optimization problems with large values of clusters, sample size and dimension. Finite mixture model is a classical statistical inference tool in model-based clustering, and widely used across many disciplines. So the proposed research would be useful for the scientific fields. It is evident that the PI is very capable in method development in the optimization field. _x000D_
_x000D_
However, this reviewer has major concern whether the research will have a high impact since there are more powerful methods than finite mixture model for solving problems related to clustering big data. The proposed application to computational biology is a major weakness since the research plan there seems poorly developed. And there is no evidence that the research proposed here will be useful in the broader computational biology field. _x000D_
_x000D_
_x000D_
</t>
  </si>
  <si>
    <t>JE0931898</t>
  </si>
  <si>
    <t>peng.qiu@bme.gatech.edu</t>
  </si>
  <si>
    <t xml:space="preserve">In the context of the five review elements, please _x000D_
evaluate the strengths and weaknesses of the proposal with respect to intellectual merit._x000D_
_x000D_
This project focuses on finite mixture models, which are popular tools to describe observations of heterogeneous populations with subpopulation structures. The proposed research is motivated by the difficulties of parameters optimization in mixture models due to their non-convex and combinatorial nature, as well as the big-data challenge in many disciplines, in particular, sequencing data in genomics applications. _x000D_
_x000D_
Strengths:_x000D_
_x000D_
- The proposed aims in this project attempts to make contributions from both the theoretical perspective and the applications. _x000D_
_x000D_
- Aim 3 describes an interesting application in genomics. Due to the error rate of long read sequencing data, analysis of such data often requires special preprocessing or special modeling considerations. Large mixture models can be useful tools here, but I do have some reservation regarding the example here, which is mentioned in the weaknesses below. _x000D_
_x000D_
- Established collaboration with PacBio, which provide the technology to generate long read sequencing data in Aim 3. _x000D_
_x000D_
- Aim 4 is intriguing, using an approximation of the cross valudation to derive a gradient with respect to tuning parameters, which can guide the efficient tuning of these parameters. Although it does not seem to be applicable to discrete tuning parameters (e.g. number of nodes and layers in deep learning), I think this is a neat contribution, and the PI already showed that this can be applied to regularizatoin parameters. _x000D_
_x000D_
- The PI has strong track record and is well-suited to carry out the proposed research. _x000D_
_x000D_
_x000D_
Weaknesses:_x000D_
_x000D_
- Aim 1 describes the structure of the cost surface of MLE in several special cases of GMM with small number of components, and proposes to investigate cases with larger K. Although these are interesting exercices, this aim seems to be a bit disconnected to the remaining of the proprosal. It is unclear whether any general result can be obtained for large K. _x000D_
_x000D_
- Still related to Aim 1, regarding the observed pattern for K=3 where two of the estimated means are close to each other, is this because of the symmetry in the model, or because of the dimensionality of the data being too low, or something else? I would appreciate some discussions on more insights to the intuituion behind what gives rise to such pattern, rather than just saying we saw it and we clevered bypassed it. _x000D_
_x000D_
- In Aim 3, the result shown in Figure 9 seems too good to be true. Given the estimated transcript accuracy of ICE reported in [25], or more precisely the TOFU pipeline, the ICE/TOFU algorithm already showed excellent performance. The vertical axis in Figure 9 appears to be in log-scale. It is unclear why there is such a huge gap between the proposed method and [25], especially in terms of false positives. This result is probably generated using some simulated data. I wonder what simulation setting made the proposed method behave so much better than [25], and the next question is whether the simulation setting used here reflects what people see in real data. _x000D_
_x000D_
- The example used in Figure 8 is essentially a divisive hierarchical clustering algorithm, where the abundance threshold serves as a stopping criterion. Yes, the abundance quantification at each layer can be performed by mixture models where the number of transcripts (nodes) is fixed. Therefore, the only thing that needs to be estimated are the \rho's. Referring back to GMM, this is a setting where the \mu and \sigma of all the gaussian components are known, and only the mixing probabilities are estimated. However, aim 1 focused on examples of estimating the means. This echos my earlier comment that aim 1 seems to be disconnected from the other aims._x000D_
_x000D_
_x000D_
In the context of the five review elements, please _x000D_
evaluate the strengths and weaknesses of the proposal with respect to broader impacts._x000D_
_x000D_
_x000D_
Strengths: _x000D_
- The education plan includes developments at both graduate and undergraduate level. _x000D_
_x000D_
- The plan on high school outreach is described in details, showing the PI is already spending efforts on this. _x000D_
_x000D_
- The Viterbi VAST and NAI programs provide excellent platforms and support for the PI's outreach plan. _x000D_
_x000D_
_x000D_
_x000D_
Please evaluate the strengths and _x000D_
weaknesses of the proposal with respect to any additional solicitation-specific review criteria, if _x000D_
applicable_x000D_
_x000D_
_x000D_
_x000D_
Summary Statement_x000D_
_x000D_
This project aims to make contributions to both theory/algorithm and applications. Although aim 1 asks interesting questions, it seems to be a bit disconnected. Aims 3 and 4 are the more exciting aims. In the summary page, the Intellectual Merit section mentioned many extremely interesting questions, which raised my interests and expectations of the proposal. However, I felt that the research plan did not really deliver enough answers / conjectures to half of them. The application in genomics is quite focused and thus narrow. It may strengthen the proposal if the PI describe more computational biology applications, and also include briefly descriptions of the biological validation. _x000D_
_x000D_
_x000D_
</t>
  </si>
  <si>
    <t xml:space="preserve">In the context of the five review elements, please _x000D_
evaluate the strengths and weaknesses of the proposal with respect to intellectual merit._x000D_
_x000D_
This proposal is about mixture model inference optimization problems. The author proposes to develop new practically applicable algorithms for such problems. While I found the problems compelling, I did not find much in the proposal to support what kinds of techniques or theoretical insights might lead to improvements. In addition, it was not clear how the proposed research may be connected to other theoretical problems studied in computer science or elsewhere._x000D_
_x000D_
In the context of the five review elements, please _x000D_
evaluate the strengths and weaknesses of the proposal with respect to broader impacts._x000D_
_x000D_
The research questions proposed by the author have many practical applications, and progress on them would be very nice._x000D_
_x000D_
Please evaluate the strengths and _x000D_
weaknesses of the proposal with respect to any additional solicitation-specific review criteria, if _x000D_
applicable_x000D_
_x000D_
_x000D_
_x000D_
Summary Statement_x000D_
_x000D_
The proposed research is of high practical importance, but seems to lack the theoretical depth I would like to see for this program._x000D_
_x000D_
</t>
  </si>
  <si>
    <t>HP0916892</t>
  </si>
  <si>
    <t>Shehu</t>
  </si>
  <si>
    <t>amarda@cs.gmu.edu</t>
  </si>
  <si>
    <t xml:space="preserve">In the context of the five review elements, please _x000D_
evaluate the strengths and weaknesses of the proposal with respect to intellectual merit._x000D_
_x000D_
Strengths:_x000D_
_x000D_
Work on finite mixture models that utilize structure in an optimization landscape is in itself interesting._x000D_
_x000D_
PI Expertise: The PI has a strong background in optimization._x000D_
_x000D_
The PI has adequate resources._x000D_
_x000D_
Weaknesses:_x000D_
_x000D_
The a priori information on K is limiting, and it is not clear how finite mixture models provide an advantage over infinite mixture models._x000D_
_x000D_
The PI has no published track record in computational biology._x000D_
_x000D_
No indication is provided on what theoretically-sound properties will be pursued or demonstrated._x000D_
_x000D_
In the context of the five review elements, please _x000D_
evaluate the strengths and weaknesses of the proposal with respect to broader impacts._x000D_
_x000D_
Strengths:_x000D_
_x000D_
The high-school outreach plan is comprehensive._x000D_
_x000D_
Weaknesses:_x000D_
_x000D_
The project is narrow in scope and can benefit from a tighter connection with computational biology problems. There could possibly be other areas that can benefit from the proposed research, but the PI misses an opportunity in this respect._x000D_
_x000D_
Though preliminary data are related for Task 2, it is unclear whether the proposed activities will make a broader impact in computational biology._x000D_
_x000D_
It is also unclear that the proposed activities will make a more general contribution. For instance, in the context of big data, does the PI expect the same structure in the landscape? The proposal does not generalize from a few shown examples or provide some intuition for why the proposed techniques will be more than a neat but narrow-scope exercise._x000D_
_x000D_
Please evaluate the strengths and _x000D_
weaknesses of the proposal with respect to any additional solicitation-specific review criteria, if _x000D_
applicable_x000D_
_x000D_
_x000D_
_x000D_
Summary Statement_x000D_
_x000D_
This project proposes efficient and theoretically-sound optimization_x000D_
algorithms in finite mixture model inference. The focus is on large_x000D_
and multi-dimensional datasets with many clusters. The formulation_x000D_
under finite mixture models and the under-developed connection with_x000D_
problems of relevance in computational biology raise doubts on the_x000D_
impact of the proposed research activities. The planned educational_x000D_
and outreach activities are very good._x000D_
_x000D_
</t>
  </si>
  <si>
    <t>The ability and flexibility of finite mixture distributions to model the presence of subpopulations within an overall population has made them popular across almost all engineering and scientific disciplines. However, the theory and algorithms for mixture model inference problems are little understood beyond special cases, such as Gaussian mixture models (GMM). Moreover, most of the existing algorithms with theoretical performance guarantees are not scalable to the modern applications of massive size. This is mainly due to the combinatorial and non-convex nature of the underlying optimization problems. This project aims to fundamentally improve our understanding of these optimization problems and develop large-scale optimization procedures with theoretical performance guarantees for solving them. _x000D_
   Despite being motivated by the inference problems in mixture models, the tools and analyses in this project will cover many other non-convex problems as discussed in the proposal.It is expected that the results of the proposed research include:_x000D_
- Answers to fundamental open questions on mixture model inference optimization problems: What are the critical points of a ?typical? objective function? Are all local optimal points globally optimal? Are spurious local optima informative? What is the chance of being trapped in local optima?_x000D_
- Scalable algorithms for computation of ?informative? critical points in non-convex statistical learning problems. These developments will include first order optimization procedures which can escape saddle points of the constrained optimization problems. To date, there is no known algorithm with such favorable property in the optimization community._x000D_
- Efficient computational procedures for direct optimization of out-of-sample performance in statistical learning. To date, the common practice is to learn statistical models over a training set; and then adjust regularizers to achieve optimal out-of-sample performance using cross-validation. This project suggests a fundamentally different framework by optimizing cross-validation functions directly._x000D_
- Development and implementation of publicly available algorithms and software package(s) for long-read transcriptome sequencing problem in computational biology. This problem, which is in fact a mixture model inference problem, is central to biological applications. To date, there is no efficient algorithm/software package with statistical guarantees for this task.The results of this proposal are expected to indirectly affect many scientific disciplines due to the wide-applicability of mixture models and other similar non-convex optimization problems. Moreover, the resulting algorithms and software packages will have direct impact on the transcriptome sequencing and abundance estimation in computational biology. These results, which are developed with close close collaboration with industrial partners, will be available under open source license on GitHub.com._x000D_
The integration of research and education plan in this project includes: development of a new graduate level course, mentoring students, organizing reading groups for students in different departments, and establishing research connections between academia and industry. Central to the educational plan of this proposal is the outreach to high school students through USC Neighborhood Academic Initiative (NAI) and Viterbi Adopt-a-School Adopt-a-Teacher (VAST) programs to develop and distribute lesson plans to high school students and teachers.</t>
  </si>
  <si>
    <t>1750076</t>
  </si>
  <si>
    <t>Schroeder</t>
  </si>
  <si>
    <t xml:space="preserve"> Panel Summary       
  SUMMARY OF PROPOSED RESEARCH ACTIVITY_x000D_
_x000D_
Description : The PI proposes the development of algorithms for_x000D_
non-convex optimization and collision detection in physical simulations._x000D_
 _x000D_
_x000D_
INTELLECTUAL MERIT_x000D_
_x000D_
Strengths_x000D_
_x000D_
+ Both the problems of non-convex optimization and collision detection are very important._x000D_
_x000D_
Weaknesses_x000D_
_x000D_
- Neither the problems nor the approaches to solving them are_x000D_
sufficiently well specified.  The discussion of and contrast with prior work on the problems is minimal._x000D_
- It is not clear what types of non-convex problems one should expect the proposed approach to solve.  _x000D_
- The discussion of collision detection was simply too vague, and was not put in context of prior work. _x000D_
_x000D_
_x000D_
BROADER IMPACTS_x000D_
_x000D_
Strengths_x000D_
_x000D_
+The PI is incorporating active learning and competition into his_x000D_
graphics courses._x000D_
+ The PI is involved in a local science fair, both as a speaker and as a judge._x000D_
+ The PI will give public lectures on graphics research, a topic that is likely to generate excitement._x000D_
 _x000D_
_x000D_
CAREER SOLICITATION-SPECIFIC REMARKS:_x000D_
_x000D_
Letter of institutional commitment is present._x000D_
_x000D_
Integration of research and education: The plans to integrate the PI research into public lectures and courses was good._x000D_
 _x000D_
_x000D_
Suggestions to PI:_x000D_
_x000D_
This proposal could be substantially improved by being placed in the context of prior work, including concrete descriptions of the problems to be solved (and perhaps some specific examples), and including more concrete explanations of the proposed algorithms._x000D_
_x000D_
There is a lot of work on the solution of non-convex optimization_x000D_
procedures.  The sort of work in this area that the Algorithmic_x000D_
Foundations program would support typically gives concrete problems to be solved, or concrete qualities that the problems to be solved should have.  Less theoretical proposals should be supported with preliminary experimental results._x000D_
_x000D_
_x000D_
_x000D_
Justification for Panel Rating: _x000D_
_x000D_
The proposal did not contain sufficient context or detail._x000D_
_x000D_
Panel Rating:_x000D_
_x000D_
_ Highly Competitive_x000D_
_x000D_
_ Competitive_x000D_
_x000D_
_ Low Competitive_x000D_
_x000D_
X Not Competitive_x000D_
_x000D_
The summary was read by/to the panel and the panel concurred that the summary accurately reflects the panel discussion._x000D_
_x000D_
 _x000D_
</t>
  </si>
  <si>
    <t xml:space="preserve">NATIONAL SCIENCE FOUNDATION _x000D_
Alexandria, Virginia 22314 _x000D_
Directorate for Computer and Information Science and Engineering (CISE)_x000D_
Division of Computing and Communication Foundations (05010000)_x000D_
ALGORITHMIC FOUNDATIONS (7796)_x000D_
NSF 17-537 Faculty Early Career Development Program_x000D_
Review Analysis: Standard Decline (NC) for proposal with low review scores_x000D_
_x000D_
CAREER: Addressing robustness in numerical simulation of nonlinear elastic solids through optimization integration and improved collision treatments_x000D_
_x000D_
L: 1750076 Schroeder, Craig U of Cal Riverside $  440,331_x000D_
_x000D_
_x000D_
P180207 NC AF CAREER/CRII Panel A (14 panelists; 0 decl confl),_x000B_  on 10/24/2017, recommended as Not Competitive (V,F,F,F)_x000D_
Std competition rank 22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</si>
  <si>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 xml:space="preserve">In the context of the five review elements, please _x000D_
evaluate the strengths and weaknesses of the proposal with respect to intellectual merit._x000D_
_x000D_
Goals of project: improve the robustness of physically based simulation by _x000D_
_x000D_
1. developing a numerical solver that can handle a wider range of forces and _x000D_
2. designing an improved collision algorithm that will not miss collisions but also has favorable visual properties. _x000D_
_x000D_
The proposal makes the case that physical simulation is becoming increasingly important and increasingly common in daily life._x000D_
_x000D_
I have some suggestions for improving this proposal.  _x000D_
_x000D_
Most importantly, put the proposed work in context. Both of the goals of the project are extremely common in numerical optimization and physical simulation.  But even until on page 2 there aren't citations or references to other people's work. It is not until page 3 that there are citations, but these are mostly to the PIs own work, and do not give a sense of what's going on in the rest of the field._x000D_
_x000D_
This proposal also doesn't feel foundational. The past work of the PI is nice. But if we are going to learn something fundamental about the underlying areas of collision detection and optimization, we need to know how this fits in with other techniques in computer graphics, physical simulation, and computational geometry._x000D_
_x000D_
_x000D_
In the context of the five review elements, please _x000D_
evaluate the strengths and weaknesses of the proposal with respect to broader impacts._x000D_
_x000D_
The proposal topics, well executed, have the potential for a large impact. I'm concerned that the impact might be diluted in the particular project given the lack of a broader perspective on the field._x000D_
_x000D_
Please evaluate the strengths and _x000D_
weaknesses of the proposal with respect to any additional solicitation-specific review criteria, if _x000D_
applicable_x000D_
_x000D_
_x000D_
_x000D_
Summary Statement_x000D_
_x000D_
Based on the important topics of the proposal, the limited algorithmic foundations, and the lack of vision about the field as a whole, I view this is a fair proposal._x000D_
_x000D_
_x000D_
</t>
  </si>
  <si>
    <t xml:space="preserve">In the context of the five review elements, please _x000D_
evaluate the strengths and weaknesses of the proposal with respect to intellectual merit._x000D_
_x000D_
The work proposed by the PI is concerned with the quality of numerical simulations of physic-based systems. He is in particular concerned with their robustness, namely the ability of the solvers to successfully run simulations and the ability of handle collision correctly._x000D_
_x000D_
Intellectual merit:_x000D_
Strengths:_x000D_
+ The proposed foci are relevant: we do want effective simulations and simulations that can handle collision. _x000D_
+ The problem of collision poses other problems (about floating-point operations) whose resolution will significantly enrich research in mathematical programming._x000D_
+ The PI has sufficient experience in the field of study to handle the proposed work._x000D_
+ The timeline for the proposed work seems reasonable._x000D_
+ The PI provides references for validation: what will a successful work look like? for each of the research directions he sets to consider. This is very good._x000D_
+ The proposal is very well written._x000D_
+ The PI looks at the problems he proposes to attack in a new and creative way. So, really new knowledge might come out of his work: in particular, his proposed work on non-smooth areas of a simulation is relevant to optimization in general, not just for the problems he proposes to address._x000D_
_x000D_
Weaknesses_x000D_
- I am interested in but also worried about the work on collision detection and in particular the proposed work about floating-point computations. I see the theoretical relevance of it, but in practice, computations will be rounded so enforcing a floating-point gap may not be relevant after all. _x000D_
- It is not completely clear how the PI plans to handle non-smooth patches._x000D_
- It is not clear how kink discovery scales up._x000D_
- The PI assumes that we will want to look at large steps for the sake of time. However, there are other approaches to simulation that allow taking smaller steps and still performing fast. I am surprised that the PI did not talk about it, at least as a comparison._x000D_
- The underlying assumption is that the solver will be based on some Newton-like approach. Other approaches have been proposed (admittedly with some flaws too) that allow to part away from Newton, non-always convergent, approaches._x000D_
_x000D_
_x000D_
In the context of the five review elements, please _x000D_
evaluate the strengths and weaknesses of the proposal with respect to broader impacts._x000D_
_x000D_
Broader impact:_x000D_
Strengths_x000D_
+ The PI demonstrates a deep understanding of the need of students from underrepresented minorities and possibly first generation, taking into account education of the parents as well. _x000D_
+ The success of this work will impact communities relying on the ability to simulate complex dynamic systems, including collision. The new solving techniques are expected to allow more complex problems to be solved, hence providing more insight._x000D_
+ The PI plans to create teaching online module that will be freely available, hence allowing the spreading of his work more widely.  In the same fashion, he is planning to give public lectures on computer graphics to reach out to a broad audience to motivate students to learn math. In doing this, he recognizes how crucial it is to attract a broad new generation of STEM students._x000D_
+ The PI also plans to reach out to students via his involvement in students chapters at UCR, like ACM and IEEE._x000D_
_x000D_
Weaknesses_x000D_
- In addition to an already very solid plan, may I suggest that the PI considers reaching out to industry, or even ARL, where his work could be applied and tested further?_x000D_
_x000D_
_x000D_
Please evaluate the strengths and _x000D_
weaknesses of the proposal with respect to any additional solicitation-specific review criteria, if _x000D_
applicable_x000D_
_x000D_
Integration of Research and Education: _x000D_
Strengths_x000D_
+ The PI plans to integrate his research into a new optimization course and projects for his students  on optimization, floating-point error, and validation). _x000D_
+ He will organize a rendering competition to further integrate his research into educational activities and further attract students to his research area._x000D_
+ He will develop freely available online teaching modules on computer graphics._x000D_
_x000D_
Weaknesses_x000D_
- Where will the online modules be available? _x000D_
_x000D_
Data Management Plan_x000D_
The Data Management Plan is appropriate. _x000D_
_x000D_
_x000D_
Summary Statement_x000D_
_x000D_
Overall, this is a very interesting proposal, pointing out important sore points of non-smooth simulations and laying out an interesting plan of work to address them. The educational plan is solid and seems rooted in the PI's habit to be sensitive to the integration of research into teaching as well as his understanding of the need for outreach._x000D_
_x000D_
</t>
  </si>
  <si>
    <t xml:space="preserve">In the context of the five review elements, please _x000D_
evaluate the strengths and weaknesses of the proposal with respect to intellectual merit._x000D_
_x000D_
_x000D_
This proposals aims to advance the area of numerical simulations by developing an efficient Newton-based solver that is robust to non-smoothness of the objective function it optimizes. The main approach suggested is to make the progress steps "follow the kinks" as opposed to getting stuck at them._x000D_
_x000D_
+ numerical simulations is an important domain to study, and development of conceptually new algorithms could have a great impact_x000D_
+ the PI has relevant expertise_x000D_
+ the objectives laid out touch on fundamental problems_x000D_
+ the PI includes clear criteria for assessing the success of pursued goals_x000D_
_x000D_
- the proposal never seems to precisely define the exact theoretical questions the PI intends to pursue_x000D_
- the "following the kinks" idea is never formally specified either, beyond providing fairly vague intuitions and examples. In particular, is the key novelty of this idea the fact that we do not treat the objective function as a black box? _x000D_
- the discussion of prior work seems to be missing important elements. Minimizing non-smooth functions constitutes a whole area of continuous optimization and it is not clear how all the work in that area relates to the goals outlined in this proposal._x000D_
_x000D_
In the context of the five review elements, please _x000D_
evaluate the strengths and weaknesses of the proposal with respect to broader impacts._x000D_
_x000D_
Broader impacts aspects are good and involve heavy involvement in outreach activities, particularly to students representing underrepresented minorities._x000D_
_x000D_
Please evaluate the strengths and _x000D_
weaknesses of the proposal with respect to any additional solicitation-specific review criteria, if _x000D_
applicable_x000D_
_x000D_
_x000D_
_x000D_
Summary Statement_x000D_
_x000D_
This proposal pursues an important topic but requires significantly more work on fleshing out the underlying algorithmic questions that it intends to pursue._x000D_
_x000D_
</t>
  </si>
  <si>
    <t xml:space="preserve">In the context of the five review elements, please _x000D_
evaluate the strengths and weaknesses of the proposal with respect to intellectual merit._x000D_
_x000D_
The PI proposes to improve numerical optimization algorithms and collision detection algorithms for physical simulation.  _x000D_
_x000D_
The proposal contains an interesting idea in numerical optimization: examining the code realizing the black-box function to be optimized to detect "kinks" that must be followed in the objective space.  However, much more detail or preliminary work would be required before I could consider this a good idea.  It is not clear to me that it could work on many problems of interest._x000D_
_x000D_
The second thrust of the proposal is the detection of collisions in physical simulations, with mainly graphics in mind.  _x000D_
_x000D_
Both parts of the proposal would be better evaluated in a program dedicated to graphics or scientific simulation.  _x000D_
_x000D_
_x000D_
In the context of the five review elements, please _x000D_
evaluate the strengths and weaknesses of the proposal with respect to broader impacts._x000D_
_x000D_
The broader impacts are strong: in addition to developing curricula and teaching the diverse student body at his university, the PI would expand participation in local science fairs focusing on mathematical modeling._x000D_
_x000D_
_x000D_
Please evaluate the strengths and _x000D_
weaknesses of the proposal with respect to any additional solicitation-specific review criteria, if _x000D_
applicable_x000D_
_x000D_
_x000D_
_x000D_
Summary Statement_x000D_
_x000D_
This proposal belongs in a more applied program, not in Algorithmic Foundations._x000D_
_x000D_
</t>
  </si>
  <si>
    <t>Numerical simulation plays a critical role in pushing the frontiers of engineering, science, and technology.  As simulations become an integrated part of mission critical tools, the robustness of simulations becomes more important. This problem will become increasingly pronounced as physics simulation becomes integrated with autonomous or mission critical systems, where simulation failure could have severe consequences.  The PI proposes to address robustness with two separate but complementary thrusts, both addressing major problems that occur in physics-based simulation at the large time steps required for interactive or real-time simulation: (1) developing a numerical solver that can handle a wider range of forces without failing to converge and (2) designing an improved collision algorithm that will not miss collisions between objects but also has favorable physical properties at large time steps.Among the most robust integrators for elastic solids are implicit methods that formulate the momentum equations as an optimization problem, for which convergence is guaranteed if the forces are smooth.  Many force models, especially collision forces, are not smooth, causing these optimization algorithms to get stuck.  Thrust (1) will extend efficient Newton-based optimization solvers to handle non-smooth, non-convex optimization problems by following kinks in the objective rather than getting stuck at them.  This is expected to yield a solver with rapid convergence in the smooth case but which also will not fail in the non-smooth case.  In particular, this method is expected to be more efficient than state-of-the-art methods for non-smooth problems.  Thrust (2) will develop a continuous collision detection (CCD) algorithm that can be used at large time step sizes.  This will be split into two thrusts: (2a) detecting collisions and close approaches in a way that is provably robust to floating point errors and (2b) resolving these collisions in a physically-based and unbiased manner by formulating it as an optimization problem.  Thrust (2b) improves upon the state of the art by allowing CCD to be run at large time steps while achieving physically and visually plausible results.  Thrust (2a) extends the state of the art by also being able to detect close approaches, a property critical to the success of (2b).This project will provide new efficient and robust optimization and collision algorithms, which will have applications to a wide variety of domains, from manufacturing to health and engineering to operations research, and will contribute to U.S. technological leadership.  The PI will integrate this research into his training and educational efforts. The PI will recruit students from the highly diverse student population of the University of California, Riverside, one of America's few accredited research-intensive Hispanic Serving Institutions. This will enable him to encourage materials science, materials engineering, and computer science students to persist to the bachelor's degree and beyond, and it will contribute to a larger, more diverse, and more interdisciplinary U.S. science and technology workforce.  The PI will bring his work to the community through public lectures on computer graphics and through involvement with local and regional science fairs.  The PI will prepare and disseminate materials to bring the utility of mathematical modeling within reach of students and their parents, enabling them to apply these methods in their science fair projects.  The PI is engaged in on-campus undergraduate student programs.  The PI will foster creativity among undergraduate students in his computer graphics course by introducing a ray-tracing competition, where students will be encouraged to use skills they learned in the course to produce stunning images.  Finally, the PI is experimenting with more engaging course design ideas to improve the learning experience, especially for underrepresented minorities that have been shown to benefit most from these interventions.</t>
  </si>
  <si>
    <t>1750118</t>
  </si>
  <si>
    <t>Li</t>
  </si>
  <si>
    <t xml:space="preserve"> Panel Summary       
 SUMMARY OF PROPOSED RESEARCH ACTIVITY _x000D_
_x000D_
The PI suggests to approximate some classical  scheduling problems using mathematical programming. _x000D_
_x000D_
The first problem has to do with scheduling unit-length jobs on a constant number of machines.  There was a breakthrough for this problem recently: a 1+epsilon algorithm with a time that is superpolynomial. The 1+epsilon algorithm for unit jobs and constant number of machine is by itself very complex. The PI intends to extend it to non-uniform job sizes and to improve the complexity. _x000D_
_x000D_
Another old classic problem has to do with obtaining an LP based 1+epsilon approximation scheduling algorithm based on Knapsack inequalities. The challenge lies in getting the knapsack inequalities to work even in the presence of precedence constraints.  There is some work such as the work of  Carr et all that shows that adding Knapsack covering inequalities to some LP gives a better integrality gap. Can some of these ideas be extended to scheduling? _x000D_
_x000D_
Another problem, also among the most difficult ones in scheduling is to minimize the flow time. This problem is so hard that at its time, a quasi-polynomial 1+epsilon ratio algorithm was considered a breakthrough. Now the _x000D_
best known ratio is O(\log\log P) with P the maximum number. The PI wishes too get an O(1) approximation algorithms. The other subjects are Parallel Job scheduling in a DAG, Co-flow scheduling, and scheduling in large clusters._x000D_
_x000D_
_x000D_
INTELLECTUAL MERIT  _x000D_
_x000D_
_x000D_
Strengths _x000D_
+ The panel was impressed with the strong research history of the PI. _x000D_
+ The panel believes that the PI will make significant progress towards the problems in the proposal. _x000D_
 _x000D_
_x000D_
Weaknesses _x000D_
- Some members of the panel were concerned that the classical problems that have been open for so long may be hard to solve.   _x000D_
_x000D_
- Several panelists pointed out that the proposal is poorly written and contains an unacceptable number of typos and poor English.  _x000D_
_x000D_
- While the panel was more confident about theoretical part, the practical component was less convincing._x000D_
_x000D_
BROAD IMPACTS _x000D_
  _x000D_
Strengths _x000D_
_x000D_
+ The PI plans to recruit female and underrepresented students. _x000D_
_x000D_
Weaknesses _x000D_
- The broader impacts are pretty conventional and weak. _x000D_
_x000D_
CAREER SOLICITATION-SPECIFIC REMARKS: _x000D_
_x000D_
Letter of institutional commitment: is present, along with the proposal. _x000D_
_x000D_
Integration of research and education: The PI has a reasonably strong plan for integrating research and education. The PI plans to develop two courses. He also mentors Ph.D. students by meeting with them frequently. He also plans to participate in scheduled outreach activities organized by his department. _x000D_
_x000D_
_x000D_
ADDITIONAL REMARKS _x000D_
_x000D_
_x000D_
Data Management Plan: is adequate. _x000D_
_x000D_
Results of prior support: The PI has published strong previous papers from projects supported by NSF. _x000D_
_x000D_
Suggestions to PI: Make the broader impact stronger, and substantially improve the writing._x000D_
_x000D_
_x000D_
Panel Rating: _x000D_
_ Highly Competitive _x000D_
_ Competitive _x000D_
X Low Competitive _x000D_
_ Not Competitive _x000D_
_x000D_
The summary was read by/to the panel and the panel concurred that the summary accurately reflects the panel discussion. _x000D_
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</si>
  <si>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CCF: Approximate Scheduling Algorithms via Mathematical Relaxations_x000D_
_x000D_
L: 1750118 Li, Shi SUNY Buffalo $  530,842_x000D_
_x000D_
_x000D_
P180207 LC AF CAREER/CRII Panel A (14 panelists; 2 decl confl),_x000B_  on 10/24/2017, recommended as Low Competitive (V,G,G,G/F)_x000D_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</si>
  <si>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_x000D_
The PI proposes to work on some of the hardest scheduling problems, and makes a strong case that new techniques based on LP relaxation can help. The PI is one of the top young researchers in scheduling theory and approximation algorithms. He has an impressive vision of the field and is doing wonderful work. The PI also describes some of his practical research in scheduling._x000D_
_x000D_
What I like about the proposal is that the PI seems to have a clear sense of scheduling theory, has a plan for attacking the hardest problems in the field, and does a nice job of demonstrating that he knows techniques that may work. _x000D_
_x000D_
Here are some open problems that the PI proposes to solve: _x000D_
_x000D_
- scheduling precedence-constrained jobs on O(1) identical machines to minimize makespan.  There was a recent breakthrough in scheduling.  A nearly polynomial time  1+epsilon approximation scheme for scheduling unit-size precedence-constrained jobs on a constant number of machines. The PI would like to extend these results to jobs with non-constant sizes, and proposes some techniques that he may want to try._x000D_
_x000D_
- (1 + epsilon)-approximations for scheduling based on knapsack inequalities. The PI hopes to extend some old results on strengthening the knapsack inequalities and use this new power to solve some of the classic open problems in scheduling (e.g., weighted flow time with preemption)._x000D_
_x000D_
- Time-indexed linear programming relaxation for non-preemptive scheduling._x000D_
_x000D_
- Implementation of algorithms for scheduling in large clusters._x000D_
_x000D_
The PI says that he wants to apply algorithmic techniques to practical problems.  In general, the practical aspects of the proposal  don't show the deep understanding that comes across in the theoretical aspects of the proposal._x000D_
_x000D_
Minor suggestion for improvement: please improve the writing, especially in the summary. Initially I was put off by it. _x000D_
_x000D_
_x000D_
_x000D_
In the context of the five review elements, please _x000D_
evaluate the strengths and weaknesses of the proposal with respect to broader impacts._x000D_
_x000D_
Although the broader impact sections are quite thin, I think the broader impact of the research is not. The proposed techniques are powerful and will advance the field of scheduling theory and other aspects of resource optimization. _x000D_
_x000D_
The educational component is fine. _x000D_
_x000D_
_x000D_
Please evaluate the strengths and _x000D_
weaknesses of the proposal with respect to any additional solicitation-specific review criteria, if _x000D_
applicable_x000D_
_x000D_
_x000D_
_x000D_
Summary Statement_x000D_
_x000D_
I view this as a very good proposal.  The PI clearly has a vision about what's going on in the scheduling literature and has a well articulated plan of attack._x000D_
_x000D_
_x000D_
</t>
  </si>
  <si>
    <t xml:space="preserve">In the context of the five review elements, please _x000D_
evaluate the strengths and weaknesses of the proposal with respect to intellectual merit._x000D_
_x000D_
Intellectual merit:_x000D_
Strengths:_x000D_
+ The PI has conducted prior work in the area he plans to work on. He has a CRII on a very closely related topic._x000D_
+ The proposal flows well, although it should be spellchecked. _x000D_
+ The PI picked a good set of research questions to study and identified for each a few concrete problems to check his results on._x000D_
_x000D_
Weaknesses_x000D_
- No timeline._x000D_
- Except for the work presented in Section 5, it is not clear whether the proposed work will be a purely theoretical study or if the approaches will be tested experimentally on the identified problems. _x000D_
- Despite the PI's experience in the area, the proposed work sounds overly ambitious and possibly too risky._x000D_
_x000D_
_x000D_
In the context of the five review elements, please _x000D_
evaluate the strengths and weaknesses of the proposal with respect to broader impacts._x000D_
_x000D_
Strengths_x000D_
+  The PI has on-going collaborations and is planning to use this project to expand on them. _x000D_
+ The PI plans to encourage the participation of women and minorities in his work. He is set to mentor a female student starting in fall 2017._x000D_
_x000D_
Weaknesses_x000D_
- Except for the one female PhD student he will start working with in fall 2017, it is not clear how the PI plans to recruit more women or minority students. _x000D_
- Overall, the broader impacts are weak._x000D_
_x000D_
_x000D_
Please evaluate the strengths and _x000D_
weaknesses of the proposal with respect to any additional solicitation-specific review criteria, if _x000D_
applicable_x000D_
_x000D_
Integration of Research and Education: _x000D_
Strengths_x000D_
+ The PI currently has PhD students, with whom he will continue working._x000D_
+ The PI plans to integrate some of his work ideas as projects in a course he is already teaching. He plans something similar in another course that he is scheduled to teach in spring 2018._x000D_
+ Over the next 5 years, the PI plans to design a new course focused on algorithms for large scale data._x000D_
+ The PI will participate in scheduled outreach activities._x000D_
+ He also plans to present his work at upcoming conferences._x000D_
_x000D_
Weaknesses_x000D_
- The plan to mentor students is weak: the PI lists his current graduate students (so, no plan for new recruits there) and finishes by saying that 'in the future', he plans to involve undergraduate students: this comes as an after-thought and no plan to make this happen or ideas about how to do that are proposed._x000D_
- The PI mentions courses he already teaches. Integrating research in teaching is very important but these two examples are very conventional as he relies on existing activities._x000D_
- The outreach activities mentioned by the PI are organized by his department. It is not clear what his part is in such activities and how he plans to use this opportunity to recruit? Mentor? Engage students?_x000D_
- Overall, the education plan is very weak: over the 5 years duration of the project, it should be expected that the PI be able to demonstrate proactivity and creativity in educating, recruiting, and mentoring. _x000D_
_x000D_
Data Management Plan_x000D_
Overall, the Data Management Plan seems appropriate. However, the PI mentions at some point that there will not be code for his work, but later that there will be some. This ambiguity should be addressed._x000D_
_x000D_
_x000D_
Summary Statement_x000D_
_x000D_
Overall, an interesting proposal with a reasonable research plan, although ambitious and not completely well thought-out. This proposal suffers from a very weak education plan._x000D_
_x000D_
</t>
  </si>
  <si>
    <t xml:space="preserve">In the context of the five review elements, please _x000D_
evaluate the strengths and weaknesses of the proposal with respect to intellectual merit._x000D_
_x000D_
The PI proposes to develop new mathematical programming techniques for scheduling problems. Recently, hierarchical relaxations have been used to obtain surprising results in precedence-constrained scheduling of unit sized jobs on constant number of machines, and the PI proposes to expand it to the weighted case. The PI also proposes studying other problems such as knapsack covering._x000D_
_x000D_
While the problems are interesting, and the PI is well equipped to solve them, several of the proposed problems are very special cases of a vast landscape of scheduling problems, and hence, the intellectual merit of this proposal is likely to be in new LP-relaxation techniques, specially hierarchical relaxations. Such techniques have the potential of bridging cutting plane heuristics and LP-relaxation approximation algorithms, and would represent an exciting advance. However, the PI does not propose to study these connections in depth beyond the specific problems proposed._x000D_
_x000D_
The PI also proposes to study properties of the time indexed LP, and proposes to apply theoretical insights from this proposal to scheduling in parallel clusters. This proposal could benefit from either more emphasis on the applied aspects, or more emphasis on the properties of hierarchical relaxations._x000D_
_x000D_
_x000D_
In the context of the five review elements, please _x000D_
evaluate the strengths and weaknesses of the proposal with respect to broader impacts._x000D_
_x000D_
The proposal involves a strong collaboration plan with applied researchers, and thus has the potential of strong broad impact. The education plan is strong, including development of a course on algorithms for large data, and participation in summer camps for high school students._x000D_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</si>
  <si>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I do not know how significant is the following: there are some mistakes in English and some typos. For me its not significant because I do not want to discriminate between people whose mother thong is English, and others._x000D_
_x000D_
As its seems usual for a career awards the proposal is hugely ambitious. Promises a revolution._x000D_
_x000D_
It regards scheduling problems I have been hearing about for 25 years or so. Several belong to the famed 15 most important open problems in scheduling devised some time ago._x000D_
_x000D_
Scheduling precedence-constrained jobs on m machines,_x000D_
with the objective of minimizing the makespann_x000D_
may be one of the most classic scheduling problem there is._x000D_
_x000D_
Graham in 1966 gave a ratio 2 for the problem, based _x000D_
on a simple method that was coined as "list scheduling"._x000D_
It was one of the first approximation algorithms  ever (this is the famous Graham. The friend of Erdos). No better ratio is known even _x000D_
for quasi-poly time._x000D_
_x000D_
A relatively recent breakthrough may explain this difficulty._x000D_
If the number of machines m is part of the input, _x000D_
an approximation better than 2 is not possible._x000D_
This is based on a slightly stronger conjecture than the unique game conjecture. _x000D_
The stronger conjecture says that the graph is  "slightly expanding" _x000D_
(it can not be an expander as unique game is easy on expanders. But slight expansion is not an expander)._x000D_
However, this lower bound does not hold _x000D_
if the number of machines is a constant._x000D_
_x000D_
There is a 1+epsilon algorithm in quasi polynomial time for unit time jobs._x000D_
The PI presents two highly difficult challenges._x000D_
_x000D_
The first is to make the running time polynomial._x000D_
I want to note that under  the exponential time hypothesis P=\neq Quasi(P) so it may well be that such an approximation does not exist._x000D_
_x000D_
A second challenge is to generalize the result (even in quasi poly time) for arbitrary length jobs. _x000D_
_x000D_
The 1+epsilon algorithm (and basically all algorithms presented here)_x000D_
is very complex. It uses complex dynamic programming algorithm._x000D_
It uses sketching at the end. Sketching is a way to unite an exponential number of subproblems to very few _x000D_
so that is two subproblems have the same sketching, their value is is about the same (a very nice recent tool in my opinion). _x000D_
Its basically like equivalence classes._x000D_
_x000D_
The PI explains how he hopes to extend this to general processing time. This will not be easy, if possible._x000D_
Seems complicated._x000D_
_x000D_
Knapsack covering is to find items of minimum cost_x000D_
that have  a volume larger than some given R._x000D_
_x000D_
There are papers that use many knapsack covering constraint._x000D_
For every S, if its (factional) volume is v(S) the volume of the _x000D_
rest of the elements must be at least R-vol(S)._x000D_
_x000D_
A paper by Carr showed many Knapsack covering valid constrains that_x000D_
can turn a bad LP into a good one._x000D_
The PI suggest several ways to give an LP based _x000D_
PTAS. A very old open question and apparently very difficult._x000D_
The PTAS is done by dynamic programming._x000D_
The PI talks on finding polytope with minimum number of constrains as a tool. Alternatively other  Knapsack inequalities may lead _x000D_
to an LP based 1+epsilon approximation._x000D_
I somewhat doubt it._x000D_
_x000D_
Single machine scheduling to minimize flow time is a very hard problem (in particular a small change in the input can cause a large change in the output). The goal to minimize is the flow time,_x000D_
namely the sum over all jobs of the time they were scheduled minus their arrival time. There is a loglog P (quite complex) approximation algorithm for this problem. P can be thought of as the maximum job size._x000D_
_x000D_
The problem is regarded so hard, that a quasi-polynomial PTAS (by Chekuri and Khanna) seemed highly interesting at the time it was done_x000D_
15 years ago. The PI want to try and use the LP of The loglog P algorithm, with covering Knapsack inequalities for the ambitious task of _x000D_
getting a polynomial time O(1) approximation for this problem._x000D_
Again a huge challenge._x000D_
_x000D_
Scheduling a single machine with an arbitrary function on the completion time is also considered. Again a huge challenge._x000D_
Other models are the open shop scheduling and some problems are define within this model. _x000D_
_x000D_
I did not understand for sure what is unrelated machine scheduling._x000D_
Is the issue that you cant schedule them on parallel._x000D_
Is this the way the problem is different from scheduling unrelated parallel machines?_x000D_
There are many more problems and I will not describe all of them._x000D_
_x000D_
The PI seems to assume hugely difficult task and hopes to solve very long time standing problems. The proposal may be such that some of the problems are unlikely to be solved._x000D_
_x000D_
The PI is a very strong researcher and once got a best FOCS paper_x000D_
joined with Chuzhoy._x000D_
_x000D_
_x000D_
In the context of the five review elements, please _x000D_
evaluate the strengths and weaknesses of the proposal with respect to broader impacts._x000D_
_x000D_
There is no serious try to create broader impact._x000D_
_x000D_
Please evaluate the strengths and _x000D_
weaknesses of the proposal with respect to any additional solicitation-specific review criteria, if _x000D_
applicable_x000D_
_x000D_
_x000D_
_x000D_
Summary Statement_x000D_
_x000D_
It seems to me more likely than not that this  proposal _x000D_
will not be funded._x000D_
_x000D_
_x000D_
</t>
  </si>
  <si>
    <t>The problems of scheduling a set of possibly dependent tasks over a collection of machines rise in many application domains. Despite of the intensive study, the status of many fundamental scheduling problems remains widely open. One major goal of the PI's research is to leverage the cutting-edge techniques to close the gaps in our understanding of these problems. A main tool that the PI will use to is mathematical programming, which has been very successful in designing numerous approximation algorithms over the last 3 decades. Some highlights of this proposed research include:_x000D_
LP hierarchy on scheduling precedence-constrained jobs on O(1) identical machines to minimize makespan. The recent breakthrough result of Levey and Rothvoss gave a (1 + epsilon)-approximation algorithm for this problem for unit-size jobs, with a slightly super-quasi-polynomial time algorithm. The PI intends to extend it to non-uniform job sizes._x000D_
LP-based (1+epsilon)-approximation for knapsack covering problem. Knapsack covering constraints appear naturally in many scheduling and other types of problems. To better understand the approximability of these problems, the PI shall study whether we can get a (1+epsilon)-approximation algorithm for Knaspack covering based on an LP relaxation. Resolving it may result in better algorithms for many scheduling problems._x000D_
Time-indexed linear programming relaxation for non-preemptive scheduling. Time-indexed LP relaxations are natural relaxations for many non-preemptive scheduling algorithms. Following his recent work, the PI will further investigate the power of these LP relaxations in deriving improved algorithms for these problems._x000D_
Implementation of algorithms for scheduling in large clusters. The broader impacts of this research include collaboration with researchers from distributed computing community. In a project with his colleagues, the PI has designed a practical algorithm for scheduling data-dependent jobs in large computing clusters. Implementation of a part of the algorithm shows that it runs much faster. For a different part, the PI shall apply a list-scheduling algorithm that is long known to the theory community.Successful completion of the project will yield improved approximation algorithms the scheduling problems studied in the proposal, many of whom possess longstanding gaps in the approximability. Moreover, it will lead to a better understanding of the advanced mathematical relaxation techniques such as LP/SDP hierarchy and round-or-cut paradigm. The new techniques resulted from the research can be broadly applicable in the field of approximation algorithms.This project will involve collaborations with the PI's colleagues in other areas. In a collaboration with Prof. Tevfik Kosar (data-intensive distributed computing), Prof. Atri Rudra (theory) and Prof Jaric Zola (scalable computing), the PI has designed a practical algorithm for a scheduling problem in large data center. Part of the algorithm has been implemented and it works well. The PI plans to continue and expand the collaboration to facilitate more communications between theory and other communities, by applying the algorithmic techniques from theory community to more problems in practice._x000D_
This project will provide research and educational opportunities to both graduate and undergraduate students. The course materials resulted from this research project will be made freely accessible online.</t>
  </si>
  <si>
    <t>1750127</t>
  </si>
  <si>
    <t>Nagarajan</t>
  </si>
  <si>
    <t xml:space="preserve"> Panel Summary       
  SUMMARY OF PROPOSED RESEARCH ACTIVITY_x000D_
_x000D_
_x000D_
_x000D_
PI proposes to develop new methodologies to obtain approximation and online algorithms for large class of combinatorial optimization problems using  the following three themes._x000D_
1. Approximation algorithm via LP/SDP hierarchies. PI proposes to obtain improved approximation for k-median, precedence constrained scheduling and graph mapping problems. PI aims to obtain these results using the strength of stronger LP and SDP hierarchies. _x000D_
2. Discrepancy based methods. PI proposes to develop and use discrepancy based rounding methods to obtain approximation algorithms for problems including unsplittable flow,  degree constrained arborescence and related problems. PI aims to obtain optimal approximation algorithms for these problems via methods that combine iterative rounding and randomized rounding. _x000D_
3. Online algorithms. PI proposes to generalize the online primal-dual schema to problems with convex objectives. PI aims to develop a general framework characterizing the class of convex objectives where the online primal-dual schema applies and gives provable guarantees._x000D_
_x000D_
INTELLECTUAL MERIT_x000D_
Strengths_x000D_
 Many of the problems being attacked by the PI are long standing open problems in the area of approximation and online algorithms. Progress on them would greatly enhance our understanding of the area. The approach outlined for many of the problems by the PI is creative and has significant depth and understanding of the problems at hand.  PI is a strong researcher in the area with a great publication record and is adequately supported by his department and collaborators.  _x000D_
_x000D_
Weaknesses_x000D_
_x000D_
There was concern by some panelists that the list of problems is slightly disjointed. PI gives three themes uniting them but it is not completely clear whether they are as coherent together as the proposal mentions. Other panelists did not consider this an issue._x000D_
_x000D_
_x000D_
Moreover, some of the problems mentioned are long standing open problems. PI has given some ideas to attack it but it is not clear whether the plan is significantly different from previous work. _x000D_
_x000D_
BROADER IMPACTS_x000D_
_x000D_
Strengths_x000D_
_x000D_
The research has potential of significant impact in industry. PI has collaborations with IBM as well as a track record of using new theoretical ideas in practice while an employee at IBM. The online algorithms section is highly relevant to many problems in practice.  PI is also advising female graduate students. PI also proposes k-12 outreach for students as well as high school teachers in a well thought out plan._x000D_
_x000D_
Weaknesses_x000D_
 Some parts of the proposal (algorithms via hierarchies) will have limited impact in practice. PI can be clear when he talks about them in the broader impact section about what he envisions the influence in practice will be. _x000D_
_x000D_
CAREER SOLICITATION-SPECIFIC REMARKS:_x000D_
_x000D_
Letter of institutional commitment. _x000D_
Yes. Adequate._x000D_
_x000D_
Integration of research and education:_x000D_
_x000D_
PI gives a well-thought plan for integrating research and education at multiple levels. He is developing a graduate course on the topic of the proposal. He is also developing an undergraduate course which intersects with the theme of the proposal. PI regularly gives tutorials at various short  schools for graduate students. PI also will outreach to k-12 students and teachers for one-day workshops to expose them to algorithmic concepts. _x000D_
 _x000D_
_x000D_
ADDITIONAL REMARKS_x000D_
_x000D_
Research plan: _x000D_
Adequate. _x000D_
_x000D_
Collaboration plan: _x000D_
Multiple collaborations in industry and academia._x000D_
_x000D_
_x000D_
Data Management Plan: _x000D_
Adequate._x000D_
_x000D_
Results of prior support:  _x000D_
None._x000D_
 _x000D_
_x000D_
Suggestions to PI: _x000D_
The proposal is overall well written. PI can be a bit clearer in outlining how the attack on the various problems in any particular theme are related. Also, be clearer in the broader section about the plan to take algorithms from theory to practice.  _x000D_
_x000D_
Justification for Panel Rating: _x000D_
_x000D_
This is a strong proposal which aims to extend the state of the art in approximation and online algorithms._x000D_
_x000D_
Panel Rating: _x000D_
_x000D_
_ Highly Competitive_x000D_
_x000D_
X_ Competitive_x000D_
_x000D_
_ Low Competitive_x000D_
_x000D_
_ Not Competitive_x000D_
_x000D_
The summary was read by/to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</si>
  <si>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Viswanath Nagarajan is the only person I know his work well._x000D_
Among all reports I had to do. I never met him but _x000D_
I know many of his papers._x000D_
_x000D_
The proposal suggests one technique called lift and project_x000D_
as a try to  solve many central problems (all problems suggested,_x000D_
are very hard and open for a very long time)._x000D_
_x000D_
In the Sherali-Adams method round t speaks on all subsets _x000D_
of size t. Thus the algorithm can apply only a constant number of rounds. There seems to be low probability that a constant number_x000D_
of rounds will change things but to my surprise it does_x000D_
and we got better approximation for many problems._x000D_
_x000D_
In the Sherali-Adams method we can think on the values of sets of size t as a distribution. If U\cup V=x\cup Y  then we need _x000D_
consistency constrains so that U\cup V will have the same value of _x000D_
X\cup Y. These constrains are called consistency constrains._x000D_
_x000D_
There is another lift and project method with PSD programs that is more general than Sherali-Adams. Its called the _x000D_
Lasserre method. But its harder to analyze I think._x000D_
Moreover if you want to implement it,_x000D_
good luck with finding a fast way to solve PSD programs._x000D_
_x000D_
For each lift and project method after polynomial many _x000D_
rounds it gives an exact solution. but they the time is exponential._x000D_
Many time logarithmic number of rounds is enough giving quasi-polynomial running time._x000D_
_x000D_
The first problem that the PI suggests is the classic K-median problem. For a long time, a beautiful 3+\epsilon local search algorithm was the best known._x000D_
Recently this was improved by lift and project Sherali-Adams_x000D_
techniques._x000D_
_x000D_
The authors wants a tight ratio. The lower bound is 1+2/e. A tight ratio? This will takes years if at all. This seems over promising._x000D_
Nevertheless it is rather likely that the PI can improve the best known ratio. It seems that one of the main tools used here _x000D_
is filtering (even if the PI does not describe it this way)._x000D_
_x000D_
Knapsack median is similar except that the centers have weights _x000D_
and the sum of weights of selected centers must be at most k._x000D_
Because the last element in the greedy algorithm _x000D_
usually can not be added, the LP has unbounded integrality gap._x000D_
Even if you add all covering Knspsack constrains._x000D_
The PI suggest a technique similar to filtering_x000D_
gives a constant gap, and says that its equivalent to 2 levels SA lift and project. An interesting observation._x000D_
_x000D_
Constrained MAX-CSP is a very large collection of problems that contain the max cut problem. The max cut problem is well understood_x000D_
in the sense that for every value of the optimum there is an optimal _x000D_
approximation given the unique game conjecture._x000D_
_x000D_
However if you impose cardinality constrains there are no known tight ratios as far as I know._x000D_
_x000D_
The question posed here is if we add constrains that related to the graph, can you give 1/2 ratio for bounded tree width. The PI and his Ph. D. student have some preliminary results._x000D_
_x000D_
The next problem is perhaps the most classic in scheduling._x000D_
Scheduling jobs on m machines with precedence constrains._x000D_
Note that because there is a hardness for general M,_x000D_
the question is only on constant number of machines._x000D_
There is an algorithm mentioned in another proposal that gives _x000D_
a 1+epsilon approximation in time higher than quasipoly (but subexponential). The PI suggest two Sherali-Adams algorithms that _x000D_
look promising. Even though I doubt if they will give polynomial time. _x000D_
_x000D_
The PI states that: will investigate new rounding algorithms based on hierarchies_x000D_
that can handle a variety of global constraints such as connectivity_x000D_
_x000D_
First of all please write we and not I. Second, I do not understand what this means. The t round constrains can not give anything beyond distribution on sets of size t._x000D_
_x000D_
One nice things about these lift and project is that almost always not all variables are used and in fact sometimes very few variables are used. A very nice example in a ratio 2 for the sparsest cut on bounded tree width graphs (Gupta et al). This very significantly improves a previous approximation that used basically all variables. _x000D_
_x000D_
The next problem is also general._x000D_
The input to the graph mapping problem_x000D_
(GraphMap) consists of two graphs H = (V,E) and G = (U, F). The GraphMap problem involves_x000D_
assigning vertices of the graph G (referred to as guest) to vertices of graph H (referred to as host) so as_x000D_
to minimize the total "stretch" incurred by edges of G. namely the distance in the new graph (or the distance on the new graph over the length of e in the original graphs in the weighted case)._x000D_
_x000D_
The challenge by the Author is to find polynomial time polylog ratio  _x000D_
for this very general problem via the Lasserre kift and project  technique. This seems required. The sparsest cut LP has integrality gap log n but the Negative metric SDP has O(\sqrt{log n}) gap._x000D_
_x000D_
This looks as a bit too hard of a challenge. But for specific _x000D_
examples its quite possible that the PI will improve the ratio._x000D_
_x000D_
All the discussion of the Diirected Steiner tree looks bogus to me. _x000D_
The lift and project techniques do not give better than the _x000D_
greedy techniques. I am quite sure that the Directed Steiner problem has  no polynomial time polylog ratio._x000D_
_x000D_
The PI states several other long open question such as the _x000D_
Beck-Fiala Problem on Matroids and the directed tree with minimum maximum  degree. IT is frustrating that unlike undirected graphs,_x000D_
we have to violate the maximum degree by 2. Many tried to improve it to 1._x000D_
Its a very difficult and by now long time open question._x000D_
And several other seminal open questions including some _x000D_
in on-line algorithms._x000D_
_x000D_
In the context of the five review elements, please _x000D_
evaluate the strengths and weaknesses of the proposal with respect to broader impacts._x000D_
_x000D_
There is no broader impact. The PI says that _x000D_
his improve results may be used in a practical setting. _x000D_
The PI also reminds us of his years in IBM._x000D_
_x000D_
I am not sure the PI is serious here. Lift and project techniques _x000D_
can not be implemented in nearly linear time which is the only thing_x000D_
the industry will accept (also small constants etc)._x000D_
_x000D_
I do not think that the lack of Broader impact should be _x000D_
a problem for the first grant submission. But I would expect_x000D_
that the NSF would just reject future grants if the PI does such a poor job in the broader impact section._x000D_
_x000D_
Please evaluate the strengths and _x000D_
weaknesses of the proposal with respect to any additional solicitation-specific review criteria, if _x000D_
applicable_x000D_
_x000D_
The strength is that the problem are central. The PI is a very strong researcher, and the proposal is likely to produce high level theoretical_x000D_
papers. The weakness of lack of broader impact could be forgiven in my opinion in the first grant proposal. Every very strong researcher _x000D_
should have an approve proposal without broader impact (they are young._x000D_
We cant expect much broader impact). But not in any future proposals._x000D_
_x000D_
The PI as usual promises more than he is likely to solve._x000D_
If you think this is an issue, then its a weakness._x000D_
_x000D_
Summary Statement_x000D_
_x000D_
It seems relatively speaking _x000D_
an above the average (for this panel) proposal._x000D_
Solid question. Solid explanation on how_x000D_
these problems may be solved._x000D_
_x000D_
</t>
  </si>
  <si>
    <t xml:space="preserve">In the context of the five review elements, please _x000D_
evaluate the strengths and weaknesses of the proposal with respect to intellectual merit._x000D_
_x000D_
Strengths:_x000D_
_x000D_
The propose seeks to address several fundamental problems in the theory of approximation algorithms via mathematical programming relaxations. All of the problems have attracted significant attention and therefore any progress would be of interest in the approximation algorithms community._x000D_
_x000D_
The PI has obtained several important results in approximation algorithms, so I believe he is well-qualified to conduct the proposed research._x000D_
_x000D_
Weaknesses:_x000D_
_x000D_
I believe the main weakness of the proposal is that it feels as a collection of (very interesting) open problems, with very little in common. The PI has organized the problems in three main categories, but I don't see a significant amount of shared methods and ideas. Most importantly, I did not understand what is the overreaching goal of this proposal, apart from making progress on individual problems._x000D_
_x000D_
The proposed method for obtaining an improved approximation algorithm for the Directed Steiner Tree problem is not described in adequate detail. It is therefore hard to evaluate how plausible the research plan is for this particular problem._x000D_
_x000D_
Similarly, the plan for addressing Single-Source Unsplittable Flow is lacking._x000D_
_x000D_
_x000D_
In the context of the five review elements, please _x000D_
evaluate the strengths and weaknesses of the proposal with respect to broader impacts._x000D_
_x000D_
Strengths:_x000D_
_x000D_
The PI is a former research staff member at IBM, and some of his research work on scheduling has been implemented in one of IBM's products. Therefore, he is in a position to transfer his findings to applied domains._x000D_
_x000D_
Please evaluate the strengths and _x000D_
weaknesses of the proposal with respect to any additional solicitation-specific review criteria, if _x000D_
applicable_x000D_
_x000D_
The outreach component of the proposal seems adequate._x000D_
_x000D_
Summary Statement_x000D_
_x000D_
Overall, this proposal seeks to address important problems in the theory of approximation algorithms. The main weakness is the lack of a "bigger picture" that would transform this collection of open problems to a cohesive long-term research agenda._x000D_
_x000D_
</t>
  </si>
  <si>
    <t xml:space="preserve">In the context of the five review elements, please _x000D_
evaluate the strengths and weaknesses of the proposal with respect to intellectual merit._x000D_
_x000D_
PI proposes to develop new algorithmic techniques to use mathematical programs for approximation and online algorithms. For approximation algorithms, PI focuses on obtaining improved algorithms using hierarchies of mathematical programming relaxation for problems ranging from constrained satisfaction problems to scheduling. The other direction is to use discrepancy based algorithms and resolving some long standing open problems. _x000D_
_x000D_
There have been very few results that have obtained positive results using hierarchies and this proposal gives some concrete directions in that regard. _x000D_
_x000D_
PI also proposes to generalize the online primal-dual framework by incorporating convex objectives. This approach has been very successful in the last few years and PI has already obtained some preliminary results generalizing it. _x000D_
_x000D_
PI is an expert in the area of research proposed and is adequately supported._x000D_
_x000D_
In the context of the five review elements, please _x000D_
evaluate the strengths and weaknesses of the proposal with respect to broader impacts._x000D_
_x000D_
PI proposes various methods for broader impact, including k-12 outreach for students and teachers. PI also developing courses at undergraduate and graduate level and is actively advising students. The research of the proposal will have significant impact on the area of approximation and online algorithms._x000D_
_x000D_
Please evaluate the strengths and _x000D_
weaknesses of the proposal with respect to any additional solicitation-specific review criteria, if _x000D_
applicable_x000D_
_x000D_
_x000D_
_x000D_
Summary Statement_x000D_
_x000D_
The proposal aims to advance the state of the art in the area of approximation and online algorithms._x000D_
_x000D_
</t>
  </si>
  <si>
    <t xml:space="preserve">In the context of the five review elements, please _x000D_
evaluate the strengths and weaknesses of the proposal with respect to intellectual merit._x000D_
_x000D_
The PI proposes a study of approximation and on-line algorithms for optimization problems.  These are areas in which the PI has had a steady rate of solid contributions over many years.  _x000D_
_x000D_
Approximation algorithms have been one of the most-studied topics in TOC over the last two decades.  The PI proposes to advance the area by exploiting LP and SDP hierarchies and recent advances in discrepancy theory.  These are also hot topics in the field.  _x000D_
_x000D_
If the proposed research is successful, it will advance our ability to solve many optimization problems.  Of the problems the PI intends to tackle using hierarchies, I think the k-median, precedence constrained scheduling and graph mapping problems are the most promising.  I found the graph-constrained Max-CSP problem to be poorly motivated: I can not figure out why I would want to solve this problem.  Of the problems to be solved using discrepancy, I consider the single-source unsplittable flow problem to be of most interest._x000D_
_x000D_
The proposed research on online primal-dual algorithms looks very interesting and looks like it could be very useful in many practical domains._x000D_
_x000D_
For each of the problems listed, the PI has provided evidence that he has a reasonable approach to solving it either through past success or a sketch of an approach.  So, I believe that the PI will be capable of solving many of these problems.  _x000D_
_x000D_
_x000D_
In the context of the five review elements, please _x000D_
evaluate the strengths and weaknesses of the proposal with respect to broader impacts._x000D_
_x000D_
The broader impacts of the proposal are very strong.  The PI will give guest lectures in a local high school and provide workshops for math teachers.  At the undergraduate level,  the PI has created a valuable course and will advise undergraduates.  Graduate and masters students who work with the PI will have terrific job prospects._x000D_
_x000D_
The PI also has active collaborations with industry which should help bring the results of his research into practice._x000D_
_x000D_
_x000D_
Please evaluate the strengths and _x000D_
weaknesses of the proposal with respect to any additional solicitation-specific review criteria, if _x000D_
applicable_x000D_
_x000D_
_x000D_
_x000D_
Summary Statement_x000D_
_x000D_
This is a strong proposal for work in approximation algorithms by a researcher who has made steady progress in the area for almost a decade.  The broader impacts are also unusually strong._x000D_
_x000D_
_x000D_
</t>
  </si>
  <si>
    <t>Numerous applications in areas such as logistics, telecommunication, robotics, machine learning and healthcare, are routinely modeled and solved as combinatorial optimization problems. In today's digital age, data collection and storage is inexpensive. The bottleneck lies in our ability to solve increasingly larger problem instances efficiently. For most of these problems, it is intractable to design exact algorithms due to computational and/or informational limitations. Approximation and online algorithms offer a way around this difficulty, by computing provably near-optimal solutions. This proposal will develop new techniques in this area by investigating:_x000D_
1. Algorithms based on convex-programming hierarchies._x000D_
2. New rounding algorithms based on recent advances in algorithmic discrepancy._x000D_
3. Online primal-dual framework for convex objectives._x000D_
This proposal involves designing general algorithmic techniques (and identifying problem classes to which these apply) as well as solving specific open problems (eg. k-Median, directed Steiner tree, the Beck-Fiala conjecture, unsplittable flow and online multicommodity routing)._x000D_
_x000D_
Keywords: approximation algorithms, online algorithms, mathematical programming, rounding, network design.This proposal will significantly advance mathematical-programming techniques used in approximation and online algorithms. If successful, this would resolve fundamental open questions in theoretical computer science, and also expand the applicability of these techniques to other areas such as combinatorics and operations research. Our approach will establish and strengthen connections of theoretical computer science to various fields of mathematics such as discrepancy theory, geometry, graph theory, optimization, linear algebra and probability.The specific problems studied here are directly relevant to applications in cloud computing, telecommunication, robotics and supply-chain management. For these applications, the PI will draw on his prior industry experience and collaborate with several industry colleagues to disseminate the research and assess its practical impact. The educational aspect of this proposal involves training undergraduate and graduate students, developing new course material and organizing a workshop for high-school teachers.</t>
  </si>
  <si>
    <t>1750140</t>
  </si>
  <si>
    <t>Panigrahi</t>
  </si>
  <si>
    <t xml:space="preserve"> Panel Summary       
 SUMMARY OF PROPOSED RESEARCH ACTIVITY_x000D_
Description: _x000D_
_x000D_
This proposal aims to investigate a number of new aspects of classic graph algorithmic problems. These aspects are motivated by modern real world applications of graph algorithms. The research plan is organized around the following three directions: _x000D_
_x000D_
(1) Network Design under Uncertainty._x000D_
(2) Correlated Network Effects._x000D_
(3) Fast Algorithms for Large Networks._x000D_
_x000D_
INTELLECTUAL MERIT_x000D_
_x000D_
Strengths_x000D_
+ The research goals pursued are touching on important aspects and limitations of the existing graph algorithmic framework. Progress on them would likely lead to development of interesting new techniques._x000D_
+ The PI has a strong track record in graph algorithms research._x000D_
+ The indicated directions of inquiry are likely to address important challenges that real world graph algorithms are currently facing._x000D_
_x000D_
_x000D_
_x000D_
Weaknesses_x000D_
- The stated research objectives were compelling, but given the PI's track record, there was an impression that an even more ambitious research plan could have been proposed._x000D_
_x000D_
BROADER IMPACTS_x000D_
_x000D_
Strengths_x000D_
+ The PI is heavily involved in outreach activities both for non-CS majors and high school students. _x000D_
+ The PI has a strong desire and experience in connecting to industry, with the goal of making some of the theoretical research in graph algorithms have an actual real world impact._x000D_
_x000D_
CAREER SOLICITATION-SPECIFIC REMARKS:_x000D_
Letter of institutional commitment. _x000D_
Integration of research and education: _x000D_
_x000D_
The research agenda of the PI is well integrated with his teaching and advising activities._x000D_
_x000D_
_x000D_
ADDITIONAL REMARKS_x000D_
Research plan: _x000D_
Collaboration plan: _x000D_
Postdoc Mentoring plan: _x000D_
Data Management Plan: Adequate_x000D_
Results of prior support: Adequate_x000D_
_x000D_
Suggestions to PI:_x000D_
Overall, the proposal was viewed as well written. The main aspect that could be improved is relating to the lack of goals that would have a truly transformational potential._x000D_
_x000D_
Also, the sentence "The PI will continue to actively recruit women and other underrepresented groups in his research group." could be viewed as a blanket and even somewhat patronizing statement. _x000D_
_x000D_
Justification for Panel Rating: _x000D_
_x000D_
The panel recognized and appreciated the PI's commitment to connecting his theoretical research to actual real world graph algorithmic problems. The resulting research plan was viewed as compelling, even though it is focusing on relatively modest goals. _x000D_
_x000D_
_x000D_
Panel Rating: _x000D_
_ Highly Competitive_x000D_
X_ Competitive_x000D_
_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</si>
  <si>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project considers several inter-connected groups of graph problems._x000D_
(a) Network Design under Uncertainty. Essentially, this area is dynamicalgorithms trying to achieve good online performance ratio._x000D_
(b) Correlated Network Effects. It studies connectivity problems_x000D_
under the assumption that vertex/edge failures are dependent (called_x000D_
hedge connectivity)._x000D_
(3) Fast Algorithms for Large Networks. Given a large graph, it is allowed topre-process it so that certain problems can be solved in sub-linear time afterwards._x000D_
_x000D_
While some of these problems are not completely new, they are_x000D_
interesting problems worth investigation. For each area, the PI_x000D_
considers a group of connected problems. They are well motivated_x000D_
and interesting. The methods for solving them are vague sometimes._x000D_
_x000D_
In the context of the five review elements, please _x000D_
evaluate the strengths and weaknesses of the proposal with respect to broader impacts._x000D_
_x000D_
The proposed problems have real world applications, which will_x000D_
benefit from the results of this project. The PI is currently_x000D_
conducting research with industrial collaborators._x000D_
_x000D_
The proposal discussed plans for undergraduate training, and_x000D_
graduate student mentoring. A new course partially based on the_x000D_
problems discussed in this proposal is planed._x000D_
_x000D_
_x000D_
Please evaluate the strengths and _x000D_
weaknesses of the proposal with respect to any additional solicitation-specific review criteria, if _x000D_
applicable_x000D_
_x000D_
_x000D_
_x000D_
Summary Statement_x000D_
_x000D_
The proposed project studies a set of closely related problems._x000D_
Each area is well motivated and specific goals are clearly_x000D_
described. The concrete approach for attacking them is somehow vague._x000D_
_x000D_
The PI has two current/previous NSF grants, and has done good work in_x000D_
this area. He is well qualified for the proposed research. This_x000D_
project seems fit the PI's long term career goal well._x000D_
_x000D_
The Departmental letter shows strong support and commitment_x000D_
for the professional development of the PI._x000D_
_x000D_
</t>
  </si>
  <si>
    <t xml:space="preserve">In the context of the five review elements, please _x000D_
evaluate the strengths and weaknesses of the proposal with respect to intellectual merit._x000D_
_x000D_
strengths:_x000D_
+ This is a nice proposal, and the research suggested is very timely, given the advent of large networks/big data._x000D_
+ the problems that will be studied will provide improved and faster algorithms that could be a great practical importance in network design._x000D_
+ the problems studied are also interesting theoretically, and the research, if successful will advance knowledge in online/dynamic  algorithms, as well as answer some theoretical graph and hyper graph questions_x000D_
+ well written proposal, the PI is very qualified to conduct the proposed research_x000D_
_x000D_
weaknesses:_x000D_
- There is not concrete plan of attack of many of the questions suggested. _x000D_
_x000D_
_x000D_
_x000D_
In the context of the five review elements, please _x000D_
evaluate the strengths and weaknesses of the proposal with respect to broader impacts._x000D_
_x000D_
strengths:_x000D_
+ there are a lot of practical applications, and the PI is already collaborating with industry to implement his algorithms and ideas._x000D_
+ potential large impact in industry and practical applications_x000D_
+ the PI is involved with undergrad advising, which has been very successful._x000D_
_x000D_
weaknesses:_x000D_
-I found the educational aspect adequate for an NSF "small" proposal, but somewhat lacking for a 5-year CAREER educational plan._x000D_
-somewhat boilerplate mention of "female and minority" recruitment. I did not see a significantly large involvement of the PI with outreach (in what he explains in the proposal), so I would rather have avoided sec boilerplate statements._x000D_
_x000D_
Please evaluate the strengths and _x000D_
weaknesses of the proposal with respect to any additional solicitation-specific review criteria, if _x000D_
applicable_x000D_
_x000D_
_x000D_
_x000D_
Summary Statement_x000D_
_x000D_
This proposal studies graph algorithms in relevance to "modern" network needs. The main thrusts of the proposal are network design under uncertainty (online/changing over time requirements), correlated network effects (links that fail not independently) and "big data" algorithms for large networks.  It is a nice proposal, with a lot of potential practical applications, that would be proven very useful in today's large network world. The educational aspect is nice, though somewhat lacking in outreach and other aspects. Overall a good proposal._x000D_
_x000D_
_x000D_
</t>
  </si>
  <si>
    <t xml:space="preserve">In the context of the five review elements, please _x000D_
evaluate the strengths and weaknesses of the proposal with respect to intellectual merit._x000D_
_x000D_
One of the better proposals. The subjects discussed _x000D_
are among the latest rage. A real Broader impact is possible._x000D_
_x000D_
The first subject is network design under uncertain future._x000D_
Clearly this is closer to model real industry projects._x000D_
_x000D_
What happens to connectivity problems when demands change in the middle of the computation? This is a good and realistic question._x000D_
_x000D_
The first task suggested is on-line algorithms for connectivity problems _x000D_
when terminals may arrive or depart. The algorithm is given some_x000D_
latitude in changing some previous decisions. This is usually called on-line algorithms with regret and is not that new._x000D_
The number of decisions that can be changed is usually proportional _x000D_
to the number of terminals._x000D_
_x000D_
Another problem which may be difficult is Steiner network,_x000D_
when demands change. If the algorithm has O(1) _x000D_
ability to change per terminal, its not known if there is an _x000D_
on-line constant competitive ratio._x000D_
_x000D_
Dynamic problem are offline problems that, however, require_x000D_
to be able to change the solutions if the demands change. _x000D_
Like dealing with queries._x000D_
The PI instead suggest the possibility of changing previous decisions._x000D_
In this case the Steiner tree problem is suggested and the question _x000D_
is if when a change occur, can we change our solution_x000D_
by revoking a constant number of previous decisions and get a good ratio?_x000D_
Including in the case that the graph changes._x000D_
The optimum goal would be to give O(1) update time if the algorithm _x000D_
is allowed to a limited regret. _x000D_
_x000D_
What the PI speaks about is closely connected to Robust optimization. For example in the two stages robust_x000D_
optimization the algorithm does not know the demands _x000D_
For example consider the Steiner Forest _x000D_
problem. The algorithm needs to make decisions _x000D_
before it knows who the pairs are. _x000D_
The algorithm has to buy (cheaply) in advance some "universal" collection of edges. After this buy, the prices go up. _x000D_
Then the pairs to be connected _x000D_
are revealed and then the algorithm needs to update _x000D_
the solution into a feasible one. This means that the first chosen_x000D_
edges are "universal" in some sense. They help any scenario _x000D_
that arrives._x000D_
_x000D_
A one shot version of this model is a solution that has to be a good _x000D_
solution for various inputs (with some restriction on the inputs allowed). The latter model is interesting for facility location problem for example. The former model (two stage) model was studied for shortest path, Steiner Tree, Steiner forest, min cut and many other problems._x000D_
_x000D_
A seemingly new model is decomposing the edges to subsets and _x000D_
having a subset working or failing. Usually this is only studied _x000D_
for one edge sets. The minimum cut under this model can be solved _x000D_
in polynomial time but not much more can. Node failures lead to non submodular minimization. The PI (not surprisingly) et al show that _x000D_
if we deal with global cuts, the problem is much simpler._x000D_
Still finding minimum cut under node failures is an open problem._x000D_
_x000D_
In addition the edges may have probabilities to fail (this was studied quite a lot). Edges that fail may cause other edges to fail since _x000D_
these edges can overload other edges. The PI calls this cascading cuts._x000D_
_x000D_
In the big data type of problems the PI suggest something very popular _x000D_
right now. Under almost near-linear time, give approximating  approximation algorithms for the Steiner tree and Steiner forest problems. A typical goal is _x000D_
to Obtain a near-linear time algorithm for the Steiner tree problem with an approximation factor_x000D_
of 2-&amp;#949; for some constant &amp;#949; &gt; 0, or show that this is impossible._x000D_
_x000D_
Recently there was a lot of work about showing time lower bound for problems. As usual its under assumption that come from the fact that certain problems seem to resist better running times. Lets say that all pairs shortest paths can not be solved better than Omega(N^3)._x000D_
What lower bound can we prove? _x000D_
It turns out that many lower bounds can be proven._x000D_
The PI, if _x000D_
he knows those studies could use them. I would suggest a  question: Show that if only linear time is allowed,_x000D_
vertex cover is 2-inapproxiamable._x000D_
_x000D_
In the context of the five review elements, please _x000D_
evaluate the strengths and weaknesses of the proposal with respect to broader impacts._x000D_
_x000D_
I know a lot of the work on this PI. The on-line algorithm for Steiner forest via disk painting is a lovely paper. We are talking on an unusually strong researcher._x000D_
_x000D_
This a proposal may indeed lead to software _x000D_
that will be sold in the market. The author is engaging in practical_x000D_
real time application with Bruce Maggs from Akamai._x000D_
They do not do theory i Akamai as far as I know._x000D_
_x000D_
The PI also spends time in designing _x000D_
real-time route-planning problems in large networks_x000D_
with Ravi Kumar and others in google. Again this seems to indicate_x000D_
that the PI inserted hiself into a truly practical project._x000D_
_x000D_
Please evaluate the strengths and _x000D_
weaknesses of the proposal with respect to any additional solicitation-specific review criteria, if _x000D_
applicable_x000D_
_x000D_
The PI has a lot of money and got a lot of money from NSF_x000D_
The PI asks for 600000 dollars which will make his total grant money _x000D_
well over a million dollars._x000D_
_x000D_
Is this the reason that people from say universities ranked below 50 in the USA are not even submitting career grants etc?_x000D_
_x000D_
Summary Statement_x000D_
_x000D_
In my opinion a highly competitive proposal._x000D_
_x000D_
</t>
  </si>
  <si>
    <t xml:space="preserve">In the context of the five review elements, please _x000D_
evaluate the strengths and weaknesses of the proposal with respect to intellectual merit._x000D_
_x000D_
This proposal aims to advance the state of the art of graph algorithms in three directions:_x000D_
_x000D_
* Network design under uncertainty_x000D_
* Correlated network effects_x000D_
* Fast algorithms for large networks_x000D_
_x000D_
These direction touch on some of the emerging challenges that the graph algorithms face in the real world. The questions they lead to are quite intriguing from a purely theoretical view too. In particular, they seem to stretch the existing, classic algorithms frameworks in a new and interesting way. This suggests that work on resolving them might lead to new tools and techniques. _x000D_
_x000D_
Also, the PI has a strong track record in this domain. It is also clear that he has a good grasp of what are the underlying difficulties in pursing the goals he outlined. _x000D_
_x000D_
The main criticism is that, even though the proposed research agenda is genuinely interesting, it also feels only moderately ambitious. That is, this agenda seems to aim to "merely" expand the current landscape of graph algorithms in an important but somewhat natural way. Given the nature and goals of the CAREER awards, one would expect that at least some of the proposed directions also tried to transform the landscape of graph algorithms or make progress on central challenges in the field._x000D_
_x000D_
This weakness might stem from the fact that the author has keen interest in transferring some of the developed ideas to industrial setting. And that's an important goal and merit by itself. (It would be helpful though to have the plans in that regard fleshed out a bit more.)_x000D_
_x000D_
In the context of the five review elements, please _x000D_
evaluate the strengths and weaknesses of the proposal with respect to broader impacts._x000D_
_x000D_
The broader impacts aspect of the proposal is strong. Two points that particularly stand out:_x000D_
_x000D_
* The PI's desire to ensure that the theoretical research in graph algorithms has also a real world impact. His track record and industrial connections suggest that he is genuinely committed in that regard. And this kind of efforts are important, rare and very much needed._x000D_
_x000D_
* The PI is heavily engaged in outreach activities. Both at the undergraduate (reaching out to non-CS majors) and high-school level._x000D_
_x000D_
Please evaluate the strengths and _x000D_
weaknesses of the proposal with respect to any additional solicitation-specific review criteria, if _x000D_
applicable_x000D_
_x000D_
_x000D_
_x000D_
Summary Statement_x000D_
_x000D_
This is an interesting proposal. It has some shortcomings. But these shortcomings might be due to its a bit unusual profile that stems from the PI's desire to connect his theoretical research to real world applications._x000D_
_x000D_
</t>
  </si>
  <si>
    <t>For more than fifty years, graph algorithms have played a central role in the advancement of computer science, both from a theoretical and a practical perspective. Modern networks have evolved in scale, structure, and functionality, inspiring new models, problems, and algorithms. This proposal focuses on three research thrusts for modern network algorithms: the need to handle uncertainty, network correlations, and unprecedented scale. The overarching goal of this research is to devise an intellectually richer, more robust, and practically useful theory of graph algorithms._x000D_
(a) Network design under uncertainty: In real-world networks, the requirements of a network as well as its underlying graph theoretic structure can change over time. Moreover, in some situations such as future network planning, the requirements are mere predictions, which can be inaccurate. This proposal gives two algorithmic models for handling such uncertainty, limited recourse and range-robust optimization, and identifies the key algorithmic challenges in these settings. _x000D_
(b) Correlated network effects: The vast literature in graph algorithms assumes independent failure of network links, whereas real world networks typically exhibit strong correlation based on geographical proximity, common ownership and management, or simply cascade effects. This proposal outlines a comprehensive study of graph connectivity and reliability under correlated network failure. _x000D_
(c) Fast algorithms for large networks: Modern networks are gigantic, and often allow dynamic control (e.g., via SDN) requiring network algorithms to be highly efficient. In this context, one often desires near-linear running times, leading to fine-grained complexity requirements beyond polynomial solvability. This proposal explores highly efficient algorithms for classical problems in global connectivity and network design, focusing on the role of approximation in improving algorithmic efficiency by bringing recent insights in randomized and spectral techniques in play.This project aims to advance the state-of-the-art in graph algorithms. Networks lie at the heart of much of modern computer science, from data centers to deep neural nets to social computing. This project aims to identify a set of salient, unifying features of modern networks (uncertainty, correlation, and scale) that lead to fundamental and novel algorithmic challenges. Successful completion of the project will push the boundaries of theoretical computer science by developing an intellectually richer theory of graph algorithms, bring this theory closer to the real world by making it more practical and robust, and help build bridges with practitioners in multiple domains where networks play a central role. The proposal includes a mix of new models and problem domains, and new approaches to tackle classical questions. The first class of problems helps expand the role of graph algorithms and create new lines of inquiry contributing to the breadth of the field, while research of the second kind inspires new ideas and tools adding to the depth of the area. Furthermore, the PI expects that techniques developed in the proposed research will also be widely applicable to algorithms in other domains.Graph algorithms benefit a wide range of researchers, technologists, decision makers, and the broader population in everyday activities, and the proposed research will enhance the capabilities of this diverse set. The PI has current collaborations with industry colleagues in Google and Akamai on route planning in large networks and network expansion planning projects respectively that will benefit from the proposed research. The research program in this proposal also ties in with the teaching goals of the PI, including a new graduate course in graph algorithms that the PI has developed at Duke University. The PI is also organizing a workshop that will bring together researchers under the theme: Networks: Algorithms, Data, and Systems. This proposal will also help recruit and train students at Duke University in theoretical computer science, both at the graduate and undergraduate levels, with particular emphasis on gender diversity and participation from under-represented groups. The results obtained in this project will be widely disseminated via publications in top-tier journals such as JACM, SICOMP, etc. and conference proceedings of FOCS, STOC, SODA, etc.</t>
  </si>
  <si>
    <t>1750302</t>
  </si>
  <si>
    <t>Dinitz</t>
  </si>
  <si>
    <t xml:space="preserve"> Panel Summary       
 _x000D_
SUMMARY OF PROPOSED RESEARCH ACTIVITY_x000D_
_x000D_
Description:_x000D_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(1) T-spanners, (2) distance oracles, and (3) distance bounded network design. _x000D_
_x000D_
The PI will continue his work with (especially networking) practitioners. _x000D_
_x000D_
 _x000D_
_x000D_
INTELLECTUAL MERIT_x000D_
_x000D_
Strengths_x000D_
_x000D_
+ The description of the research area was beautifully written. _x000D_
+ The topic of the proposal is appealing._x000D_
+ The connection to networking was interesting._x000D_
+ The PI's prior work on this topic is impressive._x000D_
+ The PI Highlights many problems that fit within a unified framework. He seems to be the right person to attack these problems in a unified way. _x000D_
_x000D_
_x000D_
Weaknesses_x000D_
_x000D_
- The panel was concerned that the proposed work didn't seem to be as exciting or groundbreaking as the PI's prior work on the topic.  It seemed as though the PI broke new ground in prior work, and the proposed work is less ambitious. Said differently, there are lots of variations on existing problems without enough vision.  This impression was shared by most members of the panel, and was strengthened because the proposal spends a large proportion of space describing the PI's prior accomplishments. Perhaps the PI is not looking far enough into the future or not going deep enough into target applications._x000D_
_x000D_
_x000D_
BROADER IMPACTS_x000D_
_x000D_
_x000D_
Strengths_x000D_
_x000D_
+ The panel greatly appreciated the PI's interest in diversity._x000D_
+ The PI is working with other systems researchers. _x000D_
_x000D_
_x000D_
Weaknesses_x000D_
_x000D_
- What are the connections between the proposal areas and other areas? Under what circumstances would researchers in applied areas care about these techniques?_x000D_
_x000D_
_x000D_
ADDITIONAL REMARKS_x000D_
_x000D_
The research plan is clear and appropriate. _x000D_
_x000D_
The Data Management Plan is above threshold for this project._x000D_
_x000D_
The results of prior support are clearly stated._x000D_
_x000D_
 _x000D_
_x000D_
Suggestions to PI:_x000D_
_x000D_
As discussed above, the panel would have liked to see a research plan that is as ambitious/visionary as the PI's past work._x000D_
_x000D_
_x000D_
 _x000D_
_x000D_
Justification for Panel Rating: _x000D_
_x000D_
This is a well written and organized proposal. The panel found the research topic compelling, but had some concern about the proposed problems.  The panel appreciated the educational and broad impacts on the project. Consequently, the panel rated this proposal as low competitive.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_x000D_
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</si>
  <si>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Optimizing Distances: Compression and Network Design_x000D_
_x000D_
L: 1750302 Dinitz, Michael Johns Hopkins University $  507,459_x000D_
_x000D_
_x000D_
P180207 LC AF CAREER/CRII Panel A (14 panelists; 1 decl confl),_x000B_  on 10/24/2017, recommended as Low Competitive (E/V,V,V/G,V/G)_x000D_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</si>
  <si>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is a beautifully crafted and well written proposal. It explains the problem, gives a sense of the high level techniques, and conveys excitement. 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_x000D_
_x000D_
- T-spanners. These are sparsified graphs. The idea is to remove edges and obtain a graph where the distances have a stretch bound of t. Variations/metrics include: minimizing the max degree, achieving fault tolerance, improving basic bounds for specific graphs, and spanners only for certain pairs of nodes._x000D_
_x000D_
- Distance oracles. These are data structures that efficiently encode distances.  Variations include: minimizing space, time, the distance approximation, etc. _x000D_
_x000D_
- Distance bounded network design. Here the objective is to find subgraphs where the distance between particular pairs is at most (rather than approximates) some quantity._x000D_
_x000D_
The PI is well qualified, and the proposal is well reasoned and truly a pleasure to read. _x000D_
_x000D_
_x000D_
In the context of the five review elements, please _x000D_
evaluate the strengths and weaknesses of the proposal with respect to broader impacts._x000D_
_x000D_
The proposal addresses problems, which the PI is well-positioned to solve. Solutions from this research project have the potential to help other areas of computer science and engineering. While much of the proposed work is theoretical, the PI has a sincere interest in application areas (e.g., networking), and he works with more systems colleagues._x000D_
_x000D_
_x000D_
Please evaluate the strengths and _x000D_
weaknesses of the proposal with respect to any additional solicitation-specific review criteria, if _x000D_
applicable_x000D_
_x000D_
_x000D_
_x000D_
Summary Statement_x000D_
_x000D_
Because of the important research problems, the highly qualified PI, and the beautifully crafted proposal, I view this as a VG/E proposal._x000D_
_x000D_
</t>
  </si>
  <si>
    <t xml:space="preserve">In the context of the five review elements, please _x000D_
evaluate the strengths and weaknesses of the proposal with respect to intellectual merit._x000D_
_x000D_
This proposal studies graph spanners and distance oracles.  The standard question in this setting is: given a dense graph (or metric space), find a small representation in which no pairwise distance is inflated by more than some factor.  Most work fixes the desired size and tries to minimize the distortion.  The proposal suggests looking at the dual problem: fix the distortion and find the smallest representation that guarantees that target distortion.  The PI also looks at related problems, like finding a small representation that is accurate for a subset of vertex pairs, or has bounded max degree, etc.  _x000D_
_x000D_
The PI does a good job explaining the problems and proposed work.  The work seems to have applications in other fields, as indicated by a paper of the PI, and could be transformative in those fields. The PI clearly has the right background to address these questions._x000D_
_x000D_
However, the proposal does not seem to include any substantially new direction; it is heavily based off prior work of the PI.  The suggested approaches are fairly obvious things to try given the state of the art, and there is little explanation of why some approaches are more tractable than others.  I also missed discussion of which problems are short, medium, or long-term goals, despite a discussion towards the beginning of how the plan is to work on short and long-term goals simultaneously as a hedging strategy (nothing wrong with that; I just wanted to know which problems were which)._x000D_
_x000D_
In the context of the five review elements, please _x000D_
evaluate the strengths and weaknesses of the proposal with respect to broader impacts._x000D_
_x000D_
The PI has a clear passion for broader impacts, particularly for promoting diversity in CS.  I was pleased to learn about his role as "diversity ambassador" at his institution.  This broader impact was accompanied by teaching and mentoring-related impacts.  The PI also demonstrated a passion for these activities._x000D_
_x000D_
Please evaluate the strengths and _x000D_
weaknesses of the proposal with respect to any additional solicitation-specific review criteria, if _x000D_
applicable_x000D_
_x000D_
_x000D_
_x000D_
Summary Statement_x000D_
_x000D_
While there is room for improvement as outlined above, this is still a good proposal, and the PI has a promising career.  It should be funded if possible._x000D_
_x000D_
</t>
  </si>
  <si>
    <t xml:space="preserve">In the context of the five review elements, please _x000D_
evaluate the strengths and weaknesses of the proposal with respect to intellectual merit._x000D_
_x000D_
Strengths:_x000D_
_x000D_
The proposal outlines a research agenda for exploring optimization problems related to compression and network design in metric spaces. The problem of compressing a metric space has received a lot of attention, both in mathematics and in computer science. The high-level goal is to simplify the metric space by embedding it into a simpler host space, or a simpler (e.g. sparse) graph, while preserving all pairwise distances up to some small factor. For many important cases, prior work has established tight or nearly-tight bounds for the worst-case. For example, what is the best possible trade-off between distortion and edge density. The proposal focuses on optimization problems that seek to obtain the best possible trade-off for a specific input metric space._x000D_
_x000D_
Many of the problems considered are very natural, yet appear to be completely unexplored. For example, nothing is known for bi-criteria approximation algorithms for t-Spanners (i.e. when we are allowed to increase the distortion by some small factor)._x000D_
_x000D_
The problem of approximating the best distance oracle of a certain type seems natural and important. It is worth noting that most worst-case examples of graphs for t-spanners (that is, graphs that require many edges for a certain value of the dilation), come from extremal graph theory. Arguably, in many scenarios, the graphs could have a much nicer structure which would allow for better t-spanners. Moreover, this line of research leads to a whole new class of related optimization questions, such as approximating labeling schemes, routing schemes, and so on. Therefore, the proposed work could lead to exciting new research directions._x000D_
_x000D_
Another important point is that many of the worst-case questions on this type have been considered in the mathematics community. This is perhaps one of the reasons that the optimization variants have a much shorter history._x000D_
_x000D_
The PI has obtained several important results in this area and is therefore well-qualified to conduct the proposed research._x000D_
_x000D_
Weaknesses:_x000D_
_x000D_
The problem of improving the approximation ratio for SLSN is a natural one. However, the existing lower bound suggests that a polylogarithmic approximation is not possible. So, it is not clear whether an improved polynomial approximation would be of broader interest._x000D_
_x000D_
_x000D_
In the context of the five review elements, please _x000D_
evaluate the strengths and weaknesses of the proposal with respect to broader impacts._x000D_
_x000D_
Strengths: _x000D_
_x000D_
Spanners have applications in many areas, such as property testing, distributed computing, and networks. Therefore, any new algorithms obtained in this project could be of interest in these areas._x000D_
_x000D_
The mathematics community has traditionally considered mostly the worst-case type of questions for the compression of metric spaces. New developments in the optimization type questions have the potential to attract the interest of the mathematics community._x000D_
_x000D_
The PI has co-authored work which won a best-paper award in a systems conference. Therefore, it is reasonable to expect that the results from this project could lead to interesting applied work as well._x000D_
_x000D_
_x000D_
Please evaluate the strengths and _x000D_
weaknesses of the proposal with respect to any additional solicitation-specific review criteria, if _x000D_
applicable_x000D_
_x000D_
Strengths:_x000D_
_x000D_
The PI has received a teaching award at the university level. This suggests that he is dedicated to teaching._x000D_
_x000D_
The PI seems actively invested on promoting issues of diversity in his institution._x000D_
_x000D_
_x000D_
Summary Statement_x000D_
_x000D_
Overall, an important strength of this proposal is that it seeks to address, in a unified way, optimization problems centered around metric compression. So far, the results on this type of questions have been sporadic, and the proposed research could lead to a unified set of tools for solving these problems. Such a development would be of great value both in theory and in practice._x000D_
_x000D_
</t>
  </si>
  <si>
    <t xml:space="preserve">In the context of the five review elements, please _x000D_
evaluate the strengths and weaknesses of the proposal with respect to intellectual merit._x000D_
_x000D_
This proposal is mostly about graph spanners and related structures.  The PI has done a lot of work on the design of graph spanners, and this proposal is mostly about extending it._x000D_
_x000D_
The approach taken in this proposal to create novel spanner problems is to ask whether one can find polynomial time algorithms that find spanners of approximately minimum size.  In a previous work, the PI proved a strong inapproximability result for constructing minimal t-spanners.  However, this result does not quite match the present upper bounds.  The PI proposes finding better algorithms, using either the SA hierarchy or by relaxing the problem to find bicriteria approximation algorithms._x000D_
_x000D_
The PI then proceeds to suggest designing algorithms to find spanners that are minimal in other ways, such as having an upper bound on the maximum degrees of vertices that appear, or being approximately minimal in some norm of the degrees.  The PI has had some prior success for doing this for 2-spanners.  This seems less interesting.  Other variations proposed by the PI are finding minimal f-fault tolerant t-spanners, and distance preservers.  Of these, I think the most interesting question is how the graph of distances to be preserved impacts the construction of distance preservers._x000D_
_x000D_
The other main topics of the proposal are distance oracles and network design._x000D_
_x000D_
1. The PI proposes to design minimally sized distance oracles of a given quality.  Rather than approaching the entire problem, he proposes to do it for certain classes of distance oracles, such as those constructed by Thorup and Zwick.  He previously did some good work on this problem._x000D_
_x000D_
The effort in Network Design, to build better Shallow-Light Steiner Networks, is partially motivated by his use of these in a networking paper that on a best paper prize at ICSCS 2017.  SLSNs are required to keep distances between some pairs of nodes less than some absolute bound.  The PI proposes examining the importance of the structure of the pairs for which it must preserve distances._x000D_
_x000D_
The main drawback of the proposal is that the problems to be solved seem less exciting than those the PI has already solved._x000D_
_x000D_
In the context of the five review elements, please _x000D_
evaluate the strengths and weaknesses of the proposal with respect to broader impacts._x000D_
_x000D_
The broader impacts of the research stem mainly from it potentially applications in networking.  The PI has also created many new graduate courses and is taking a leadership role in JHU in the recruitment of underrepresented minorities in computer science._x000D_
_x000D_
_x000D_
Please evaluate the strengths and _x000D_
weaknesses of the proposal with respect to any additional solicitation-specific review criteria, if _x000D_
applicable_x000D_
_x000D_
_x000D_
_x000D_
Summary Statement_x000D_
_x000D_
The PI has a long track record of designing spanners, distance oracles, and related structures, and has recently won a best paper award at a distributed computing conference.  He proposes building in all these areas._x000D_
_x000D_
_x000D_
</t>
  </si>
  <si>
    <t>This proposal involves research and educational activities related to optimization involving distance information.  Given a graph or metric space, we consider the related questions of compression and network design, and focus in particular on their intersection.  By network design, we mean problems that involve finding subgraphs which satisfy some type of distance constraint.  By their very nature these are optimization problems and are usually NP-hard, so we focus on approximation algorithms.  By compression, we mean finding a smaller representation which approximately preserves the distances.  Unfortunately, even allowing for distortion in the compression, there are fundamental limits to the quality of universal guarantees: if we want to compress all metric spaces, we still need large space.    Motivated by this fact, we take inspiration from network design and look at compression through the lens of optimization.  In other words, rather than prove statements of the form "all metric spaces can be compressed into space x with distortion y", can we prove "there is an efficient algorithm which, given a metric space and an allowed distortion, finds the smallest representation within the given distortion"?_x000D_
_x000D_
Much of the research in this proposal is focused on graph spanners, which are at the intersection of compression and network design. In a  spanner we compress a metric space by only storing a subset of the distances.  Spanners are a basic algorithmic building block which are used widely throughout theoretical computer science, so we have a good understanding of their limitations and tradeoffs.  On the other hand, we are only beginning to understand the optimization problems: can we actually find (approximately) optimal spanners?  In what settings?  Making progress on these questions is a core aspect of this proposal.  Then, using the ideas that we develop for spanners as a building block, we will attack a variety of related questions in both compression and network design.  In particular, we will focus on two other types of compression (distance oracles and metric embeddings) and one other type of distance-constrained network design (shallow-light Steiner networks).  For all of these problems, we will use the ideas we have developed for spanners to ask new questions about optimization.Compressing distances and network design under distance constraints are fundamental mathematical questions, and there is significant previous work on them.  But there are still many important gaps, particularly with respect to the optimization aspects of compression.  For example, while there has been sporadic progress through the years, only recently has there been significant and sustained progress on approximation algorithms for spanners (including some of the PI's research).  Making progress on the huge number of remaining open problems will not only increase our knowledge of spanners and compression more generally, but will also involve developing new algorithmic techniques which we believe will be a significant contribution in their own right and will be useful for non-compression network design questions.  We also believe that even some of our definitions (particularly of optimizing distance oracles) will be important and transformative, as they open the door to new research avenues that have not previously been considered.The broader impacts of this proposal fall into three broad categories: impacts of the research itself, educational activities, and activities related to broadening participation and diversity.  Distance compression, and particularly graph spanners and metric embeddings, are used as an algorithmic building block throughout theoretical computer science, so this research will immediately impact mainstream algorithms research.  The research in this proposal will also impact other, more applied research communities, particularly since the network design questions we will consider have proved to be critical in recent systems work by the PI on Internet transport.  This proposal also has a significant educational and training program, including the development of courses on approximation algorithms, metric spaces, and other areas relating distance compression.  Finally, it also includes significant diversity diversity efforts (where the PI has taken a leadership role at JHU), including mentoring women at both the graduate and undergraduate level (both of which the PI has a history of doing).</t>
  </si>
  <si>
    <t>1750333</t>
  </si>
  <si>
    <t>Ene</t>
  </si>
  <si>
    <t xml:space="preserve"> Panel Summary       
 Description: _x000D_
_x000D_
The PI is going to solve submodular optimization problems.  These problems are core theoretical problems, and we have seen a lot of progress in this area recently, much of it from the PI.  The PI will tackle these questions using continuous and combinatorial optimization techniques._x000D_
_x000D_
INTELLECTUAL MERIT:_x000D_
_x000D_
Strengths_x000D_
_x000D_
+ The PI poses problems that are challenging and will lead to truly new and interesting proof techniques and algorithms._x000D_
+ Closing the gap for constrained submodular maximization would be transformative and, while ambitious, the fact that the PI broke the 1/e barrier in prior work makes the panel hopeful that this goal might be achieved._x000D_
+ The proposal explores exciting connections between continuous and combinatorial optimization._x000D_
+ For the submodular minimization problems, the PI gives a well-explained and compelling plan of attack by describing where the difficulties lie and how they might be overcome._x000D_
+ The proposal is generally coherent and well-written, although some panel members felt more could have been done to define the terms used._x000D_
+ The PI is a very strong researcher with a great track record on related problems._x000D_
_x000D_
Weaknesses_x000D_
_x000D_
- The PI talks about the worst case being not representative, but the analysis metrics are all worst-case._x000D_
- There were questions about how practical the improved algorithms would be; both in that some of the running times still seem high (like n^3/2) and it is not clear that existing submodular minimization algorithms are indeed practical._x000D_
_x000D_
BROADER IMPACTS_x000D_
_x000D_
Strengths_x000D_
_x000D_
+ The PI has a track record of mentoring undergrad/masters students, including women._x000D_
+ The PI is involved in outreach organizations like Girls Who Code and Women in Theory._x000D_
+ The PI demonstrates a passion for diversity in STEM._x000D_
+ The education plan discusses how to incorporate research area into undergrad and grad classes._x000D_
_x000D_
Weaknesses_x000D_
_x000D_
* None._x000D_
_x000D_
CAREER SOLICITATION-SPECIFIC REMARKS:_x000D_
_x000D_
Letter of institutional commitment._x000D_
_x000D_
* The proposal includes a letter of institutional commitment._x000D_
_x000D_
Integration of research and education:_x000D_
_x000D_
* The PI indicates a clear plan for how to incorporate research and education in the context of both undergrad and grad course development._x000D_
_x000D_
ADDITIONAL REMARKS_x000D_
_x000D_
Research plan: _x000D_
_x000D_
* The PI has a solid research plan, with short and long-term goals that seem substantial enough to sustain a 5-year research program._x000D_
_x000D_
Data Management Plan: _x000D_
_x000D_
* There is a data management plan._x000D_
_x000D_
Results of prior support:  _x000D_
_x000D_
* The PI mentions prior support on submodular maximization, disjoint from this proposal._x000D_
_x000D_
Suggestions for improvements:_x000D_
_x000D_
* The PI could do more to explain involvement in diversity programs: how will you interact with these organizations? what concrete original/creative activities do you propose to help them grow?_x000D_
_x000D_
* Submodular maximization is an interesting and important direction, but the PI could have done more to explain the plan of attack here._x000D_
_x000D_
Justification for Panel Rating:_x000D_
_x000D_
The PI has a clear and important research agenda, mentions approaches, and has the expertise to deliver. _x000D_
_x000D_
Panel Rating: _x000D_
_x000D_
X Highly Competitive_x000D_
_ Competitive_x000D_
_ Low Competitive_x000D_
_ Not Competitive_x000D_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</si>
  <si>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proposal investigates submodular optimization.  This is a fundamental problem in both theory and practice within computer science, and will impact other fields as well such as economics._x000D_
_x000D_
For submodular minimization, the PI notes current ellipsoid-based methods are too slow to have impact in practice.  Furthermore, many problems of interest in practice have substantial structure that is not leveraged by these general techniques.  The PI focuses on one particular such structure: decomposable submodular functions.  Each submodular function in the decomposition can then be optimized over separately.  The PI suggests in prior work a graph representation of each submodular function where capacities are related to the function, and looks for flows in this graph representation.  The current proposal suggests using this idea together with stronger tools from graph optimization to get faster algorithms for submodular function minimization.  The PI draws inspiration from convex optimization as well, and suggests trying to combine these techniques as their strengths seem complimentary.  I really liked this part of the proposal.  It was based on prior work, but the PI made clear that significant extensions are required, and also suggested approaches that seemed convincingly reasonable.  Later on, the PI also talks about submodular labeling which has applications to image segmentation._x000D_
_x000D_
The second part of the proposal studies algorithms for maximizing submodular functions.  In contrast to the minimization case, this is NP-hard in general.  In what seems to be a breakthrough result, the PI broke a 1/e barrier for maximizing non-monotone submodular functions.  Here the PI proposes tackling several long-standing open problems, but I didn't feel that the PI had any particular approaches in mind._x000D_
_x000D_
_x000D_
In the context of the five review elements, please _x000D_
evaluate the strengths and weaknesses of the proposal with respect to broader impacts._x000D_
_x000D_
The proposal has an adequate, though not exceptional, broader impacts section.  The PI seems passionate and committed to diversity in STEM and mentions several avenues for supporting this diversity, including the Women in Theory workshop and mentoring activities through Girls Who Code.  I would have appreciated more detail on these activities outlining how the PI will push these organizations to achieve more, e.g., by suggesting new programs or recruitement techniques.  The broader impacts also included standard curriculum development, dissemination, and mentoring activities, as well as commentary in the impact on other disciplines in theory and practice._x000D_
_x000D_
_x000D_
Please evaluate the strengths and _x000D_
weaknesses of the proposal with respect to any additional solicitation-specific review criteria, if _x000D_
applicable_x000D_
_x000D_
None_x000D_
_x000D_
Summary Statement_x000D_
_x000D_
This is a strong proposal, especially the part on submodular function minimization.  We should fund it if at all possible._x000D_
_x000D_
</t>
  </si>
  <si>
    <t xml:space="preserve">In the context of the five review elements, please _x000D_
evaluate the strengths and weaknesses of the proposal with respect to intellectual merit._x000D_
_x000D_
_x000D_
_x000D_
Remark: some symbols used not defined before._x000D_
_x000D_
Submodular function may be looked at as the anloge for convexity in the discrete setting._x000D_
The main reason for that is that we have polynomial time  _x000D_
CONVEX extension._x000D_
In recent years (?), they invented a multi-linear extension_x000D_
for submodular functions that is concave (and thus NP-Hard to compute) and is very useful_x000D_
for the NP-hard problem of maximizing a submodular function._x000D_
Remark: they always say that there are many submodular functions._x000D_
I do not know many that are not monotone (and I asked experts. They do not know either)._x000D_
_x000D_
Submodular functions have applications in_x000D_
machine learning and computer vision. _x000D_
They are very important._x000D_
_x000D_
All algorithms to minimize submodular functions _x000D_
are not practical. The author aim to give better running times _x000D_
for minimizing decomposable submodular function. However_x000D_
the aim of O(n^{3/2) will probably not do._x000D_
In practice they usually run only almost linear algorithms._x000D_
_x000D_
The PI should also speak a bit more on the importance of such decomposeable submodular functions_x000D_
that cover large parts of the proposal._x000D_
_x000D_
There are tools for solving the submodular minimization _x000D_
with blocking flows techniques_x000D_
(that resulted in the Dinic algorithm). The PI have some thoughts on how to use the above to give practical solution or approximation._x000D_
_x000D_
A possibly hard challenge is to design algorithms with strongly polynomial running times that combine coordinate gradient_x000D_
descent with dimension reduction techniques. I am not sure_x000D_
that "descent" algorithms can be made combinaatorial._x000D_
Here the PI should have defined things like local support she used widely and some notation used widely here. I could not _x000D_
fully understand this part._x000D_
_x000D_
The exact ratio for maximizing a continuous submodular _x000D_
function is not known. The PI had a recent breakthrough._x000D_
Breaking the 1/e threshold. _x000D_
A perhaps hard question is to settle the _x000D_
approximation for maximizing continuous submodular function._x000D_
_x000D_
Remark: The PI gave the first algorithm for maximizing a monotone submodular function subject to a knapsack constraint that achieves a nearly optimal (1 - 1/e - epsilon) approximation in linear time. There is a chance that this will be practical.  Vey good._x000D_
_x000D_
Vondrak gave a continuous greedy algorithm with ratio of 1-1/e _x000D_
for maximizing a submodular function under Matroid constrains._x000D_
Solving a 30 years old problem. The algorithm is highly unpractical though (based on slight improvements using partial derivatives). _x000D_
_x000D_
Its a true challenge to give approximation that run in almost linear time. Some progress have been already achieved, but the problem in general is not simple._x000D_
_x000D_
Submodular labeling is a very high level generalization of the multiway cut problem. There is a cost for every vertex and label._x000D_
You pay for edges with different labels. A very well known in CS is the problem of metric labeling. This is a special case of the above_x000D_
with the property that the distance is a metric (the distance is part of the pay if the labels are distinct)._x000D_
_x000D_
A hard challenge is to give linear or almost linear approximation _x000D_
algorithm for this problem._x000D_
The PI has some thoughts on how would this be possible._x000D_
_x000D_
In the context of the five review elements, please _x000D_
evaluate the strengths and weaknesses of the proposal with respect to broader impacts._x000D_
_x000D_
The broader impact is claimed to be practical algorithms._x000D_
Possibly such that will be used in the industry._x000D_
I am not convinced the proposal merits such hope._x000D_
At least get in touch with someone from the industry._x000D_
_x000D_
At this stage probably the PI can get away with no _x000D_
broader impact (albeit she already got almost 1/2 a million in grants)._x000D_
But after that a proposal with no broader impact should not be accepted._x000D_
_x000D_
Please evaluate the strengths and _x000D_
weaknesses of the proposal with respect to any additional solicitation-specific review criteria, if _x000D_
applicable_x000D_
_x000D_
The PI is a very strong researcher (advised by Chandra Chekuri and they did great work together)._x000D_
_x000D_
Summary Statement_x000D_
_x000D_
A very competitive proposal._x000D_
_x000D_
</t>
  </si>
  <si>
    <t xml:space="preserve">In the context of the five review elements, please _x000D_
evaluate the strengths and weaknesses of the proposal with respect to intellectual merit._x000D_
_x000D_
This proposal aims to advance state of the art on a number of fundamental questions in submodular optimization. The key directions the PI pursues are:_x000D_
_x000D_
* Faster and simpler algorithms for minimization of an important sub-class of submodular functions: submodular decomposable functions. Such functions arise in particular in the context of graph cut problems. _x000D_
* Understanding the exact approximability of submodular function maximization. _x000D_
* Advancing and broadening the reach of the submodular labeling framework, a framework that captures a natural and fairly broad class of image segmentation problems. _x000D_
_x000D_
+ The presented research plan is well-thought out and covers a broad spectrum of interesting problems. It has potential to not only make progress on these problems but also to develop conceptually new approaches to them._x000D_
+ The PI has a strong track record in the domain of submodular optimization. In fact, some of the proposed directions build directly on the (excellent) previous work of the PI._x000D_
+ The PI not only has a good grasp of the difficulties each of the research goals poses but also often provides concrete ideas for overcoming them._x000D_
_x000D_
_x000D_
In the context of the five review elements, please _x000D_
evaluate the strengths and weaknesses of the proposal with respect to broader impacts._x000D_
_x000D_
Broader impacts aspect is adequate (but not much more than that)._x000D_
_x000D_
Please evaluate the strengths and _x000D_
weaknesses of the proposal with respect to any additional solicitation-specific review criteria, if _x000D_
applicable_x000D_
_x000D_
_x000D_
_x000D_
Summary Statement_x000D_
_x000D_
This is a strong proposal that outlines a well thought out and interesting plan of attack on important and challenging problems._x000D_
_x000D_
</t>
  </si>
  <si>
    <t xml:space="preserve">In the context of the five review elements, please _x000D_
evaluate the strengths and weaknesses of the proposal with respect to intellectual merit._x000D_
_x000D_
PI proposes several relevant and important directions in submodular optimization that are fundamental in nature as well as highly relevant in applications. _x000D_
Submodular function minimization (SFM) is one of the cornerstone problems in combinatorial optimization and the PI aims to look at decomposable SFM an interesting model that captures relevant applications of SFM in vision applications. The paper also proposes developing algorithms for submodular labeling and maximization. _x000D_
_x000D_
The proposed research will have significant impact on the highly relevant topic of submodular optimization and will bring new understanding and algorithm in discrete and continuous optimization. _x000D_
PI is an expert in the area of the research proposed and has ongoing collaborations and prior work on the directions proposed._x000D_
_x000D_
In the context of the five review elements, please _x000D_
evaluate the strengths and weaknesses of the proposal with respect to broader impacts._x000D_
_x000D_
_x000D_
PI proposes a detailed plan for education for graduate and undergraduate students and their continuous involvement in the research._x000D_
_x000D_
PI has also shown promise of broader impact in many different directions, including avenues to look for research impact in other areas, female participation and mentorship._x000D_
_x000D_
Please evaluate the strengths and _x000D_
weaknesses of the proposal with respect to any additional solicitation-specific review criteria, if _x000D_
applicable_x000D_
_x000D_
_x000D_
_x000D_
Summary Statement_x000D_
_x000D_
This is an excellent research proposal on fundamental problems in submodular function optimization with broad impact on applications and education._x000D_
_x000D_
</t>
  </si>
  <si>
    <t>1750344</t>
  </si>
  <si>
    <t>Valiant</t>
  </si>
  <si>
    <t>11</t>
  </si>
  <si>
    <t xml:space="preserve"> Panel Summary       
 Description: This proposal is about working with noisy data. There are 3 main lines of problems discussed: learning from compressed data, list-decodable learning, and computation involving humans. Learning on compressed data alludes to the case where data is compressed by an algorithm designer with the intent of computing some function over the compressed data. The PI illustrates this using the estimation of mean problem, and asks if the technique can be extended to the d-dimensional case. _x000D_
List decodable learning asks if it is possible to return multiple hypothesis out of which at least one is correct such as returning two lines for solving linear regression. _x000D_
PI asks how to discover truth in a crowd-sourcing setting, list decoding truth, emulating multiplicative weight updated method to penalize those who give wrong answer etc._x000D_
_x000D_
_x000D_
Strengths_x000D_
The PI has a track record of outstanding and highly influential results. _x000D_
This project will likely continue that trend._x000D_
The PI does a good job of motivating and presenting various applications. _x000D_
_x000D_
Weaknesses_x000D_
Although the high level goals of the proposal were explained well, it does not contain enough concrete details about the proposed research. It would be a better proposal if it contained concrete models to capture the problems being discussed in the proposal, as well as including more partial attempts and technical barriers to solving the problems._x000D_
The proposal does not explicitly specify the kinds of learning algorithms would be  studied under the compressed data model._x000D_
Past work on streaming algorithms, sketching and crowdsourcing has not been adequately discussed._x000D_
The proposal needs more discussion of techniques used and conjectures or partial attempts for algorithms or lower bounds._x000D_
_x000D_
Broader Impact: _x000D_
+ past work of the PI has had a big influence in other scientific fields _x000D_
_x000D_
_x000D_
Solicitation-specific criteria: _x000D_
The PI has an award-winning track record of teaching. The PI has also innovated greatly on course content and philosophy, in a very interesting and effective way. _x000D_
_x000D_
Data Management Plan: adequate_x000D_
_x000D_
Suggestions to PI: The proposal would be rated higher if it contained concrete models to capture the problems being discussed in the proposal, including partial attempts and technical barriers to solving the problems._x000D_
_x000D_
_x000D_
_x000D_
Justification for Panel Rating: _x000D_
The panel acknowledges that the PI has a strong track record, and is doing important work. The main drawback of the current proposal is a lack of detail about concrete models for the problems discussed, discussion about the technical barriers involved, and partial/failed attempts to solve the problems. _x000D_
_x000D_
_x000D_
Panel Rating: _x000D_
_ Highly Competitive_x000D_
_ Competitive_x000D_
X Low Competitive_x000D_
_ Not Competitive_x000D_
_x000D_
_x000D_
The summary was read by/to the panel and the panel concurred that the summary accurately reflects_x000D_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</si>
  <si>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Sublinear Algorithms on Flaky Data_x000D_
_x000D_
L: 1750344 Valiant, Paul Brown University $  666,111_x000D_
_x000D_
_x000D_
P180209 LC AF CAREER/CRII Panel B (12 panelists),_x000B_  on 11/21/2017, recommended as Low Competitive (V,G,G/F,G/F)_x000D_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</si>
  <si>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deals with so called 'flaky data' and proposes sublinear algorithms, i.e., algorithms that use only a small part of the data to solve various tasks._x000D_
_x000D_
_x000D_
Strengths:_x000D_
_x000D_
1.	The notion of algorithms for flaky data is interesting and seems a relatively new paradigm proposed by the PI. Flaky data are those that are corrupted and algorithms that can handle such data will be very useful in practice as well. It is worthwhile to address the theoretical issues that arise._x000D_
_x000D_
2.	The PI does a good job of motivating and presenting various applications. The proposal reads well._x000D_
_x000D_
3.	The PI has done strong work  publishing in top conferences and is qualified to do this research._x000D_
_x000D_
Weaknesses:_x000D_
_x000D_
1.	The connection between sublinear algorithms and flaky  data is not compelling. Sublinear algorithms have been studied extensively with a clear motivation of using less  time or space (these are not covered here very much). Here doing the same for flaky data seems to make it far more challenging. It seems that these are two different issues and the proposal is not very convincing in promoting this new concept._x000D_
_x000D_
2.	Many of the problems are informally described. It is better to concretely identify key questions and state them rigorously. Many of the preliminary works presented also are quite informal and somewhat vague. _x000D_
_x000D_
_x000D_
In the context of the five review elements, please _x000D_
evaluate the strengths and weaknesses of the proposal with respect to broader impacts._x000D_
_x000D_
_x000D_
_x000D_
Strengths:_x000D_
_x000D_
1.  Algorithms that work on unreliable data has potential for various applications. The project mentions several motivating scenarios._x000D_
_x000D_
2.	The PI has a strong teaching record and proposes to integrate as much as possible his research into both graduate and undergraduate teaching._x000D_
_x000D_
Weaknesses:_x000D_
_x000D_
None,_x000D_
_x000D_
_x000D_
Please evaluate the strengths and _x000D_
weaknesses of the proposal with respect to any additional solicitation-specific review criteria, if _x000D_
applicable_x000D_
_x000D_
The project integrates education and research well._x000D_
_x000D_
Summary Statement_x000D_
_x000D_
This is an interesting, somewhat speculative proposal that targets certain niche data problems where the data might be unreliable or corrupted and the goal is to process the data to answer certain queries  using less data. While the concept is ambitious, the proposal does not concretely identify key mathematical questions to tackle and then propose concinving preliminary work. The teaching component of the proposal is strong._x000D_
_x000D_
</t>
  </si>
  <si>
    <t xml:space="preserve">In the context of the five review elements, please _x000D_
evaluate the strengths and weaknesses of the proposal with respect to intellectual merit._x000D_
_x000D_
This proposal is about working with noisy data. There are 3 main lines of problems discussed: learning from compressed data, list-decodable learning, and computation involving humans. I found the proposal to be well-written, but short on technical details and motivation. I would have liked to see more evidence that the PI has spent time identifying potential avenues of ideas that might lead to solutions to the problems he proposes._x000D_
_x000D_
For the problem of learning from compressed data, where the algorithm itself is compressing data and then learning from it, the problem seems identical to sketching/data structures except that the number of queries is small (or 1 in the case of the example given in the proposal). I found the motivation given for this setting unconvincing. _x000D_
_x000D_
The problem of list-decodable learning seems more interesting to me, and the example of estimating the histogram of means is interesting. I would have liked to see more details about the techniques used and conjectures or partial attempts for algorithms or lower bounds. With human-in-the-loop computation, the model is less clear, and again, the proposal is low on technical details._x000D_
_x000D_
_x000D_
In the context of the five review elements, please _x000D_
evaluate the strengths and weaknesses of the proposal with respect to broader impacts._x000D_
_x000D_
The proposal has a solid plan for impact on education, with a strong past track record of successes._x000D_
_x000D_
Please evaluate the strengths and _x000D_
weaknesses of the proposal with respect to any additional solicitation-specific review criteria, if _x000D_
applicable_x000D_
_x000D_
_x000D_
_x000D_
Summary Statement_x000D_
_x000D_
This proposal considers some interesting and novel problems. The problems should be better justified in terms of their technical merit and potential tractability._x000D_
_x000D_
</t>
  </si>
  <si>
    <t xml:space="preserve">In the context of the five review elements, please _x000D_
evaluate the strengths and weaknesses of the proposal with respect to intellectual merit._x000D_
_x000D_
The PI proposes to work on sublinear algorithms for "flaky data".  _x000D_
The directions have the potential of being important and highly innovative.  A first direction on learning on compressed data deliberately introduces noise (as might happen in differential privacy).  An example of mean estimation is given to motivate a model of what should be required by the algorithm.   Further generalizations to higher dimensions are proposed.   A second direction -- "list decodable learning" is well motivated.  Finally, "human in the loop"_x000D_
computation is considered.  Some of the questions seem similar to bandit problems, and if so, the relationship should be discussed._x000D_
_x000D_
The PI has a track record of outstanding and highly influential results which have had impact well beyond Computer Science. This project will likely continue that trend, though it would be good to give more specific details on the plan of attack._x000D_
_x000D_
In the context of the five review elements, please _x000D_
evaluate the strengths and weaknesses of the proposal with respect to broader impacts._x000D_
_x000D_
The PI has a good track record of teaching (received a very prestigious award).  The PI has also innovated greatly on course content and philosophy, seemingly in a very interesting and effective way._x000D_
_x000D_
_x000D_
_x000D_
Please evaluate the strengths and _x000D_
weaknesses of the proposal with respect to any additional solicitation-specific review criteria, if _x000D_
applicable_x000D_
_x000D_
_x000D_
_x000D_
Summary Statement_x000D_
_x000D_
intellectual merit:_x000D_
+ interesting proposal_x000D_
+ PI has strong track record_x000D_
- questions could be fleshed out more clearly_x000D_
_x000D_
Broader impact:_x000D_
+ innovative teacher in terms of classroom format as well as viewpoint on material (award winning)_x000D_
+ influence in other scientific fields_x000D_
_x000D_
</t>
  </si>
  <si>
    <t xml:space="preserve">In the context of the five review elements, please _x000D_
evaluate the strengths and weaknesses of the proposal with respect to intellectual merit._x000D_
_x000D_
The proposal plans to develop sublinear algorithms for flaky data, specifically learning on compressed data, list decodable learning and handling human error._x000D_
_x000D_
Learning on compressed data alludes to the case where data is compressed by an algorithm designer with the intent of computing some function over the compressed data. The PI illustrates this using the estimation of mean problem, and asks if the technique can be extended to the d-dimensional case. _x000D_
_x000D_
List decodable learning asks if it is possible to return multiple hypothesis out of which at least one is correct such as returning two lines for solving linear regression._x000D_
_x000D_
PI asks how to discover truth in a crowd-sourcing setting, list decoding truth, emulating multiplicative weight updated method to penalize those who give wrong answer etc. _x000D_
_x000D_
Strength and Weakness: The proposal only touches few problems at a very high level without concretely formalizing any problem. For example, what kind of learning algorithms will be studied under compressed data model. Same question applies to other sections._x000D_
_x000D_
There is such a huge literature on streaming algorithms and sketching method, discussion of which is missing. The proposal just briefly talks about count-min sketch. _x000D_
_x000D_
There is also a huge literature on crowdsourcing algorithms and on inferring true answers. It is unclear what new things this proposal is going to bring in the front._x000D_
_x000D_
_x000D_
_x000D_
_x000D_
_x000D_
In the context of the five review elements, please _x000D_
evaluate the strengths and weaknesses of the proposal with respect to broader impacts._x000D_
_x000D_
Broader impact just mentions about PI's qualification as teacher. It would be good to include other impacts that the proposal can bring._x000D_
_x000D_
Please evaluate the strengths and _x000D_
weaknesses of the proposal with respect to any additional solicitation-specific review criteria, if _x000D_
applicable_x000D_
_x000D_
_x000D_
_x000D_
Summary Statement_x000D_
_x000D_
Overall, developing sublinear algorithms over noisy data is important, but the proposal is not structured well, and does not clearly specify the concrete problems that it will tackle._x000D_
_x000D_
</t>
  </si>
  <si>
    <t>The internet contains a vast amount of data, much of it of dubious accuracy, authenticity, impartiality, or integrity. This project aims to adapt the techniques of machine learning and statistics to apply in this newly crucial realm of what we call "flaky data". We adopt the "sublinear algorithms" approach, where we seek algorithms that make decisions in much less time than it would take to process all the relevant data. Sublinear algorithms is a rapidly developing area embracing techniques for quickly "sketching" a synopsis of data that enables broad and nuanced analyses based only on a small approximate sketch of the original data, enabling drastically faster approximate answers to queries about the - potentially very large - original data. Such sketches, however, tend to rely on precise assumptions about the original data that are violated in several ways in the real world. The aim of this project is to draw on the proposer's experience in developing key sublinear statistical estimation algorithms, in order to extend the reach of sublinear algorithms to many practically relevant regimes of unreliable data where no existing algorithms apply.The intellectual merit of the proposed work consists of bringing together several recent lines of algorithmic work to illuminate an area that looks poised to become an interdisciplinary locus of activity. This project aims to create algorithms that are powerful, yet robust. It also aims to develop a toolbox of techniques to get the most use from valuable data. There is enormous potential impact for results in this problem area, as a growing understanding of the settings in which we can robustly compute on unreliable data will shape the next generation of designs for interactive online platforms.First, developing practical algorithms that work despite unreliable data will have a broad impact because unreliable data occurs everywhere on the internet. Both internet companies and internet users would use and benefit from these advances. Second, the project will spark broadly interdisciplinary interest in its developments because the challenges raised touch on so many areas, from the computational fields of machine learning and data science to the areas of mathematics and statistics that underpin the techniques of this project. Finally, this project will have a positive impact on both undergraduate and graduate education, through the proposer's practice of of integrating research ideas into teaching through student projects and presentations, as well as an interactive teaching style that promotes both the development of communication skills and engagement between theory and practice.</t>
  </si>
  <si>
    <t>1750436</t>
  </si>
  <si>
    <t>Mehta</t>
  </si>
  <si>
    <t xml:space="preserve"> Panel Summary       
  Description: _x000D_
This proposal aims to tackle many important and fundamental problems in equilibrium computation. In particular, the PI will investigate complexity classes PPAD, CLS and PLS, which are for total search problems. Some of the key questions proposed include what the hardness of constant approximation for computing Nash equilibrium is, whether there are complete problems for CLS, how PPAD and PLS relate to each other. _x000D_
_x000D_
Intellectual Merit: _x000D_
_x000D_
Strengths_x000D_
  + The  research plan has a clear, overarching theme. The questions being asked are very ambitious: some of the questions have been open for a long time. Despite that, the PI has done a great job fleshing out short-term questions and new approaches to tackle the longer-term questions. _x000D_
 + The proposed research will likely contribute to novel approximation algorithms for long-standing open problems and/or shed light on the complexity of search problems. _x000D_
+ The PI is well known and has an excellent track record in this area. She is very qualified to carry out the proposed research. _x000D_
_x000D_
Weaknesses_x000D_
- As the PI mentioned, Harrow et al.'s recent work has used SoS based approach to provide answers to the questions proposed in Section 3.1. It will be helpful if the PI can discuss how her independent approach differs from that of Harrow et al., whether the approach could refine or improve the results of Harrow et al. and what further results can be expected here. _x000D_
_x000D_
Broader Impact: _x000D_
_x000D_
Strengths_x000D_
  + The course development and mentoring plans are interesting. Students include a female PhD student._x000D_
  + The PI has organized workshops, and will do it again _x000D_
  + The PI is developing a module for high-school on game theory_x000D_
_x000D_
Solicitation-specific criteria: _x000D_
+ Integration of education and research is good._x000D_
- The PI mentioned the CS+Econ program. It will further strengthen the integration if the PI can discuss how her course would fit in with the new program. _x000D_
_x000D_
Data Management Plan: _x000D_
Adequate_x000D_
_x000D_
What is bold, exciting, high risk/reward, or potentially transformative? _x000D_
The research agenda is very ambitious, but includes a set of well carved out problems. Solving these problems will help close long-standing, important open problems. _x000D_
_x000D_
Justification for Panel Rating:  _x000D_
An ambitious proposal with a clear, coherent theme and well-reasoned problems. The panel has some concerns on how Harrow et al.'s recent work affects the proposed research in section 3.1. _x000D_
_x000D_
Panel Rating: _x000D_
_ Highly Competitive_x000D_
X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</si>
  <si>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make progress on many important and fundamental problems in equilibrium computation. The PI plans to investigate the complexity classes CLS, PLS, and PPAD, which are the most fundamental classes of search problems (problems which always have a solution, and the goal is to find such a solution). The focus in on applying techniques from modern approximation algorithms like the sum-of-squares approach and SDP hierarchies to form better approximation algorithms for various computation problems, on smoothed complexity, and on analyzing how these three classes are related and the exact structure of CLS (specifically understanding the problem EoPL and whether it is CLS-complete). This proposal is likely to either come up with novel approximation algorithms for long-standing open problems, or give large insights into the complexity of search problems._x000D_
_x000D_
Strengths:_x000D_
_x000D_
+ The questions being asked are very ambitious: some of the questions have been open for a long time and many researchers have been working on them. That said, the PI does a good job in proposing concrete short-term questions and some new approaches for studying longer-term ones. Even if the big open questions are not solved, there are likely to be important insights obtained from this proposal._x000D_
_x000D_
+ The proposal is ambitious as befits a CAREER proposal, and has a clear overall theme. The PI is very qualified, and has either preliminary work, or at least some idea on how to proceed, for most of the research directions._x000D_
_x000D_
+ In regards to specific research directions: (1) Looking at EoPL and how it relates to class CLS is important, as it would give an intuitive and coherent picture of how these three complexity classes relate to each other. (2) Using techniques from modern approximation algorithms like SoS for equilibrium computation and related problems is clearly worthwhile, and has already met with some success. (3) Showing good smoothed complexity for various search problems in PLS is extremely interesting, and would give great support for using local search algorithms for such search problems. It is very encouraging that the PI has already had some success in this._x000D_
_x000D_
Weaknesses:_x000D_
_x000D_
- The PI could probably compare with some of the existing work a bit more thoroughly. While the PI provides possible approaches for many of the research directions, it is difficult to evaluate how promising these approaches are._x000D_
_x000D_
In the context of the five review elements, please _x000D_
evaluate the strengths and weaknesses of the proposal with respect to broader impacts._x000D_
_x000D_
Strengths:_x000D_
_x000D_
+ Graduate and undergraduate course development, students including a female PhD student_x000D_
_x000D_
+ The PI has a history of mentoring female students_x000D_
_x000D_
+ The PI has organized workshops, and will do it again_x000D_
_x000D_
+ The PI is developing a module for high-school on game theory_x000D_
_x000D_
Please evaluate the strengths and _x000D_
weaknesses of the proposal with respect to any additional solicitation-specific review criteria, if _x000D_
applicable_x000D_
_x000D_
_x000D_
_x000D_
Summary Statement_x000D_
_x000D_
An ambitious proposal on fundamental open problems in equilibrium computation; the PI is very qualified and this is likely to result in some nice insights. _x000D_
_x000D_
_x000D_
</t>
  </si>
  <si>
    <t xml:space="preserve">In the context of the five review elements, please _x000D_
evaluate the strengths and weaknesses of the proposal with respect to intellectual merit._x000D_
_x000D_
This proposal aims to tackle a set of complexity theoretic and algorithmic questions on Nash and market equilibrium computation. In particular, it considers complexity classes, PPAD, CLS and PLS, all related to total search problems. It is well known that computing Nash equilibrium for matrix games is PPAD-complete. Many results have been developed in the literature for equilibrium computation. However, some important questions in this domain remain open for decades. The PI focuses on a set of such open questions in this proposal, including trying to understand whether PTAS algorithms exists for PPAD-complete equilibrium computation, to develop complete problems for the CLS class, and establish the relation between PPAD and PLS. _x000D_
_x000D_
The techniques and approaches that the PI plans to use include sum-of-squares, beyond worst-case analysis, and conditional lower bound. _x000D_
_x000D_
The PI has proposed to solve some very challenging and long-standing open complexity theoretic questions. She has an excellent track record in this area and is one of the few people who are qualified to solve these problems._x000D_
_x000D_
In the context of the five review elements, please _x000D_
evaluate the strengths and weaknesses of the proposal with respect to broader impacts._x000D_
_x000D_
+ The research may have spillover effects to other scientific areas, such as algorithmic game theory, economics, approximation algorithms._x000D_
_x000D_
_x000D_
Please evaluate the strengths and _x000D_
weaknesses of the proposal with respect to any additional solicitation-specific review criteria, if _x000D_
applicable_x000D_
_x000D_
Adequate integration of research and education, through course development and student training. _x000D_
_x000D_
_x000D_
Summary Statement_x000D_
_x000D_
A solid proposal._x000D_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</si>
  <si>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focuses on advancing the state of the art in questions of computational complexity for a number of interesting problems and classes related to TFNP.  Settling a number of these complexity questions could have impact in a diverse set of subfields in across CS and possibly beyond._x000D_
_x000D_
2. To what extent do the proposed activities suggest and explore creative, original, or potentially transformative concepts?_x000D_
_x000D_
The questions addressed in the proposal are all interesting and potentially transformative depending on the direction that they are settled in.  A number of practical results could emerge from the exploration of the complexity questions enumerated and their approximations.  The questions are well grounded and the PI does a good job of providing intuition and understanding of these questions._x000D_
_x000D_
3. Is the plan for carrying out the proposed activities well-reasoned, well-organized, and based on a sound rationale? Does the plan incorporate a mechanism to assess success?_x000D_
_x000D_
The questions identified are interesting and the PI does a good job of positioning her past work w.r.t. her ability to address the various questions.  Some of these are ambitious open problems but providing intuition on the attack plan is very good._x000D_
_x000D_
In places the proposal gets a bit too into the details and consequently is not as developed as it could be in terms of explaining the importance of the questions.  Specifically, the mechanisms for impact include handing implementation off to undergrads, which is not ideal.  Also, there are no resources committed to fund this part of the work and the PI does not have a track record of releasing software._x000D_
_x000D_
4. How well qualified is the individual, team, or institution to conduct the proposed activities?_x000D_
_x000D_
The individual is well qualified to undertake the proposed research having published extensively in the field.  As is evidenced below she has a strong network of researchers to help her in this task._x000D_
_x000D_
5. Are there adequate resources available to the PI (either at the home institution or through collaborations) to carry out the proposed activities?_x000D_
_x000D_
The PI has a strong network of researchers who have committed to work with her on the proposal.  There are sufficient resources at the home institution to support the proposed research plan._x000D_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broader impacts of the research work are impressive but outside of traveling to conferences there is very little plan to translate the research itself into broader impacts within the community or home institution._x000D_
_x000D_
2. To what extent do the proposed activities suggest and explore creative, original, or potentially transformative concepts?_x000D_
_x000D_
The course development and mentoring plans are interesting but not transformative.  Diving more into how this could contribute to the CS+ECON degree would be good._x000D_
_x000D_
3. Is the plan for carrying out the proposed activities well-reasoned, well-organized, and based on a sound rationale? Does the plan incorporate a mechanism to assess success?_x000D_
_x000D_
The plan to disseminate results is well reasoned, however the outreach plan is not well reasoned or elucidated._x000D_
_x000D_
4. How well qualified is the individual, team, or institution to conduct the proposed activities?_x000D_
_x000D_
The PI has experience in giving talks and organizing workshops.  It is not clear how well positioned the PI is for some of the proposed outreach activities._x000D_
_x000D_
5. Are there adequate resources available to the PI (either at the home institution or through collaborations) to carry out the proposed activities?_x000D_
_x000D_
This is a weak point of this proposal, the PI names a number of outreach activities but has not reached out to as many organizations or secured commitments or allocated funding in a way that would ensure the success of the proposed broader activities besides traveling to conferences._x000D_
_x000D_
Please evaluate the strengths and _x000D_
weaknesses of the proposal with respect to any additional solicitation-specific review criteria, if _x000D_
applicable_x000D_
_x000D_
_x000D_
_x000D_
Summary Statement_x000D_
_x000D_
A strong research proposal which focuses on a number of interesting and open in theoretical computer science related to the complexity of problems in TFNP.  The questions and ideas are excellent but the proposal is weak when it comes to translating these interesting theoretical questions into broader impact._x000D_
_x000D_
_x000D_
</t>
  </si>
  <si>
    <t>HU0975977</t>
  </si>
  <si>
    <t>Schoenebeck</t>
  </si>
  <si>
    <t>schoeneb@umich.edu</t>
  </si>
  <si>
    <t xml:space="preserve">In the context of the five review elements, please _x000D_
evaluate the strengths and weaknesses of the proposal with respect to intellectual merit._x000D_
_x000D_
The proposal seeks to study complexity theory as it relates to games and equilibrium.  This is an exciting area of complexity that is still rather new, promising interesting results.  _x000D_
_x000D_
Some of the key questions proposed are as follows:_x000D_
1)	Investigating class CLS which contains several problems, but none of them is complete, and the relations between them are unknown.  Here one key approach is using a EoPLùsimilar to PPAD, but each node also has a potential.  A key questions is whether this is complete for CLS.  Also, EoPL works as a nice intermediate step for showing things in CLS.  One question is how general this is:  can this work for all of Unique CLS? _x000D_
2)	Investigating hardness of a constant approximation for 2-Nash.  Current algorithms are optimal assuming PETH: investigate PETH or other ways to establish hardness.  Current algorithms are not very clever.  Author proposes using SoS, but unfortunately, this was already shown not to work, at least in a normal way.  [I did not find this approach very compelling since it has, unfortunately, been done.  Seems like the author found this out very recently.]  Perhaps there are clever ways to circumvent this negative result.  The author also proposes a bunch of other questions in a similar boat as const-approx Nash and wishes to investigate the relations.  This seems more promising than SoS.  I wish more time was spent here.  For example, some of these are exact and some are approximate problems.  Which relationships are the most promising, etc._x000D_
3)	Looking beyond worst case for equilibrium problems.  This seems especially promising with network coordination games, building on recent success for local Max-cut algorithms.  For NE, the average case does not seem that it is likely to capture interesting properties, so that is likely less useful.  _x000D_
_x000D_
_x000D_
_x000D_
_x000D_
_x000D_
The plan for carrying out the research is well-reasoned and most of the proposed directions build on recent advances in the field (parity games in quasi-polynomial time and smaoothed analysis for max-cut local, definition of CLR)_x000D_
_x000D_
_x000D_
The author is well-known in this area, and likely to succeed given the available resources.   _x000D_
_x000D_
_x000D_
A few things I was confused by:_x000D_
_x000D_
I do not see how "One way permutations" results in crypto are related to this.  Maybe more explanation would be helpful._x000D_
_x000D_
Some parts are not properly proof-read and it gets in the way of understanding: for example the second paragraph after Sub-question 3.1.  Should lower bound mean upper bound?  Also, doesn't this directly give a quasi-poly algorithm?  _x000D_
_x000D_
In the first sentence of section 4, it says that the ¢ approx for max-cut by local search is good.  But one gets this same approximation other ways, including a random solution.  Seems like a better example could be created for this.  _x000D_
_x000D_
_x000D_
_x000D_
_x000D_
In the context of the five review elements, please _x000D_
evaluate the strengths and weaknesses of the proposal with respect to broader impacts._x000D_
_x000D_
The research might have some practical applications.  Especially computing NE, which will likely be needed in proxy agents of the future._x000D_
_x000D_
Please evaluate the strengths and _x000D_
weaknesses of the proposal with respect to any additional solicitation-specific review criteria, if _x000D_
applicable_x000D_
_x000D_
The outreach plan is okay.  Programmatic details are lacking and the PI has little track record in out-reach activities.  _x000D_
_x000D_
There is a plan for building an instructional module for high-schoolers, and building a portal for mentor-mentee matching of UIUC undergraduates with K-12 students.  Plus a mentorship workshop at EC for graduate students looking for career advice.  _x000D_
Additionally there is a plan to produce a book, teach two graduate classes (which are already being taught), teach an undergraduate course, and mentor some undergraduate/graduate students.  _x000D_
_x000D_
_x000D_
Summary Statement_x000D_
_x000D_
The overarching research direction is compelling.  It has some strong components, and the author has a strong track-record of success.  The educational component is passable but not overzealous. _x000D_
_x000D_
_x000D_
</t>
  </si>
  <si>
    <t>Nash and market equilibrium are two of the most fundamental solution concepts in Game Theory and Economics respectively. The complexity of computing equilibria for most game and economic models are characterized by sub-classes of Total Function NP, namely Polynomial Parity Argument for Directed Graph (PPAD), Polynomial Local Search (PLS), and Continuous Local Search (CLS). Furthermore, these sub-classes manage to capture long-standing open problems from diverse fields, e.g., oneway permutation from cryptography, contraction map from topology, and simple stochastic games from verification, are all in CLS. Although by now we have a fair understanding of these classes and problems therein, many fundamental questions still remain unresolved. The proposal outlines a career development plan to explore these questions, that builds and significantly broadens PI's extensive work on computation and complexity of equilibria that settled decade-long open questions. High-level questions for this proposal are motivated by the following:_x000D_
* For important PPAD-complete problems, obtaining either PTAS or hardness of constant approximation is a major open question. Lower bounds grounded on well-established assumptions are also not known._x000D_
* CLS captures important problems from diverse fields, and recent work by the PI and others obtained the first CLS-complete problem, however, it does not come from a natural application. Thus, obtaining a natural complete problem for CLS remains open. Furthermore, most of the relations among problems in CLS also remain unknown. No sub-exponential or smoothed polynomial time algorithms are known for most of these problems. _x000D_
* Most equilibrium computation problems that are complete for PPAD and PLS have simple algorithms that work very well in practice, however, almost no theoretical explanation in terms of analysis that goes beyond the worst case is known.This project will need to develop novel tools for approximation and for beyond worst case analysis of equilibrium computation problems to break the long-standing barriers. Furthermore, novel reduction techniques will need to be developed to relate the open problems from diverse fields that are in CLS as well as to obtain hardness of approximation results. The PI plans to approach these by building on and extending her work on equilibrium computation, using tools from Sum-of-Squares, recent smoothed analysis techniques, and recent advances in proving lower bounds for equilibrium computation problems. Tools developed in the process will contribute to the burgeoning literature on approximation, smoothed analysis, sum-of-squares based approaches and conditional lower bounds, and will open up new avenues for further exploration.First, this work will provide efficient and robust algorithms for a large class of game models. This, in turn, will have a positive practical impact due to the numerous applications of these game models, e.g., social network analysis, resource allocation, etc. Second, it will shed light on connections between disparate fields such as verification and cryptography, and thereby will bring new insights into their important open problems._x000D_
_x000D_
In addition to publishing results, PI and co-authors will organize workshops at the intersection of algorithmic game theory, approximation, and complexity. Further, the PI plans to involve and train both graduate and undergraduate students through research and implementation tasks. Integration of research and teaching will be done through graduate and undergraduate courses. In this process, the PI plans to develop detailed lecture notes on Equilibrium Computation with the goal of producing a monograph by the end of this project. All the resulting material and code will be made freely available online. _x000D_
_x000D_
Building on her experience of organizing a session on Career Advice at EC'17, the PI plans to co-organize a one-day Mentoring Workshop at EC'18. Finally, the PI plans to reach out to the students from underrepresented groups through a number of UIUC initiatives.</t>
  </si>
  <si>
    <t>1750443</t>
  </si>
  <si>
    <t>Kol</t>
  </si>
  <si>
    <t xml:space="preserve"> Panel Summary       
  _x000D_
Description: The PI proposes to study interactive information theory.   Some directions the PI will take are to understand the gap between information cost and communication complexity, the extent to which the interactive analogue of data compression can be achieved, the direct sum problem and multiparty settings.  _x000D_
_x000D_
Intellectual Merit: The PI has spelled out a compelling and well detailed plan, with many fundamental questions of varying difficulty.   The PI has made important contributions in these directions, and is likely to make further progress on them.  _x000D_
Strengths_x000D_
  + compelling research direction_x000D_
  +  progress will be important to understanding interactive communication_x000D_
  + extremely strong track record_x000D_
Weaknesses_x000D_
  - In some later sections, does not elaborate enough on new ideas/approaches to make progress (or at least to give some negative approaches)._x000D_
  _x000D_
_x000D_
Broader Impact:  The PI will mentor students, give tutorials and create a new course._x000D_
Weaknesses_x000D_
 -  Not spelled out beyond known scientific impacts._x000D_
  - Would be good to see more details on each part of the educational component_x000D_
_x000D_
Solicitation-specific criteria:  The PI will develop a new course on interactive information for Computer Science and Electrical Engineering majors.  This part of the proposal needs to be improved._x000D_
_x000D_
Data Management Plan: adequate_x000D_
_x000D_
_x000D_
Suggestions to PI: Should talk to program managers and other PIs to get a sense of typical broader impact expected in NSF proposals, and specific criteria for CAREER proposals._x000D_
_x000D_
_x000D_
Justification for Panel Rating:  The research direction is important, the plan is promising and the PI has a very strong track record. The proposal would be rated higher if it contained more details in the broad impact section._x000D_
_x000D_
Panel Rating: _x000D_
_ Highly Competitive_x000D_
x Competitive_x000D_
_ Low Competitive_x000D_
_ Not Competitive_x000D_
_x000D_
The summary was read by/to the panel and the panel concurred that the summary accurately reflects the panel discussion._x000D_
</t>
  </si>
  <si>
    <t>P180139</t>
  </si>
  <si>
    <t xml:space="preserve"> CIF CAREER IT-COMM Panel</t>
  </si>
  <si>
    <t xml:space="preserve"> Panel Summary       
 The goal of this research is to advance information theory in the interactive setting with a particular focus on the compression problem in the interactive setting. In particular, the PI lists important and significant problems in the intersection of source coding and interactive communication. _x000D_
_x000D_
INTELLECTUAL MERIT _x000D_
_x000D_
Strengths: _x000D_
_x000D_
+ The proposal lists many interesting and very challenging problems in this area. _x000D_
_x000D_
+ The PI has an excellent record. _x000D_
_x000D_
_x000D_
Weaknesses: _x000D_
_x000D_
- The proposal reads like a long list of very difficult problems with little explanation regarding the main technical challenges and the approach the PI intends to take in order to tackle or solve them. _x000D_
_x000D_
- Without sufficient details and in its current form, the proposal lacks sufficient novel ideas to merit funding, such as defining information costs in multi-party problems. _x000D_
_x000D_
- To be competitive with other information/coding theory proposals, the PI is encouraged to consider and explicitly discuss the operational meaning/implication of the proposed analysis. Also, a tighter asymptotic analysis would be of interest. _x000D_
_x000D_
BROADER IMPACTS _x000D_
_x000D_
The proposal has a rather brief treatment of the broader impacts of the research, with only a sketch of an education plan. This is a major shortcoming since NSF submissions are required to carefully address broader impacts of the work. _x000D_
_x000D_
SOLICITATION-SPECIFIC CRITERIA _x000D_
_x000D_
The scope of the proposed research is appropriate for a five year effort, and the departmental letter adequately addresses support and mentoring for the PI. However, the NSF CAREER program aims to encourage junior PIs to develop meaningful integration of their research and teaching. The PI, hence, is encouraged to address this in her future submissions. _x000D_
_x000D_
_x000D_
SUMMARY _x000D_
_x000D_
In summary, the proposal addresses an ambitious set of challenging problems in the areas of interactive communications and complexity theory. The PI has an excellent record and is well-positioned to tackle the listed problems. However, the proposal lacks sufficient details on the specific challenges, the approach, or the analytic methodology. The proposal also fails to sufficiently discuss educational aspects or the integration of teaching and research. _x000D_
_x000D_
The panel placed the proposal in the following category: _x000D_
_x000D_
[ ] Highly Competitive _x000D_
[ ] Competitive _x000D_
[x] Low Competitive _x000D_
[ ] Not Competitive _x000D_
_x000D_
The summary was read by/to the panel and the panel concurred that the summary accurately reflects the panel discussion. 
</t>
  </si>
  <si>
    <t>XG0933641</t>
  </si>
  <si>
    <t>Calderbank</t>
  </si>
  <si>
    <t>robert.calderbank@duke.edu</t>
  </si>
  <si>
    <t xml:space="preserve">In the context of the five review elements, please _x000D_
evaluate the strengths and weaknesses of the proposal with respect to intellectual merit._x000D_
_x000D_
Interactive communication involves a pair (X, Y) of random variables distributed over some support set S. Person PX knows X, person PY knows Y, and both know S. The parties use a predetermined protocol to exchange binary messages in order for PY to learn X; PX may or may not learn Y. _x000D_
_x000D_
Communication complexity measures the amount of communication required to solve a task, and information cost measures the amount of information the parties need to reveal about themselves to solve the task. The relationship between the two is fundamental and fascinating. The question of how much an external party learns from observing the protocol, also the generalization to multiple parties, is very important._x000D_
_x000D_
Communication complexity bears upon several problems of significant engineering interest, including that of the edit distance between correlated files, and the privacy / utility tradeoff in querying databases. It bears upon public policy issues of great current interest, for example the goal of ensuring that a given entity (industry or government), trusted to infer certain information with our data, is blocked from inferring protected information from it. For example, a hospital might be allowed to produce a diagnosis on the patient (the positive task), without being able to infer the gender of the subject (negative task). _x000D_
_x000D_
For random errors in interactive communication, the PI has derived a protocol that guarantees a communication rate of 1 û O( (H(epsilon)1/2) and a converse that show the protocol is sometimes optimal. This is a significant result._x000D_
_x000D_
The proposal does not engage with potential applications, nor does it develop a program for interdisciplinary education, rather it is focused exclusively on deriving fundamental mathematical understanding. The aim of the proposal is impact on theoretical computer science, which might be expected, since it is in fact a theoretical computer science proposal._x000D_
_x000D_
_x000D_
In the context of the five review elements, please _x000D_
evaluate the strengths and weaknesses of the proposal with respect to broader impacts._x000D_
_x000D_
If broad impact should happen, it will be accidental, since the PI does not propose a plan for amplifying the impact of the proposed research plan._x000D_
_x000D_
_x000D_
_x000D_
Please evaluate the strengths and _x000D_
weaknesses of the proposal with respect to any additional solicitation-specific review criteria, if _x000D_
applicable_x000D_
_x000D_
_x000D_
_x000D_
Summary Statement_x000D_
_x000D_
Intellectual Merit: Good_x000D_
Broad Impact: Poor_x000D_
_x000D_
</t>
  </si>
  <si>
    <t>SQ0817026</t>
  </si>
  <si>
    <t>Hassibi</t>
  </si>
  <si>
    <t>Hassibi@caltech.edu</t>
  </si>
  <si>
    <t xml:space="preserve">In the context of the five review elements, please _x000D_
evaluate the strengths and weaknesses of the proposal with respect to intellectual merit._x000D_
_x000D_
Strengths _x000D_
_x000D_
-	The proposal considers a series of problems that are of great recent interest and that are at the interface of theoretical computer science and information theory_x000D_
-	The PI has a strong track record in this area and has mastery of the related literature_x000D_
-	While the proposal is mostly limited to questions of compression (in two and multiparty interactive communication), within this confine, the scope of the proposal is quite ambitious_x000D_
-	The PI has a well thought out research agenda_x000D_
-	The questions studied by the PI are deep and of a foundational nature_x000D_
_x000D_
_x000D_
Weaknesses _x000D_
_x000D_
-	While the proposal is well written at a high level, at some points it is difficult to follow, because of a lack of detail and constant reference to a myriad of papers in the literature. The proposal would have benefited from some concrete descriptions/discussions of the approaches used in a few places._x000D_
-	The proposed work appears to be one that requires strong technical skills (which the PI certainly has). However, it is a little short on novel ideas and concepts. All the problems, information measures, etc., come from prior work (especially, that of Braverman). In this sense, the proposal reads as a continuation of work that earlier researchers have done. It would have been nice had the PI been able to come up with his own new measures of information cost in the multi-party setting and with a much more detailed discussion of the channel modeling issues that come up in error-correction coding for interactive communications._x000D_
_x000D_
_x000D_
In the context of the five review elements, please _x000D_
evaluate the strengths and weaknesses of the proposal with respect to broader impacts._x000D_
_x000D_
Strengths _x000D_
_x000D_
-	The PI has plans to present his work in information theory venues and foster more interaction between the IT and CS theory communities_x000D_
-	The PI is planning to give talks and tutorials on the subject and to create a new graduate level course_x000D_
_x000D_
Weaknesses _x000D_
_x000D_
-	The broader impacts, whether educational (graduate, undergraduate), outreach (to industry, other scientific communities, the lay communities and society) is not very well developed and is a weakness of the proposal_x000D_
Strengths _x000D_
_x000D_
-	The PI has plans to present his work in information theory venues and foster more interaction between the IT and CS theory communities_x000D_
-	The PI is planning to give talks and tutorials on the subject and to create a new graduate level course_x000D_
_x000D_
_x000D_
Weaknesses _x000D_
_x000D_
-	The broader impacts, whether educational (graduate, undergraduate), outreach (to industry, other scientific communities, the lay communities and society) is not very well developed and is a weakness of the proposal_x000D_
_x000D_
_x000D_
Please evaluate the strengths and _x000D_
weaknesses of the proposal with respect to any additional solicitation-specific review criteria, if _x000D_
applicable_x000D_
_x000D_
_x000D_
_x000D_
Summary Statement_x000D_
_x000D_
This proposal studies the problems of interactive communication and computation. In particular, it attempts to lower bound the communication complexity of a certain function (or protocol) by information theoretic measures such as the internal (and external) information costs._x000D_
_x000D_
</t>
  </si>
  <si>
    <t>QH0821140</t>
  </si>
  <si>
    <t>Javidi</t>
  </si>
  <si>
    <t>tjavidi@eng.ucsd.edu</t>
  </si>
  <si>
    <t xml:space="preserve">In the context of the five review elements, please _x000D_
evaluate the strengths and weaknesses of the proposal with respect to intellectual merit._x000D_
_x000D_
The goal of this research is to deepen the understanding of information theory in the interactive setting with a particular focus on the compression problem in the interactive setting. In particular, the PI lists important and significant problems in the intersection of source coding and interactive communication. _x000D_
_x000D_
The scope of the project is extremely ambitious; the general area of interactive communication is an extremely important setting, making any research project in this domain extremely valuable. In addition the PI has an excellent track record and is very well positioned to tackle the problems posed. _x000D_
_x000D_
While each of the 14 problems posed by the PI are challenging and the solution to each of which is of significant impact, the proposal reads somewhat disjoint on the common (analytic) underpinning of the actual problems or the most promising methodology. The proposal would have been far stronger if the PI had chosen a subset of the problems listed and provide details on the uniqueness of her approaches and/or the steps involved in successfully tackling the problems proposed. _x000D_
_x000D_
The PI has adequate institutional support._x000D_
_x000D_
In the context of the five review elements, please _x000D_
evaluate the strengths and weaknesses of the proposal with respect to broader impacts._x000D_
_x000D_
The proposal includes a good and solid education plan with mentoring of gradate students._x000D_
_x000D_
Please evaluate the strengths and _x000D_
weaknesses of the proposal with respect to any additional solicitation-specific review criteria, if _x000D_
applicable_x000D_
_x000D_
_x000D_
_x000D_
Summary Statement_x000D_
_x000D_
In summary, the proposed work is ambitious and if successful impactful. However, the proposal would have much improved if the PI choses to focus the writing and the work._x000D_
_x000D_
</t>
  </si>
  <si>
    <t>MP0784008</t>
  </si>
  <si>
    <t>Nosratinia</t>
  </si>
  <si>
    <t>aria@utdallas.edu</t>
  </si>
  <si>
    <t xml:space="preserve">In the context of the five review elements, please _x000D_
evaluate the strengths and weaknesses of the proposal with respect to intellectual merit._x000D_
_x000D_
The proposed project intends to analyze interactive compression. It aims to answer the question: can the transcript of a communication protocol be compressed to its information content. Variations of the problems and its instances in different settings are considered._x000D_
_x000D_
Strengths:_x000D_
_x000D_
+ The proposal addresses interesting problems in interactive compression._x000D_
_x000D_
+ The PI is qualified to undertake the proposed research._x000D_
_x000D_
Weaknesses:_x000D_
_x000D_
- One could argue that interactive compression in a noiseless setting needs better motivation. Aside from questions in complexity theory, in what context would interactive compression be inherently (to the application) interesting or crucial? _x000D_
_x000D_
- Although one section is dedicated to relation to interactive coding, but this section raises new questions rather than tie the rest of the tasks to their equivalent coding problems.  The operational implication of many of the desired results from earlier sections were not sufficiently clarified._x000D_
_x000D_
_x000D_
_x000D_
In the context of the five review elements, please _x000D_
evaluate the strengths and weaknesses of the proposal with respect to broader impacts._x000D_
_x000D_
Weaknesses:_x000D_
_x000D_
- The explanation of the impact is too narrow and confined to the very specialized area of the proposal. The impact of the proposed work on the advancement of the broader theory of computation or information theory could have been explained better._x000D_
_x000D_
- The educational component is insufficient. The educational component of the proposal should be better developed, especially its connection to the research component._x000D_
_x000D_
_x000D_
Please evaluate the strengths and _x000D_
weaknesses of the proposal with respect to any additional solicitation-specific review criteria, if _x000D_
applicable_x000D_
_x000D_
Strengths:_x000D_
_x000D_
+ The scope of the project is compatible with a 5-year duration._x000D_
+ The departmental letter addresses support and mentoring of the PI._x000D_
_x000D_
Weakness:_x000D_
_x000D_
- The education plan is insufficient overall, as well as in addressing synergies between teaching and research._x000D_
_x000D_
_x000D_
Summary Statement_x000D_
_x000D_
A theoretical proposal about interactive compression. The broader impacts of the proposal could have been better clarified. The educational plan is inadequate and does not meet the solicitation-specific criteria._x000D_
_x000D_
</t>
  </si>
  <si>
    <t xml:space="preserve">In the context of the five review elements, please _x000D_
evaluate the strengths and weaknesses of the proposal with respect to intellectual merit._x000D_
_x000D_
This proposal addresses fundamental questions in interactive information theory, which deals  with interactive communication between parties, in contrast to Shannon's classical information theory which deals with one-shot communication. Specifically, a major part of the proposal focuses on  the interactive compression problem, which is the interactive analogue of the data compression problem. The goal is to prove theorems that are analogous to the classical results in information theory, namely noiseless coding theorem.  Interactive channel capacity is also addressed and the goal is to prove a counterpart of the Shannon's noisy coding theorem._x000D_
_x000D_
_x000D_
_x000D_
Strengths:_x000D_
1.	The proposal is generally well-written and focused. It gives a nice introduction to interactive information theory by putting it in context of  classical information theory. _x000D_
_x000D_
2.	The PI is very well-qualified and demonstrates good background and knowledge of the area.  _x000D_
_x000D_
3.	The proposal asks fundamental questions in the area. Addressing even some of these will  lead to significant advances in the field. At least, for some problems (interactive compression, interactive channel capacity), the PI has done significant prior work and seems poised to make progress on the future directions stated._x000D_
_x000D_
4.	Interactive information theory has close connections  to other areas of theory such as communication complexity and distributed computing and this proposal addresses some key issues in those areas._x000D_
_x000D_
Weaknesses:_x000D_
_x000D_
1.	While certain problems are very well-posed and articulated, some problems are just stated based on prior works of other researchers. It is clear that these are important and challenging problems, but no possible approaches to tackling them are mentioned nor any  prior work (even preliminary work) on these  by the PI are mentioned. Examples include the problems in Section 5 (Prior-free setting) and Section 6 (multi-party setting). In particular, it is not clear how to model information cost in the multiparty setting? Generally, this has been quite technical and difficult even for multi-party communication complexity. The PI does not give any hints on possible solutions._x000D_
_x000D_
_x000D_
In the context of the five review elements, please _x000D_
evaluate the strengths and weaknesses of the proposal with respect to broader impacts._x000D_
_x000D_
Strengths:_x000D_
_x000D_
1.	This research has connections with many areas, and has the potential to have an impact similar to Shannon's theory._x000D_
_x000D_
2.	The PI plans to help bridge theoretical computer science and information theory communities._x000D_
_x000D_
Weaknesses:_x000D_
_x000D_
1. The broader impact is rather weakly written and quite generic._x000D_
_x000D_
_x000D_
Please evaluate the strengths and _x000D_
weaknesses of the proposal with respect to any additional solicitation-specific review criteria, if _x000D_
applicable_x000D_
_x000D_
Integration of education and research is rather generic, more elaboration will be better._x000D_
_x000D_
Summary Statement_x000D_
_x000D_
This is a strong proposal focusing on interactive information theory, an important new area in information theory with many applications. The project addresses  fundamental and challenging questions in the area. The PI is very well-qualified to do research in this area with significant prior work. For some problems, more details on possible approaches could ne provided, given the challenging nature. Broader impacts and education plan could have been fleshed out better._x000D_
_x000D_
</t>
  </si>
  <si>
    <t xml:space="preserve">In the context of the five review elements, please _x000D_
evaluate the strengths and weaknesses of the proposal with respect to intellectual merit._x000D_
_x000D_
The intellectual merit component of the proposal is very strong.  The PI proposes questions in compression of interactive protocols._x000D_
Given the known lower bounds (shown by the PI), the PI suggests natural, well motivated, next questions to study -- that is, instead of_x000D_
asking for "nearly perfect compression", can you get a weaker, but still pretty good, compression.  The PI proposes to determine whether there are good algorithms for computing the "information cost", which is a quantity that lower bounds communication complexity.  Extensions to the multiparty setting are proposed.  The PI proposes to work on a number of other questions, including the multiparty setting and interactive coding._x000D_
_x000D_
PI has fantastic track record of solving big open problems in the area._x000D_
_x000D_
In the context of the five review elements, please _x000D_
evaluate the strengths and weaknesses of the proposal with respect to broader impacts._x000D_
_x000D_
Likely impact on information theory._x000D_
_x000D_
Broader impact description could use more details.  The PI has a track record of working with underrepresented groups, but it isn't mentioned (except in the publications)._x000D_
_x000D_
Please evaluate the strengths and _x000D_
weaknesses of the proposal with respect to any additional solicitation-specific review criteria, if _x000D_
applicable_x000D_
_x000D_
_x000D_
_x000D_
Summary Statement_x000D_
_x000D_
+ a large set of important questions, many of them difficult,_x000D_
but the PI has great track record on solving difficult problems._x000D_
_x000D_
- broader impacts could be more well developed._x000D_
_x000D_
</t>
  </si>
  <si>
    <t xml:space="preserve">In the context of the five review elements, please _x000D_
evaluate the strengths and weaknesses of the proposal with respect to intellectual merit._x000D_
_x000D_
The proposal proposes to extent the works on interactive information theory by answering  some of the open questions that have arise in this area. The PI has herself done some very nice works in this area. The problems considered in this proposal are _x000D_
_x000D_
(1) Understanding gap between information cost and communication complexity. Recently such separation has been provided by PI and her coauthors, but those consider special kind of functions. The goal will be to obtain a more general result._x000D_
_x000D_
(2) Interactive compression which is the interactive analogue of data compression: This is related to question (1) and PI will study whether it is possible to develop good compression schemes whose communication complexity grows slowly with information cost and some parameters of the problem. _x000D_
_x000D_
(3) The direct sum problem: Instead of studying it in the amortized setting, the PI proposes to study the one-shot (single copy case) for example, one-shot Wyner-Ziv problem and asks what other classical information theory theorems can be studied in this framework._x000D_
_x000D_
(4) Multiparty setting where the attention is to understand the same questions where several parties are involved._x000D_
_x000D_
There are other problems related to external information cost, interactive compression under various restricted model, connection to interactive coding etc._x000D_
_x000D_
Summary of Strength and Weakness: _x000D_
This is a focused proposal--questions are well-spelled out as they stem from open questions in the papers, some of them are by PI herself, and for that reason I feel good progress will be made. The PI has strong track record and has adequate support from the department._x000D_
_x000D_
The proposal mostly does not contain any idea or approach on how progress will be made. The questions asked are next natural steps stemming from open problems that are currently left out. Having one or two out of the box innovative questions/problems and new ideas that are missing in current literature would have made this proposal much more appealing to me._x000D_
_x000D_
_x000D_
_x000D_
In the context of the five review elements, please _x000D_
evaluate the strengths and weaknesses of the proposal with respect to broader impacts._x000D_
_x000D_
Broader impact is weak for a CAREER proposal. The impact of the results in theoretical computer science and information theory are of course well understood. But beyond that, the proposal does not put effort to spell out anything else._x000D_
_x000D_
Please evaluate the strengths and _x000D_
weaknesses of the proposal with respect to any additional solicitation-specific review criteria, if _x000D_
applicable_x000D_
_x000D_
_x000D_
_x000D_
Summary Statement_x000D_
_x000D_
It is a strong proposal in interactive information theory by a well-qualified PI and it is likely that good progress will be made. The broader impact section of the proposal is considerably weak for a CAREER proposal. Not enough direction is provided on how open questions will be tackled._x000D_
_x000D_
</t>
  </si>
  <si>
    <t>GK0768160</t>
  </si>
  <si>
    <t>Tarokh</t>
  </si>
  <si>
    <t>vahid@seas.harvard.edu</t>
  </si>
  <si>
    <t xml:space="preserve">In the context of the five review elements, please _x000D_
evaluate the strengths and weaknesses of the proposal with respect to intellectual merit._x000D_
_x000D_
The PI considers communications complexity.   In this setting the communication complexity of a function f with respect to a distribution is the minimum communication complexity of a protocol that computes f with high probabilities (she sets this to be 0.9) given that the inputs are drawn according to that distribution.  The information cost of function computation is roughly the amount of information that the parties need to reveal about their inputs to compute f.  For a protocol, this equals to the sum of amounts of information that each party learns about the others assuming that the protocol is executed.  She then proposes to come up with an algorithm to compute this efficiently and asks herself if information cost is equal to the communications complexity.  Her definition of equality is based on order or even polynomial order._x000D_
_x000D_
She then goes on to consider interactive compression, where she points out a result of Braverson that IC + r bits of communications suffice for compression using a protocol that has r rounds. She concludes 'intuitively' that she has to compress multiple rounds in order to reduce compression complexity.  She then reviews her own previous result in this direction about there exist cases that there is a gap between communications complexity and information complexity and proposes to improve on these gaps (at least in order) in future research.  She also asks questions about many questions about situations when a protocol can be replaced by other protocols with same information content but different orders of communications complexities._x000D_
_x000D_
Strengths:  The PI seems amazingly strong.  The topic is interesting (at least to me)._x000D_
_x000D_
Weaknesses: No details of technical approaches to solve the proposed problems are given.  The order analysis may be interesting to theoretical computer scientists, but their relevance to practice, and Shannon Theory are questionable._x000D_
_x000D_
The proposal seems more suitable for a theoretical computer science panel._x000D_
_x000D_
_x000D_
_x000D_
In the context of the five review elements, please _x000D_
evaluate the strengths and weaknesses of the proposal with respect to broader impacts._x000D_
_x000D_
The broader impact statement about potential impacts of the results on other areas of science is good._x000D_
_x000D_
Please evaluate the strengths and _x000D_
weaknesses of the proposal with respect to any additional solicitation-specific review criteria, if _x000D_
applicable_x000D_
_x000D_
_x000D_
_x000D_
Summary Statement_x000D_
_x000D_
Good proposal. Details of technical approaches are missing. The brightest spot is the PI herself which seems super-strong._x000D_
_x000D_
</t>
  </si>
  <si>
    <t xml:space="preserve">In the context of the five review elements, please _x000D_
evaluate the strengths and weaknesses of the proposal with respect to intellectual merit._x000D_
_x000D_
Strong research program of further developing the theory of compression in the interactive setting.  The PI had a pair of papers giving an exponential separation between information cost and communication complexity. The PI hopes to further improve these, as well as solve related problems.  One problem is developing a theory of information cost in the multiparty setting.  The PI also discusses applications to communication complexity and interactive coding._x000D_
_x000D_
The PI has a strong track record in the field._x000D_
_x000D_
_x000D_
In the context of the five review elements, please _x000D_
evaluate the strengths and weaknesses of the proposal with respect to broader impacts._x000D_
_x000D_
The PI discusses the relevance of information and communication in related fields, as well as educating students._x000D_
_x000D_
Please evaluate the strengths and _x000D_
weaknesses of the proposal with respect to any additional solicitation-specific review criteria, if _x000D_
applicable_x000D_
_x000D_
_x000D_
_x000D_
Summary Statement_x000D_
_x000D_
A very good proposal about developing the theory of compression in the interactive setting._x000D_
_x000D_
</t>
  </si>
  <si>
    <t>In the beautiful 1948 paper "A mathematical theory of communication", Claude Shannon introduced information theory and used it to study one-way data transmission problems over different channels. The paper defines and constructs the first error correcting codes and data compression schemes. Shannon's work has had a profound impact on both the practical and theoretical communities, finding application in almost every branch of science and beyond. Information theory is especially relevant today with the rise of the internet and data-intensive applications._x000D_
    In the last decades, interactive communication protocols that perform computations were studied extensively, as interaction often allows for more efficient solutions and models real communication better than one-way models. Interactive information theory is a new field of study at the interface between information theory and the study of interactive protocols. While interactive information theory encompasses many concepts, the key ingredient that sets it apart from classical information theory is that it studies problems where information flows in more than one direction._x000D_
    The goal of the proposed project is to deepen our understanding of information theory in the interactive setting, exploring the question: To what extent can Shannon's results be generalized to the interactive setting, where parties engage in an interactive communication protocol that carries out a computation? We are also interested in applications of interactive information theory to theoretical computer science and to classical information theory._x000D_
    Specifically, we consider the interactive compression problem, which is the interactive analogue of the data compression problem. Informally speaking, the celebrated data compression theorems imply that every message can be compressed to its information content, measured using the Entropy function. The interactive compression problem asks whether the transcript of every communication protocol can be compressed to (roughly) its "information content". An affirmative answer to this problem would also yield a powerful method for proving nearly tight communication complexity lower bounds, and may shed light on other central problems in theoretical computer science that are closely related to it._x000D_
    Key Words: Information Theory; Communication Complexity; Interactive Protocols; Data Compression; Source Coding; Direct SumInteractive information theory studies fundamental problems regarding the flow of information in interactive settings. Information and communication are at the heart of theoretical computer science and related fields. Understanding the interplay between information and communication in the interactive setting is crucial for advancing our knowledge in these fields.The unprecedented effect of Shannon's classical information theory on the sciences, gives hope that a better understanding of the relations between information and communication will also have applications in a wide range of fields. The impact of our project on theoretical computer science is immediate, mainly through connection to the field of communication complexity. The research is also relevant to the information theory community, which often considers related problems. Building better interdisciplinary connections is one of our goals. As part of this project, we intend to train students, and create a new advanced course that covers the new advancements in the field.</t>
  </si>
  <si>
    <t>1750463</t>
  </si>
  <si>
    <t>Raghvendra</t>
  </si>
  <si>
    <t xml:space="preserve"> Panel Summary       
 SUMMARY OF PROPOSED RESEARCH ACTIVITY_x000D_
_x000D_
Description:_x000D_
_x000D_
The proposal studies the k-server problem, matching, transportation, and the transshipment problem.  These are fundamental problems, and progress on these problems would be transformational in theoretical computer science.  The special cases have many applications, and progress on those would inform practice.  The goal of the activity is to design algorithms and prove theorems about their performance, both in terms of competitive ratio and a more fine-grained analysis.  The PI will do this using proof ideas including, for example, the LP-WFA._x000D_
_x000D_
INTELLECTUAL MERIT_x000D_
_x000D_
Strengths_x000D_
_x000D_
+ The proposal looks at different objectives which capture performance in practice, as opposed to just the standard ones._x000D_
+ The list of short and medium-term problems were interesting and important._x000D_
+ The PI has the background and knowledge to tackle the proposed short and medium-term problems._x000D_
_x000D_
Weaknesses_x000D_
_x000D_
- The panel found the plan of attack for the proposed long term problem (k-server) unclear.  The panel would be more convinced of the long-term plan if the PI discussed bottlenecks of the current approaches.  The current discussion (bottom of page 9) is not clear (see individual reviews for more detail)._x000D_
- The claims about bridging theory and practice could be more substantiated; there is little discussion of actually transferring the technologies developed in the proposal into practice._x000D_
- While some panelists liked the list of problems organized into short, medium, and long-term goals, others found it unfocused and not well-organized._x000D_
_x000D_
BROADER IMPACTS_x000D_
_x000D_
Strengths_x000D_
_x000D_
+ The PI has good diversity efforts, including two women students with high quality papers._x000D_
+ The PI has put effort into devising an interesting project, the parking problem, that will involve and excite graduate students._x000D_
_x000D_
Weaknesses_x000D_
_x000D_
- Parking as broader impacts is not sufficient for a five year project; the PI might try to have one such project per year, and might consider encouraging undergrads as well as grads to compete._x000D_
- In general, the project lacks undergraduate involvement._x000D_
 _x000D_
_x000D_
CAREER SOLICITATION-SPECIFIC REMARKS:_x000D_
_x000D_
Letter of institutional commitment._x000D_
_x000D_
* The letter of institutional support is satisfactory, and includes teaching release conditional upon receiving the reward._x000D_
_x000D_
Integration of research and education: _x000D_
_x000D_
* The PI discusses the development of graduate curriculum.  More details should be given about undergraduate course development, including the efforts to incorporate more foundations early on. _x000D_
_x000D_
ADDITIONAL REMARKS_x000D_
_x000D_
Research plan: _x000D_
_x000D_
* The research plan is clearly stated and tractable._x000D_
_x000D_
Data Management Plan: _x000D_
_x000D_
* There is a data management plan._x000D_
_x000D_
Results of prior support:  _x000D_
_x000D_
* The PI clearly states the results of prior NSF support. _x000D_
_x000D_
Justification for Panel Rating: _x000D_
_x000D_
The panel generally liked the short and medium term, but felt they could be better organized.  The panel felt the need for some long term goals as well, but were worried that the specific long term goal addressed by the proposal was poorly articulated._x000D_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</si>
  <si>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CAREER:Robust and Optimal Algorithms for Real-Time Pick-Up and Delivery Problems_x000D_
_x000D_
L: 1750463 Raghvendra, Sharath VA Polytechnic Inst &amp; St U $  533,991_x000D_
_x000D_
_x000D_
P180207 LC AF CAREER/CRII Panel A (14 panelists; 2 decl confl),_x000B_  on 10/24/2017, recommended as Low Competitive (E/V,V,V/G,G)_x000D_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</si>
  <si>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_x000D_
_x000D_
This well-reasoned project studies routing (including pickup and delivery) algorithms in planar and geometric settings. _x000D_
_x000D_
The PI will study both classic and new problems in these settings. Problems include k-server problems, capacitated k-server problems (e.g., trucks, have limited  capacity), the transshipment, probabilistic well-separated pair decomposition, graph-compression,  bipartite matching, and flow problems._x000D_
_x000D_
The PI proposes to use ideas from optimization, computational geometry, and machine learning._x000D_
_x000D_
The PI also mentions the application of allocating parking spaces to cars on the PI's campus._x000D_
_x000D_
The proposal begins by discussing modeling issues with pickup and delivery algorithms. In particular, theoretical computer science and operations research have very different request-generation models. The theoretical models from TCS are often too adversarial, meaning that the algorithm often needs to make poor decisions to protect itself from unlikely but worst-case inputs. In contrast, the OR models are often too predictable and restrictive in request generation, and so the algorithms often don't perform well on real-life data._x000D_
_x000D_
The PI claims "to bridge the gap between theory and practice." This seems to be some combination of trite and farfetched.  On the other hand, the generation models that  allow for adversarial inputs plus some amount of randomization are nice._x000D_
_x000D_
In general, the PI proposes to make progress on big, well known, and hard problems, but the PI has a history of solving problems in the past. The PI is one of the top researchers in the field working  these sorts of problems._x000D_
_x000D_
The proposal is slightly repetitive and not as clean as it might be.  There were a bunch of places where I really did not enjoy the writing. On the other hand, I was particularly interested in the research problems that the PI proposes._x000D_
_x000D_
_x000D_
_x000D_
In the context of the five review elements, please _x000D_
evaluate the strengths and weaknesses of the proposal with respect to broader impacts._x000D_
_x000D_
The broader impact section of the proposal is weak compared to what it should be.  In a seven-line Broad Impact section,  I would not waste a line or two talking about parking spaces. Nonetheless, the solutions to the problems in this proposal have the potential for broad impact in computer science and other fields. _x000D_
_x000D_
_x000D_
Please evaluate the strengths and _x000D_
weaknesses of the proposal with respect to any additional solicitation-specific review criteria, if _x000D_
applicable_x000D_
_x000D_
_x000D_
_x000D_
Summary Statement_x000D_
_x000D_
I view this as a VG proposal, based on the research directions, the proposal story, and the prior research successes of the PI._x000D_
_x000D_
_x000D_
</t>
  </si>
  <si>
    <t xml:space="preserve">In the context of the five review elements, please _x000D_
evaluate the strengths and weaknesses of the proposal with respect to intellectual merit._x000D_
_x000D_
The PI proposes to address the problem of real-time pick-up and delivery. This is a problem for which any improvement would have many repercussions in practical applications, including for emergency response. This work is geared towards robust optimization algorithms. _x000D_
_x000D_
Intellectual merit:_x000D_
Strengths:_x000D_
+ The PI has conducted prior work in the area he plans to work on. He has prior NSF support in the same general area._x000D_
+ The PI identifies interesting research questions to be investigated about the delivery problem. His discussion and planned work on a new way of analyzing online algorithms is very interesting. The proposed work is definitely worth investigating and has fundamental components, which, if the research is successful, will be significant contributions to algorithm design and to understanding of classical problems in this area._x000D_
+ The proposal is well written._x000D_
_x000D_
Weaknesses_x000D_
- No timeline._x000D_
- Many research questions (6 short-term questions) are identified and the proposal seems to lack focus. All proposed work, of course, falls under the goal of contributing to the delivery problem, but the diversity of the directions and the openness of some of the questions is somehow a concern. The repetition of the questions and problem statement across the proposal makes it hard to keep a focus on the goal and objectives of this work._x000D_
- There is no mention of work in the same general area of Dynamic Vehicle Routing, e.g., by Bent &amp; Van Hentenryck, or by Solomon. _x000D_
_x000D_
_x000D_
In the context of the five review elements, please _x000D_
evaluate the strengths and weaknesses of the proposal with respect to broader impacts._x000D_
_x000D_
Broader impact:_x000D_
Strengths_x000D_
+ The topic of the proposed research is very relevant to many applications, hence giving the success of this project impact on practical applications, which include new insights in the solution of emergency response situations. _x000D_
+ The PI plans to make his codes public. _x000D_
+ The PI plans to use this project to attract students to research in algorithms, in particular underrepresented students. _x000D_
_x000D_
Weaknesses_x000D_
- It is not clear how the PI plans to put emphasis on recruiting underrepresented students. _x000D_
- How will the code made public be disseminated to be used by a wide variety of practitioners? 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creative educational plan. In particular, I like the coding project he plans to propose to students, which aims to address a parking problem at his institution. _x000D_
+ The PI's plan is based on prior experience and evidence of involving students. In particular, he plans to recruit graduate students via project-based courses, as he has done in the past. _x000D_
_x000D_
Weaknesses_x000D_
- How long does the PI plan to use the parking problem? Has he thought about subsequent real-life problems relevant to students to follow up with?_x000D_
- His plan to work with students in research is heavily geared towards graduate students. Why not plan to engage more undergraduate students?_x000D_
- The educational plan that concerns undergraduate students is not very developed and overall pretty conventional. _x000D_
_x000D_
Data Management Plan_x000D_
The Data Management Plan is appropriate but lacks information about where the code the PI and his team will develop will be made publicly available. _x000D_
_x000D_
_x000D_
Summary Statement_x000D_
_x000D_
Overall, an interesting proposal with good research questions and some good ideas in the educational plan.  However, I find it to lack focus._x000D_
_x000D_
</t>
  </si>
  <si>
    <t xml:space="preserve">In the context of the five review elements, please _x000D_
evaluate the strengths and weaknesses of the proposal with respect to intellectual merit._x000D_
_x000D_
1) This proposal studies the classic k-server problem and variants, as well as min-cost flow.  The k-server problem is important both in its applications to practical problems, and as a test bed for online algorithm techniques that have the potential to be ported to other online problems.  _x000D_
_x000D_
Motivated by applications in transportation such as Amazon instant delivery and Uber, the proposal chooses to focus on metric planar graphs (or graphs with a small separator) that have good competitive ratios and also good performance on average, given the topology and distribution of server requests.   _x000D_
_x000D_
2) This is an important and active research area.  The majority of the proposal involves extending existing techniques to new settings, and analyzing them with new metrics for success.  For example, the classic k-server algorithm uses a work function algorithm together with a greedy algorithm to obtain bounded competitive ratio.  The PI suggested, in prior work, using an LP-formulation of the work function algorithm, called LP-WFA, and now proposes improving its analysis (SQ1/SQ2/MQ1/SQ3). Thus, while the proposed research is perhaps not deeply creative or original, it certainly has the potential to be transformative, both in the online algorithms and planar graphs communities and in practice._x000D_
_x000D_
3) The proposal is very well-written, and has a clear and tractable plan with a healthy mix of short and medium term goals._x000D_
_x000D_
4) The PI has a proven track record of strong publications in this area, several joint with Ph.D. students.  I have full confidence in his ability to carry out the proposed work._x000D_
_x000D_
5) There are adequate resources for the work at the PI's home institution._x000D_
_x000D_
_x000D_
In the context of the five review elements, please _x000D_
evaluate the strengths and weaknesses of the proposal with respect to broader impacts._x000D_
_x000D_
The PI has a good broader impacts section.  He proposes the standard things: designing new curriculum at both the graduate and undergraduate level, exerting effort to work with women and minority students (he has already graduated two women), and organizing conferences/workshops/etc.  The most interesting part of the broader impact is a suggested project/competition to improve parking on campus.  This seems pretty exciting, well thought-out, and I suspect will create a lot of interest among students in theoretical computer science and its applications._x000D_
_x000D_
_x000D_
Please evaluate the strengths and _x000D_
weaknesses of the proposal with respect to any additional solicitation-specific review criteria, if _x000D_
applicable_x000D_
_x000D_
None_x000D_
_x000D_
Summary Statement_x000D_
_x000D_
This is a strong proposal with transformative research directions and a good broader impacts section._x000D_
_x000D_
</t>
  </si>
  <si>
    <t xml:space="preserve">In the context of the five review elements, please _x000D_
evaluate the strengths and weaknesses of the proposal with respect to intellectual merit._x000D_
_x000D_
PI proposes to design new online and offline algorithms for flow and matching related problems. In the online setting, PI proposes to look at problems including k-server problem and online matching problem under different measures to measure performance. PI also aims to design fast algorithms for matching problems in planar and geometric graphs.  One of the nice features of the proposal is also to look at other measures than the standard competitive analysis for online algorithms._x000D_
_x000D_
PI has worked on many of problems proposed and is well suited. _x000D_
_x000D_
One of the main lines of work in online algorithms over the past decade has been the online primal-dual framework. PI does not compare his proposed methodology with this framework.  The discussion on the general k-server problem is not clear. The discussion about previous work is not accurate enough. Moreover, the approach for the problem is not clear at all. _x000D_
_x000D_
_x000D_
In the context of the five review elements, please _x000D_
evaluate the strengths and weaknesses of the proposal with respect to broader impacts._x000D_
_x000D_
PI proposes incorporating components of the research in graduate courses and projects. PI aims to to recruit underrepresented communities._x000D_
_x000D_
Please evaluate the strengths and _x000D_
weaknesses of the proposal with respect to any additional solicitation-specific review criteria, if _x000D_
applicable_x000D_
_x000D_
_x000D_
_x000D_
Summary Statement_x000D_
_x000D_
Overall, a quality proposal._x000D_
_x000D_
</t>
  </si>
  <si>
    <t>In the era of instant gratification, consumers expect to receive delivery of goods and services on demand. There is a similar expectation for delivery of life-saving services in disaster and war_x000D_
zones. In an effort to address these needs, service providers have adopted allocation and routing algorithms with only limited guarantees that yield higher costs than desired. There are two major difficulties in finding cost-effective solutions. First, in many cases, routing decisions need to be made with partial or no information on the future requests. Second, even if all required information is available in advance, it could take several hours to compute an efficient route_x000D_
making real-time routing almost impossible. This project investigates the design of robust algorithms for real-time delivery in geometric, metric and planar settings with a fine-grained analysis of optimality across different types of input and request generation models.This project will study a wide range of optimization problems in geometric, metric and planar settings. The PI will design exact, approximation and online algorithms that provide robust performance guarantees by exploiting properties of these settings. Existing techniques have severe limitations that restrict their applicability to a more general class of pick-up and delivery problems. The problems studied will not only touch upon several decades-old conjectures_x000D_
including the adversarial and randomized k-server conjectures but will also introduce new algorithms. New solutions will include approximate and probabilistic version of the work function algorithm, probabilistic well-separated pair decomposition and new graph compression techniques. The proposed techniques lead to a fine-grained measure of optimality for online algorithms. The project will also introduce and integrate several novel techniques from various areas including computational geometry, optimization and machine learning that will assist in the design and analysis of these algorithms. Finally, the PI_x000D_
and his students will also focus on integrating these solutions with applications including the modeling and design of algorithms for an efficient assignment of parking spaces to cars in a college campus.The project considers algorithms for allocation and routing problems in geometric, metric and planar settings that arise in logistics while exploring the possibility of a future unified framework in the logistics space.  In terms of broader impact, the PI and his students will implement, test,_x000D_
optimize and make software available for the benefit of both the public and private sectors.  The PI will motivate young researchers by introducing a practically relevant problem of assigning parking spaces at Virginia Tech through a competitive project as part of a graduate level class._x000D_
In this project, the students will model, design and implement robust online algorithms. The PI will build on the growing algorithms program at Virginia Tech and bring together young researchers including women and minorities from diverse backgrounds such as computer science, mathematics and operations research.</t>
  </si>
  <si>
    <t>1750555</t>
  </si>
  <si>
    <t>Hardt</t>
  </si>
  <si>
    <t xml:space="preserve"> Panel Summary       
 Description:_x000D_
_x000D_
The PI proposes to make machine learning more reliable by using algorithmic stability as the technical framework for developing novel theory and practical tools. The proposed work spans three important domains where machine learning, theoretical computer science, and statistics intersect: reliable data science; understanding deep learning; and stability for unsupervised learning. A fourth domain that is also included in the proposal is algorithmic fairness in machine learning, a loaded topic that has received continuous media coverage lately. In all four areas the PI has contributed significant prior work that he intends to build upon in novel, transformative directions. The PI has formulated many precise research questions in the proposal, ranging from the rate of estimation in adaptive data analysis to more reliable benchmarks to the grand challenge of replacing p-values in scientific applications by stability._x000D_
_x000D_
Intellectual Merit:_x000D_
_x000D_
Strengths_x000D_
  + ambitious research tasks with the potential for strong impact in any scientific field where machine learning is applied._x000D_
  + excellent PI with strong track record of ground-breaking contributions._x000D_
  + strong potential for transformative research that could use algorithmic stability to replace the traditional notion of p-values in scientific application domains._x000D_
  _x000D_
Weaknesses_x000D_
  None identified by the panelists._x000D_
_x000D_
Broader Impact: _x000D_
_x000D_
Strengths_x000D_
  + the proposed research, if successful, could impact our understanding of the reliability of the outputs of machine learning algorithms, both in the supervised and the unsupervised setting._x000D_
  + the PI has already made significant efforts to achieve community building around the objectives of this proposal by organizing workshops and specialized conferences that cut across theoretical computer science, machine learning, and statistics. The panel concurred that his work has strong potential to influence all the aforementioned communities._x000D_
  + reasonable educational component; even though the PI just joined UC Berkeley, he is advising multiple PhD students. _x000D_
_x000D_
Weaknesses_x000D_
  None identified by the panel. _x000D_
_x000D_
Solicitation-specific criteria:_x000D_
_x000D_
The panel concurred that the integration of education and research in this proposal is adequate. The panel appreciated the fact that the community building activities proposed by the PI will help train graduate students at the intersection of Machine Learning, Statistics, and Theoretical Computer Science. _x000D_
_x000D_
Data Management Plan: _x000D_
_x000D_
The data management plan is adequate._x000D_
_x000D_
Justification for Panel Rating:  _x000D_
_x000D_
A very well-written, ambitious proposal. Very strong intellectual merit and outstanding potential for broader impact in scientific fields that are impacted by unreliable machine learning. The PI's reputation and record are strong indicators for the proposal's success._x000D_
_x000D_
Panel Rating:_x000D_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</si>
  <si>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provide new models and  algorithms with provable guarantees for several topics of significant importance in modern machine learning, including:_x000D_
_x000D_
(1) Reliable machine learning with the goal of reducing false discovery and overfitting._x000D_
(2) Understanding deep networks, for example how the parameterization of the model can help in easing optimization, and how in turn easier optimization problems may lead to better generalization._x000D_
(3) Unsupervised learning_x000D_
(4) Fairness in machine learning_x000D_
_x000D_
The proposed questions are very interesting and of high potential impact. The PI has already done seminal works in all of these directions, and overall he is uniquely qualified to attack the questions proposed._x000D_
_x000D_
The one section I found less convincing is the unsupervised learning section, but even without that section the proposal is very interesting._x000D_
_x000D_
_x000D_
In the context of the five review elements, please _x000D_
evaluate the strengths and weaknesses of the proposal with respect to broader impacts._x000D_
_x000D_
The PI has been actively engaged in organizing workshops on topics related to those in this proposal. He has also mentored students (through summer internships) and engaged with broad interdisciplinary audiences. He plans to continue all these. _x000D_
_x000D_
_x000D_
Please evaluate the strengths and _x000D_
weaknesses of the proposal with respect to any additional solicitation-specific review criteria, if _x000D_
applicable_x000D_
_x000D_
_x000D_
_x000D_
Summary Statement_x000D_
_x000D_
This is a very strong proposal aiming to provide new models and  algorithms with provable guarantees for several topics of significant importance in modern machine learning. The PI has an excellent track record on the proposed topics and is uniquely qualified to tackle the proposed questions._x000D_
_x000D_
</t>
  </si>
  <si>
    <t xml:space="preserve">In the context of the five review elements, please _x000D_
evaluate the strengths and weaknesses of the proposal with respect to intellectual merit._x000D_
_x000D_
This is an exciting and ambitious proposal that focuses on stability in machine learning. The proposed research tackles the problem in three directions: (1) develop new techniques and algorithms for adaptive data analysis to prevent false discovery, (2) use re-parameterization to explain when and why deep learning networks perform and generalize well and (3) develop notions of stability for unsupervised learning. These directions will help establish a stability theory for machine learning and hence are of significant importance.  In addition to the above, the proposed research also touches on privacy and fairness in machine learning. _x000D_
_x000D_
The PI has a track record of publishing in the area of proposed research is well qualified to carry out the proposed research. _x000D_
_x000D_
_x000D_
In the context of the five review elements, please _x000D_
evaluate the strengths and weaknesses of the proposal with respect to broader impacts._x000D_
_x000D_
+ Research results may have broad spillover effect on machine learning practice.  _x000D_
+ Increase awareness of societal consequences of machine learning via FATML workshop/conference_x000D_
+ Technology adoption by company and machine learning challenges_x000D_
_x000D_
Please evaluate the strengths and _x000D_
weaknesses of the proposal with respect to any additional solicitation-specific review criteria, if _x000D_
applicable_x000D_
_x000D_
Adequate integration of research and education: course development and student advising/mentoring._x000D_
_x000D_
Summary Statement_x000D_
_x000D_
An excellent proposal._x000D_
_x000D_
</t>
  </si>
  <si>
    <t xml:space="preserve">In the context of the five review elements, please _x000D_
evaluate the strengths and weaknesses of the proposal with respect to intellectual merit._x000D_
_x000D_
The PI proposes to make machine learning more reliable by leveraging algorithmic stability as the technical framework for developing novel theory and practical tools. More specifically, the PI proposes to work on three domains: reliable data science; understanding deep learning; and stability for unsupervised learning. In all three areas, the PI will build upon his significant (and one could say groundbreaking) prior work. The PI has had significant contributions at the intersection of machine learning and theoretical computer science: for example, his work on the reusable holdout method which avoid biases that are introduced by probing the same holdout set multiple times using different methods. The PI crucially used ideas from differential privacy, showing that differential privacy implies algorithmic stability (which, in turn, implies generalization --- this is not the PI's work)._x000D_
_x000D_
The PI proceed to formulate many precise questions ranging from the rate of estimation in adaptive data analysis to more reliable benchmarks to the grand challenge of replacing p-values in scientific applications by stability (an excellent objective, in my opinion). Then, the PI proposes to work on understanding the interplay between optimization and parameterization in deep learning, again posing a number of precise technical questions to achieve the end goal. Finally, the PI discusses the potential of algorithmic stability for unsupervised learning: roughly speaking, the PI proposes to significantly extend our understanding of the observation that stability implies_x000D_
useful composition properties, thus ensuring that the unsupervised learner performs well with respect to a second learning task. The PI defines a potential framework that might be used to address such questions._x000D_
_x000D_
From an intellectual merit perspective, the proposed research directions are outstanding. The only concern might be the relative lack of technical details outlining the PI's approach to tackle the formidable challenges laid out in the proposal. However, in my opinion, this lack of technical details is mitigated by the PI's exceptional record which is a strong indicator of success for the proposed work._x000D_
_x000D_
In the context of the five review elements, please _x000D_
evaluate the strengths and weaknesses of the proposal with respect to broader impacts._x000D_
_x000D_
The broader impact of the proposal stems from the importance of reliable machine learning: there is no doubt that irreproducible research is at least partly due to poor statistical analyses and lack of stable, reliable machine learning approaches. The PI also has a significant amount of work on fairness in machine learning, even though this line of research did not seem to be in the forefront of the proposed work. The PI has organized workshops aiming to achieve community building around the objectives of this proposal and, in my opinion, his work will influence both the Machine Learning and Theoretical Computer Science communities. The proposed educational plan is reasonable but not outstanding._x000D_
_x000D_
Please evaluate the strengths and _x000D_
weaknesses of the proposal with respect to any additional solicitation-specific review criteria, if _x000D_
applicable_x000D_
_x000D_
See discussion above._x000D_
_x000D_
Summary Statement_x000D_
_x000D_
A very well-written, ambitious proposal. Very strong intellectual merit, and, if successful, outstanding broader impact. The PI's reputation and record is a strong indicator for the proposal's success._x000D_
_x000D_
</t>
  </si>
  <si>
    <t xml:space="preserve">In the context of the five review elements, please _x000D_
evaluate the strengths and weaknesses of the proposal with respect to intellectual merit._x000D_
_x000D_
This is a compelling proposal about machine learning. It discusses methods to improve reliability and avoid overfitting, to understand why deep learning is so successful in practice, and to develop a universal framework for generalization in unsupervised learning.  These are important problems, and the PI has an excellent track record on related work. Strong practical motivation._x000D_
_x000D_
This may or may not be a weakness for the theory panel, but recently the PI has published in ML venues, rather than theory ones.  Also, his PhD is from 2011, two years before most of the others, giving him perhaps an undeserved advantage._x000D_
_x000D_
_x000D_
In the context of the five review elements, please _x000D_
evaluate the strengths and weaknesses of the proposal with respect to broader impacts._x000D_
_x000D_
Part of the proposal is about fairness, and the PI has been raising awareness about the societal impact of algorithms.  The PI co-founded and has since co-organized a related workshop. He will also advise students, develop a course on fairness, and more._x000D_
_x000D_
Please evaluate the strengths and _x000D_
weaknesses of the proposal with respect to any additional solicitation-specific review criteria, if _x000D_
applicable_x000D_
_x000D_
_x000D_
_x000D_
Summary Statement_x000D_
_x000D_
A strong proposal about important areas of machine learning._x000D_
_x000D_
</t>
  </si>
  <si>
    <t>CAREER: Stable Foundations for Reliable Machine Learning_x000D_
_x000D_
Across all sciences, researchers hope to use algorithms and machine learning to derive reliable insights from data, but often research findings turn out to be false or hard to replicate. Indeed, assessing the validity of insights suggested by data is presently a difficult and error-prone task. Even in industry,_x000D_
where machine learning has fueled dramatic advances, more principled ways of benchmarking and improving the performance of a machine learning system would make a major difference. What often_x000D_
works best in practice are poorly understood non-convex optimization methods-leading to much guesswork with varying results. This inscrutable behavior of machine learning also has repercussions on society at large as more and more people struggle with the implications of algorithmic decisions in their daily lives. Fairness, interpretability, and transparency have become major talking points as algorithms increasingly aid or replace human judgment._x000D_
I aim to build guiding theory alongside scalable algorithms that make the practice of machine learning more reliable, transparent, and effective. Focusing on algorithmic stability as a unifying technical framework, this proposal targets three primary challenges:_x000D_
--Design a robust methodology to address the reliability crisis in data science and machine learning with the goal of reducing false discovery and overfitting. This effort extends on my recent work in the area of adaptive data analysis, but aims to complement the existing perspective with fundamentally new insights._x000D_
--Establish a working theory for why and when large artificial neural networks train and generalize well. This line of work will focus on how the parameterization of the model can help in easing_x000D_
optimization, and how in turn easier optimization problems may lead to better generalization performance._x000D_
--Develop a notion of algorithmic stability for unsupervised learning leading to a robust and universal framework to reason about generalization in unsupervised learning as is presently lacking. An important test case for this theory will be in the area of distribution learning and generative models.The proposed work combines a statistical view of algorithms with an algorithmic view of statistics, extending on the conceptual and technical repertoire of both disciplines. The work is likely to strengthen the ties between these fields, leading to new problems and concepts along the way.A major shortcoming of machine learning is its present lack of interpretable, reliable guarantees that do justice to its increasingly important role in science and society. Developing methods with strong theoretical underpinnings can provide much-needed a priori guarantees that avoid costly trial and error. More reliable machine learning methods may not only reduce the prevalence of incorrect scientific results, they can also facilitate the adoption of machine learning in high stakes applications. I have long been actively raising awareness about the societal impact of algorithms and machine learning, as exemplified not only by early work on privacy and fairness, areas that greatly benefit from a principled understanding of machine learning. Part of this ongoing effort has been community building through workshops, mentorship, teaching, and engaging with broad interdisciplinary audiences.</t>
  </si>
  <si>
    <t>1750640</t>
  </si>
  <si>
    <t>Ullman</t>
  </si>
  <si>
    <t xml:space="preserve"> Panel Summary       
 Description: _x000D_
This proposal focuses on developing data analysis algorithms that have rigorous guarantee of statistical accuracy, privacy, and computational efficiency. It contains several thrusts: (1) develop new techniques and algorithms with optimal sample complexity for interactive data analysis, (2) design computationally efficient and differentially private algorithms, (3) characterize realistic privacy attacks that can inform the design of privacy algorithms, and (4) adversarial machine learning. _x000D_
_x000D_
Intellectual Merit: _x000D_
_x000D_
Strengths_x000D_
  + The panel thinks the research plan is ambitious, compelling and generally well reasoned. The panelists are especially excited about the first two thrusts. Developing notions of stability that are weaker than differential privacy to establish new techniques and optimal algorithms for interactive data analysis and using techniques such as tensor completion and sum-of-squares algorithms to tackle the computational (in)efficiency of differentially private algorithms are exciting and potentially fruitful directions. _x000D_
 +  The panel thinks the crypto perspective that the PI takes is novel for the domain and can be transformative._x000D_
 + The PI has done substantial work in the research directions proposed and is one of the best researchers to carry out the proposed research. _x000D_
_x000D_
Weaknesses_x000D_
  - The last thrust is not very well fleshed out and probably can be left out._x000D_
_x000D_
Broader Impact:_x000D_
The panel thinks the proposal has excellent broader impact_x000D_
+ Workshop organization to reconnect the now very large differential privacy community. This is important and the PI has already been doing it. _x000D_
+ Podcast production showing how scientific perspective can be integrated into practical, non-academic subjects. The panel was especially excited about this broad science outreach. _x000D_
+ Excellent curriculum development and student involvement plan_x000D_
_x000D_
Solicitation-specific criteria: _x000D_
The integration of education and research is very well done._x000D_
_x000D_
Data Management Plan: _x000D_
Adequate_x000D_
_x000D_
What is bold, exciting, high risk/reward, or potentially transformative? _x000D_
The proposed research directions and the approaches that the PI plan to undertake can lead to high risk high reward research.  _x000D_
_x000D_
Justification for Panel Rating:  _x000D_
An excellent, ambitious and well thought-out proposal. _x000D_
_x000D_
Panel Rating: 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</si>
  <si>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is an excellently written and well reasoned proposal that aims to develop data analysis algorithms that can prevent false discovery in interactive data analysis, that are privacy preserving and computationally efficient, and generally speaking that are robust and trustworthy. _x000D_
_x000D_
The idea behind the proposed research is built upon the insight that challenges in both interactive data analysis and privacy-preserving statistical analysis can be tackled with a notion of stability. Differential privacy has been a popular notion of stability and in prior work has been used to prevent false discovery in interactive data analysis. But the notion of differential privacy is quite strong. For interactive data analysis, when applying differential privacy, it requires many more sample. For privacy-preserving statistical analysis, differential private algorithms often sacrifice computational efficiency. The PI aims to develop notions of stability that are weaker than differential privacy to establish new techniques and optimal algorithms for interactive data analysis and use techniques such as tensor completion and sum-of-squares algorithms to tackle the computational (in)efficiency of differential privacy. In addition to the above two thrusts, the PI will also investigate realistic privacy attacks and apply stable algorithms to other new settings such as adversarial machine learning. _x000D_
_x000D_
The PI has an established record in the area of differential privacy and using it for interactive data analysis. Despite the prior work, the proposed research is challenging and novel. The PI will take a crypto perspective for the proposed research and if successful will significantly advance the stability, reliability and trustworthy of algorithms and statistical analysis._x000D_
_x000D_
In the context of the five review elements, please _x000D_
evaluate the strengths and weaknesses of the proposal with respect to broader impacts._x000D_
_x000D_
+ Will produce more reliable and effective data analysis methods for empirical sciences and practitioners. _x000D_
+ Other excellent broader impacts including workshop organization to reconnect the now very large differential privacy community and a podcast production showing how scientific perspective can be integrated into practical, non-academic subjects. _x000D_
_x000D_
_x000D_
Please evaluate the strengths and _x000D_
weaknesses of the proposal with respect to any additional solicitation-specific review criteria, if _x000D_
applicable_x000D_
_x000D_
Adequate integration of research and education: course development and student advising/mentoring. _x000D_
_x000D_
_x000D_
Summary Statement_x000D_
_x000D_
An excellent proposal. _x000D_
_x000D_
_x000D_
</t>
  </si>
  <si>
    <t xml:space="preserve">In the context of the five review elements, please _x000D_
evaluate the strengths and weaknesses of the proposal with respect to intellectual merit._x000D_
_x000D_
The PI proposes to perform research at the intersection of false discovery from interactive data analysis and statistical data privacy. Interestingly, the two fields have been unified by a body of work by many researchers, including prominent publications by the PI. The proposed research has four axes: (i) the use of differential privacy to prevent false discovery in interactive data analysis while sacrificing less statistical power (reducing false discovery in interactive data analysis is currently quite costly); (ii) computationally efficient privacy preserving algorithms for high-dimensional datasets; (iii) realistic privacy attacks to understand the limitations of privacy; and (iv) new applications of algorithmic stability to avoid sophisticated attacks in machine learning, such as training data manipulation, etc._x000D_
_x000D_
The PI expands on all aforementioned directions with a precise set of research topics and questions that are well-motivated and, in my opinion, is well qualified to address and resolve, at least from a theoretical perspective._x000D_
_x000D_
In the context of the five review elements, please _x000D_
evaluate the strengths and weaknesses of the proposal with respect to broader impacts._x000D_
_x000D_
The broader impacts of the proposal are definitely well above average. A nice educational plan, complemented with even a podcast production that the PI is co-producing. Student involvement and educational outreach are both quite reasonable. The only quibble might be the outreach to the machine learning community: it is not obvious how the PI's work will move from theoretical computer science to more applied venues: for the proposed line of the work to have true impact in practice, the PI will need to reach out to the statistics and the machine learning community, which is a rather tall order. However, this only slightly mitigates the broader impacts of a very good proposal._x000D_
_x000D_
Please evaluate the strengths and _x000D_
weaknesses of the proposal with respect to any additional solicitation-specific review criteria, if _x000D_
applicable_x000D_
_x000D_
See discussion above._x000D_
_x000D_
Summary Statement_x000D_
_x000D_
An ambitious, well-written proposal. Very good in terms of both intellectual merit and broader impacts._x000D_
_x000D_
</t>
  </si>
  <si>
    <t xml:space="preserve">In the context of the five review elements, please _x000D_
evaluate the strengths and weaknesses of the proposal with respect to intellectual merit._x000D_
_x000D_
Summary:_x000D_
_x000D_
This proposal deals with algorithms that have rigorous guarantees of privacy, security, and statistical accuracy. This is an important emerging area in theoretical computer science with many practical applications and is extremely timely with the emergence of Big Data. The main directions are:_x000D_
_x000D_
(1) Interactive data analysis: identifying new techniques and algorithms with optimal sample complexity. A key question is whether we can obtain more powerful algorithms by_x000D_
avoiding privacy or if this is even necessary._x000D_
_x000D_
(2) Designing efficient private algorithms for natural data analysis tasks._x000D_
_x000D_
(3) Realistic privacy attacks that can inform the design and deployment of privacy technologies._x000D_
_x000D_
_x000D_
_x000D_
Strengths:_x000D_
_x000D_
1.	The proposal is extremely very well written  and gives a nice tour de force of differential privacy and its applications. The connections to interactive data analysis  is very interesting and compelling. _x000D_
_x000D_
2.	The PI has done substantial work in essentially all the research directions proposed which are well-thought of and fleshed out._x000D_
_x000D_
3.	The project is right on the money in data analysis and addresses an important aspect, namely privacy and interactive data analysis. The latter has wide implications how data is used and interpreted. The PI is well-poised to make advances in the research directions proposed._x000D_
_x000D_
Weaknesses:_x000D_
1.	None._x000D_
_x000D_
_x000D_
_x000D_
In the context of the five review elements, please _x000D_
evaluate the strengths and weaknesses of the proposal with respect to broader impacts._x000D_
_x000D_
Strengths:_x000D_
_x000D_
1.	Privacy is obviously important and this research can lead to provably good privacy-preserving algorithms with rigorous privacy, security and statistical guarantees._x000D_
_x000D_
2.	Interactive data analysis can be very useful in empirical sciences and can lead to better interpretation of results based on interactive analysis._x000D_
_x000D_
3.	The PI has a strong program in connecting various communities that work in differential privacy._x000D_
_x000D_
4.	The project had an excellent curriculum development and student involvement plan. The PI has mentored a female undergraduate summer intern with whom he has co-authored a COLT paper._x000D_
_x000D_
_x000D_
Please evaluate the strengths and _x000D_
weaknesses of the proposal with respect to any additional solicitation-specific review criteria, if _x000D_
applicable_x000D_
_x000D_
The integration of education and research is very well done._x000D_
_x000D_
Summary Statement_x000D_
_x000D_
This is a strong and timely proposal on privacy aspects of data analysis. The PI is very well qualified to undertake the research agenda. The broader impact and education component is also well-written._x000D_
_x000D_
</t>
  </si>
  <si>
    <t xml:space="preserve">In the context of the five review elements, please _x000D_
evaluate the strengths and weaknesses of the proposal with respect to intellectual merit._x000D_
_x000D_
This proposal lays out several thrusts:_x000D_
1)	Rigorously studying interactive data analysis_x000D_
2)	Computationally efficient algorithms of DP_x000D_
3)	Realistic privacy attracks_x000D_
4)	Adversarial machine learning._x000D_
_x000D_
The most developed is #2.  About computationally efficient data summaries.  The basic idea here is to replace "synthetic data bases, which are either impossible or intractable, with some thing else.  The proposed methods forward are SoS and tensor composition.  They are quite intriguing, and also include back-up plans._x000D_
_x000D_
_x000D_
_x000D_
In the first thrust, the goal is to understand how privacy relates to interactive data analysis, and to figure out the fundamentals.  I think this seems like a great goal, unfortunately, some of the approaches listsed do not seem particularly promising (or perhaps I do not understand them much), but  One sub questions the PI proposes on the way is to study the statistical query model.  I did not understand this, because I don't see how to mix that data "size" metrics, and the SQ model.  I also did not deeply understand question 3, which seems to be asking about how many samples can be saved by testing k hypotheses together versus individually.  Q4 seems very interesting, asking about "what if the tester does not know the population", but the way forward is also a little vague._x000D_
_x000D_
The third trust is based on past research.  The goal is to create realistic attacks by building largely on this past work.  _x000D_
_x000D_
The fourth trust is adversarial machine learning.  This is the least developed.  It seems to miss vast research on the topic, and I do not see the intuitive connection beyond a very surface level._x000D_
_x000D_
The plan definitely explores important areas with novel ideas. _x000D_
_x000D_
The plans are a little spotty at places.  Though, this is often the case with theory research._x000D_
_x000D_
The PI is very qualified with adequate resources. _x000D_
_x000D_
_x000D_
In the context of the five review elements, please _x000D_
evaluate the strengths and weaknesses of the proposal with respect to broader impacts._x000D_
_x000D_
This proposal, if successful with have applications to large areas of empirical science, including datamining and data sharing.  This represents very exciting directions!_x000D_
It would also help the PI in his organization role at two workshops, creating a website for visibility of privacy research, and be input into the Pis grad course (and possible new UG course).  The PI will continue to mentor undergraduates and PhDs in research.  _x000D_
_x000D_
_x000D_
_x000D_
Please evaluate the strengths and _x000D_
weaknesses of the proposal with respect to any additional solicitation-specific review criteria, if _x000D_
applicable_x000D_
_x000D_
The main outreach is a pod-cast to discuss science topics to a broad audience.  While very ambitious, it seems only tangentially related to the proposal._x000D_
_x000D_
Summary Statement_x000D_
_x000D_
The proposal addresses really important questions by a very capable researcher.  Some of the paths forward are better worked out than others.  There is a large potential for broader impacts.  The educations outreach plan is okay but some parts seem rather unrelated to the research._x000D_
_x000D_
</t>
  </si>
  <si>
    <t>Every day, massive amounts of data are collected, analyzed, and used to make high-stakes decisions, raising many questions about how to use this data in a trustworthy manner.  This proposal is about two such questions: (1) How can researchers prevent false discovery and use data to learn meaningful facts about a population without overfitting to that data?  (2) How can researchers use valuable but sensitive data to learn about a population without compromising the privacy of the individuals in that data?  _x000D_
  Although they seem unrelated, these questions can both be addressed using stable algorithms---algorithms whose outputs are insensitive to small changes in their inputs.  Specifically, differential privacy is a strong form of algorithmic stability that guarantees a high degree of individual privacy yet admits highly accurate data analysis.  Recently, differential privacy has been shown to prevent false discovery in interactive data analysis---the common scenario where the same dataset is analyzed repeatedly, which has been implicated in a "statistical crisis in science" by Gelman and Loken.  This connection has led to dramatically more accurate algorithms for interactive data analysis._x000D_
  These examples show that stable algorithms are a strong and unified foundation for making data analysis more trustworthy in the face of modern challenges like false discovery and societal concerns over privacy.   This research program will make a unified study of these problems, and of the power of stable algorithms more generally.Our research will produce new algorithms with rigorous guarantees of privacy, security, and statistical accuracy---addressing key challenges to making these algorithms statistically efficient, computationally efficient, and aligned with modern practice.  It will also identify new barriers to achieving these goals and tradeoffs among them, both in theory and in practice.  Finally, this work will enrich and connect previously distinct areas of study via the unifying lens of algorithmic stability.  Specific contributions will include:_x000D_
(1) Building the foundations of interactive data analysis---identifying new techniques and algorithms with optimal sample complexity.  A key question is whether we can obtain more powerful algorithms by eschewing privacy, or whether privacy comes "for free" in interactive data analysis._x000D_
(2) New computationally efficient private algorithms for natural data analysis tasks, leveraging recent advances in machine learning to overcome computational hardness results for artificial tasks._x000D_
(3) A suite of realistic privacy attacks that can inform the design and deployment of privacy technologies, analogous to the way cryptanalysis informs cryptography.  This work is driven by the conjecture that differential privacy is the "right" stability notion to capture privacy, not only in theory, but in practice._x000D_
(4) Applying algorithmic stability to new problems in secure machine learning where data must be analyzed in the presence of adversaries who manipulate the training data or game the learned model.Privacy concerns are a major obstacle to the collection, sharing, and use of sensitive data coming from sources like medical records and online behavior, and the new algorithms produced in this research will enable greater access to these sensitive datasets.  By bridging the theoretical and applied literatures on privacy attacks, this research will also help prevent the use of unsound methods that lead to breaches and shake public confidence.  False discovery is also a major concern in the empirical sciences, and one that is increasingly discussed in the popular press.  By designing more effective algorithms for interactive data analysis, this research will help mitigate one significant source of false discovery.  Moreover, the broad impact of this research program will be amplified through new courses on data privacy that harness stability as a pedagogical tool to make the next generation of data scientists more fluent in privacy technology.  The impact will be further amplified through the PI's efforts to connect the fragmented privacy research community via a privacy research highlights website.  Finally, the PI will co-produce a podcast showing how the scientific and technological perspective can be applied to issues faced by the general public, including, but not limited to, the subjects of this research program.</t>
  </si>
  <si>
    <t>1750651</t>
  </si>
  <si>
    <t>Awasthi</t>
  </si>
  <si>
    <t xml:space="preserve"> Panel Summary       
  Description: The proposal aims to develop a new approach for unsupervised learning with provable guarantees. _x000D_
_x000D_
First, generalized clustering problems such as community detection, sparse coding, topic modeling etc. will be studied when model satisfies certain deterministic conditions such as weak deletion stability and/or perturbation resilience. _x000D_
_x000D_
Second, robust algorithms for generalized clustering problems as well as other important unsupervised learning algorithms will be studied where the model may be misspecified or there could be large amount of noise in data. The connection to semi random model will be explored. _x000D_
_x000D_
Finally, the proposal will explore new techniques to determine whether the underlying data has important structural properties that can be exploited to develop more efficient learning algorithms._x000D_
_x000D_
_x000D_
Intellectual Merit: _x000D_
_x000D_
Strengths_x000D_
  + Unsupervised learning is a very important paradigm in machine learning and more promising than supervised learning to scale to big data since there is no external annotation or intervention. _x000D_
_x000D_
+ Much of the existing theory and algorithms are based on assumptions that the underlying data is generated according to a probability model. This proposal which seeks to design generalized clustering algorithms and robust algorithms is very timely, improves the state of the art and has the potential of improved and better unsupervised machine learning. _x000D_
_x000D_
+ The proposal is very well written and presented. The background, approaches, and problems are clearly stated with a systematic research agenda. _x000D_
_x000D_
+ The PI is very well-qualified to undertake this research with significant prior publications, especially, in developing clustering algorithms under distribution-free models which exploit underlying pattern in data. _x000D_
_x000D_
+ In addition to theory, the project will evaluate the algorithms using real-world data sets. _x000D_
_x000D_
Weaknesses: _x000D_
- More elaboration on the technical difficulties and challenges in tackling the proposed problems would have been better. _x000D_
_x000D_
- The proposal did not make clear  what theoretically significant results or techniques will come out from this work. _x000D_
_x000D_
-The questions look somewhat incremental given the existing literature, some of which are by PI himself._x000D_
_x000D_
-Except for a 2015 paper, the PI's clustering work appears to be at least five years old, so it's unclear the time is ripe for progress. _x000D_
_x000D_
_x000D_
Broader Impact: _x000D_
+ Since unsupervised learning has wide applications in many domains, the algorithms developed in this proposal can have a big impact. _x000D_
_x000D_
+ The project will develop both undergraduate and graduate courses to train students in state of the art in machine learning. _x000D_
_x000D_
+ The PI will disseminate the research in top conference venues and by writing survey articles. _x000D_
_x000D_
+ The PI has given mini courses on Machine Learning to high school students which has attracted undergraduate students to Rutgers. _x000D_
_x000D_
+ The PI is currently supervising two female Ph.D. students who are likely to be supported by this grant. _x000D_
_x000D_
+ The PI is involved in DIMACS REU program, Rutgers young scholars program, and Rutgers China scholars program. He plans to hold regular summer series for dissemination of new results._x000D_
_x000D_
Weaknesses_x000D_
 None_x000D_
_x000D_
Solicitation-specific criteria: _x000D_
The integration of education and research is very well done. _x000D_
_x000D_
Data Management Plan: _x000D_
Adequate _x000D_
_x000D_
What is bold, exciting, high risk/reward, or potentially transformative? _x000D_
_x000D_
Research on provable algorithms for unsupervised learning can have high impact both in theory and practice._x000D_
_x000D_
Justification for Panel Rating: _x000D_
 This is a strong proposal on fundamental advances in unsupervised machine learning with potential to lead to new and robust algorithms with implementations. The educational plan, outreach, and broader impacts are written very well._x000D_
_x000D_
The panel felt the theoretical aspects of the proposal could have been better developed. It was not clear what significant theoretical techniques or breakthroughs can emerge from this work, though overall the panel appreciated the research direction of the proposal.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</si>
  <si>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Towards provably robust algorithms for unsupervised learning: A distribution-free approach_x000D_
_x000D_
L: 1750651 Awasthi, Pranjal Rutgers Univ New Brunswick $  695,874_x000D_
_x000D_
_x000D_
P180209 LC AF CAREER/CRII Panel B (12 panelists; 1 decl confl),_x000B_  on 11/21/2017, recommended as Low Competitive (V,G,G,G)_x000D_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</si>
  <si>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focus of this proposal is to design provably optimal algorithms_x000D_
for unsupervised learning. The goal is to go beyond _x000D_
beyond the traditional probabilistic models and instead assuming a distributed free approach._x000D_
The proposal will develop algorithmic and mathematical techniques that_x000D_
will lead to a more practical, robust and modern theory of unsupervised learning. The main research directions are:_x000D_
(a) Distribution-free data models and algorithms for generalized clustering problems_x000D_
(b) Design of robust algorithms_x000D_
(c) New mathematical tools for robust analysis_x000D_
(d) Algorithms for learning structure inducing representations_x000D_
_x000D_
_x000D_
Strengths:_x000D_
_x000D_
1.Unsupervised learning is a very important paradigm in machine learning and more promising than supervised learning to scale to big data since there is no external annotation or intervention. However, much of the existing theory and algorithms are based on assumptions that the underlying data is generated according to a probability model. This proposal which seeks to design generalized clustering algorithms and robust algorithms is very timely, improves the state of the art and has the potential of improved and better unsupervised machine learning._x000D_
_x000D_
2. The proposal is very well written and presented. The background, approaches, and problems are clearly stated with a systematic research agenda. _x000D_
_x000D_
3. The PI is very well-qualified to undertake this research with significant prior publications, especially in developing clustering algorithms under distributed-free models which exploit underlying pattern in data  are quite reasonable from theory viewpoint and  seems to capture real-world scenarios as well._x000D_
_x000D_
4. In addition to theory, the project will evaluate the algorithms using real-world data sets._x000D_
_x000D_
Weaknesses: _x000D_
1.  More elaboration  on the technical difficulties and challenges in tackling the proposed problems would have been better._x000D_
_x000D_
_x000D_
In the context of the five review elements, please _x000D_
evaluate the strengths and weaknesses of the proposal with respect to broader impacts._x000D_
_x000D_
Strengths:_x000D_
_x000D_
1.	Since unsupervised learning has wide applications in many domains, the algorithms developed in this proposal can have a big impact._x000D_
_x000D_
2.	The project will develop both undergraduate and graduate courses to train students in state of the art in machine learning._x000D_
_x000D_
3.	The PI will disseminate the research in top conference venues and by writing survey articles._x000D_
_x000D_
4.	The PI has given mini courses on Machine Learning to high school students which has attracted  undergraduate students to Rutgers._x000D_
_x000D_
5.	The PI is currently supervising two female Ph.D. students who are likely to be supported by this grant._x000D_
_x000D_
Weaknesses:_x000D_
_x000D_
None._x000D_
_x000D_
_x000D_
_x000D_
_x000D_
Please evaluate the strengths and _x000D_
weaknesses of the proposal with respect to any additional solicitation-specific review criteria, if _x000D_
applicable_x000D_
_x000D_
The education and research are very well integrated._x000D_
_x000D_
Summary Statement_x000D_
_x000D_
This is a strong proposal on fundamental advances in unsupervised machine learning with clear research agenda supported by prior work of the PI. It has potential to lead to new and robust algorithms with  implementations. The educational plan, outreach, and broader impacts are written very well._x000D_
_x000D_
</t>
  </si>
  <si>
    <t xml:space="preserve">In the context of the five review elements, please _x000D_
evaluate the strengths and weaknesses of the proposal with respect to intellectual merit._x000D_
_x000D_
Proposed to work on robust algorithms for unsupervised learning, making use of weaker notions of implicit structure.  Progress in this area will be important.  Proposes interesting and motivated models for designing robust learning algorithms.  The models appear to be novel. Suggests modifications of well-known algorithms that would make them robust._x000D_
PI has made good progress along these lines and will likely make_x000D_
more progress._x000D_
_x000D_
In the context of the five review elements, please _x000D_
evaluate the strengths and weaknesses of the proposal with respect to broader impacts._x000D_
_x000D_
high school outreach_x000D_
undergrad research_x000D_
workshops_x000D_
surveys_x000D_
_x000D_
_x000D_
Please evaluate the strengths and _x000D_
weaknesses of the proposal with respect to any additional solicitation-specific review criteria, if _x000D_
applicable_x000D_
_x000D_
_x000D_
_x000D_
Summary Statement_x000D_
_x000D_
+ important area and proposes good questions which he is likely to make progress on_x000D_
+ good outreach_x000D_
_x000D_
</t>
  </si>
  <si>
    <t xml:space="preserve">In the context of the five review elements, please _x000D_
evaluate the strengths and weaknesses of the proposal with respect to intellectual merit._x000D_
_x000D_
The proposal aims to develop a new approach for unsupervised learning with provable guarantees. _x000D_
_x000D_
First, developing on PI's own work, generalized clustering problems on realistic data model that has weak deletion stability or is perturbation resilient will be studied.  Generalized clustering problem includes problems of community detection, sparse coding, normal data clustering, topic modeling etc. The PI argues that models that are distribution free but have these additional deterministic conditions are practically useful and yet amenable to algorithm design. _x000D_
_x000D_
Second, the PI will study developing robust algorithms for generalized clustering problems as well as other important unsupervised learning algorithms when the model may be misspecified or there could be large amount of noise in data. The connection to semi random model will be explored. _x000D_
_x000D_
Finally, optimal algorithms for unsupervised learning rely on exploiting mathematical structure that is present in real world data. The PI will investigate linear programming based techniques to detect presence of any such structure in data._x000D_
_x000D_
Summary of strength and weakness: The questions posed in this proposal are practically important. The PI has done a lot of work in this area._x000D_
_x000D_
It is not clear what theoretically significant results or techniques will come out from this work. The questions look incremental given the existing literature._x000D_
_x000D_
In the context of the five review elements, please _x000D_
evaluate the strengths and weaknesses of the proposal with respect to broader impacts._x000D_
_x000D_
Broader impact is well-written and the PI is involved in DIMACS REU program, Rutgers young  scholars program, integrating data science into K12 curriculum etc. The PI is also a member of Rutgers China scholars program, and plans to hold regular summer series for dissemination of new results._x000D_
_x000D_
Please evaluate the strengths and _x000D_
weaknesses of the proposal with respect to any additional solicitation-specific review criteria, if _x000D_
applicable_x000D_
_x000D_
_x000D_
_x000D_
Summary Statement_x000D_
_x000D_
In summary, the proposal plans to extend the literature on unsupervised learning and develop provably optimal algorithms with minimal assumptions on data. While, the developed algorithms could be of practical interest, it is not clear how significant the results will be from theoretical point of view._x000D_
_x000D_
</t>
  </si>
  <si>
    <t xml:space="preserve">In the context of the five review elements, please _x000D_
evaluate the strengths and weaknesses of the proposal with respect to intellectual merit._x000D_
_x000D_
Proposes to study unsupervised learning under distribution-free or deterministic data models. One focus is clustering, where the PI showed in a FOCS 2010 paper that a property called weak deletion stability implies a polynomial time approximation scheme (PTAS). The PI seeks robust algorithms, including using a semi-random model, which is interesting but no longer deterministic._x000D_
_x000D_
A weakness of the proposal is that except for a 2015 paper, the PI's clustering work appears to be at least five years old, so it's unclear the time is ripe for progress.  While the PI publishes regularly in COLT, the PI has only two STOC/FOCS papers (in 2014 and 2010)._x000D_
_x000D_
In the context of the five review elements, please _x000D_
evaluate the strengths and weaknesses of the proposal with respect to broader impacts._x000D_
_x000D_
The PI proposed to do curriculum development and outreach._x000D_
_x000D_
Please evaluate the strengths and _x000D_
weaknesses of the proposal with respect to any additional solicitation-specific review criteria, if _x000D_
applicable_x000D_
_x000D_
_x000D_
_x000D_
Summary Statement_x000D_
_x000D_
An interesting proposal about unsupervised learning. However, the PI's track record doesn't seem quite as strong as other applicants._x000D_
_x000D_
</t>
  </si>
  <si>
    <t>The goal of this proposal is to develop a new approach towards designing provably optimal algorithms for unsupervised learning. Traditional unsupervised models are grounded in probability theory and view a given data set as a realization from an idealized probabilistic process. In addition to being an oversimplification of real world data, this approach often leads to algorithms that break down or are poorly understood beyond the specific model. This leads to two fundamental challenges in the current theory and practice of unsupervised learning a) algorithms with theoretical guarantees that apply to realistic data models}, and b) algorithms that are not brittle to modeling assumptions and noise in the data}. _x000D_
_x000D_
The proposal will address these challenges and develop algorithmic and mathematical techniques that will lead to a more practical, robust and modern theory of unsupervised learning. We plan to carry out our research agenda along the following directions: (a) Distribution-free data models and algorithms for generalized clustering problems, (b) Design of robust algorithms, (c) New mathematical tools for robust analysis, (d) Algorithms for learning structure inducing representations, and (e) Education and Outreach.The proposed research aims to develop a robust and modern theory of unsupervised learning. A central theme is to investigate a previously untapped notion of exploiting implicit structure present in the data that is not tied to a specific distribution. The proposal demonstrates how this approach can lead to new algorithms, robustness to model misspecification, and learning useful representations of the data. Achieving the goals of the proposal will involve developing novel algorithmic techniques and a new set of mathematical tools for robust analysis of algorithms. The advances made will likely have applications beyond in other areas of computer science and mathematics.The proposed research tackles fundamental challenges in unsupervised learning. Given the pervasiveness of the paradigm, the algorithms developed as a part of this proposal can significantly improve the _x000D_
state of the art in machine learning thus impacting many domains. The course material developed during this project will educate the students and the community at large about the challenging research questions in this field and will lead to an increased activity in theoretical research in this direction. The educational component of the proposal will train the next generation of students in critical skills needed to perform cutting edge research. Furthermore, the PI plans to pursue various other activities for dissemination of the conducted research including holding a workshop on Challenges in unsupervised learning at top venues such as NIPS and COLT. The PI also plans to write a survey on deterministic data models for unsupervised learning.</t>
  </si>
  <si>
    <t>1750716</t>
  </si>
  <si>
    <t xml:space="preserve"> Panel Summary       
 Description:_x000D_
_x000D_
The PI proposes novel work on sketches, namely data structures that support updates to the underlying data and a pre-specified set of queries, while requiring significantly less space than the size of the original data. The PI proposes to investigate sketches in the following three directions: (i) investigate the time complexity (i.e., the querying time) of linear sketches; (ii) investigate the space complexity of linear sketches; and (iii) investigate sketching in the distributed setting and especially its applications for submodular optimization._x000D_
_x000D_
Intellectual Merit:_x000D_
_x000D_
Strengths_x000D_
  + Well-written proposal, posing deep technical questions and possible approaches to tackle them. Advances in addressing these will significantly advance our knowledge of sketching and its applications._x000D_
  + Very strong PI with significant amount of prior work in the area of the proposal._x000D_
_x000D_
Weaknesses_x000D_
  - Some references might have been added to the proposal; however the panelists agreed that this omission was not a major issue. _x000D_
  - The part of the proposal discussing mapreduce was not as well thought as the remainder of the proposal._x000D_
 _x000D_
Broader Impact:_x000D_
_x000D_
Strengths_x000D_
  + Reasonable teaching plan._x000D_
  + Improving the quality of sketching could result in significant advances in domains where sketching algorithms are used (e.g., big data analytics)._x000D_
_x000D_
Weaknesses_x000D_
  - The broader impacts section was relatively sketchy and more details could have been included (e.g., involvement of under-represented minorities, etc.)._x000D_
  - Some panelists noted that the PI should include a plan for outreach to communities beyond theoretical computer science, as his research is immediately relevant to the machine learning and data mining communities._x000D_
_x000D_
Solicitation-specific criteria:_x000D_
_x000D_
The panel concurred that the integration of education and research was reasonable. The PI will develop graduate and undergraduate courses related to his research as well as write survey articles to disseminate his research to a wider audience. _x000D_
_x000D_
Data Management Plan:_x000D_
_x000D_
The data management plan was deemed adequate by the panel._x000D_
_x000D_
What is bold, exciting, high risk/reward, or potentially transformative?_x000D_
_x000D_
If the PI succeeds in his theoretical endeavors on sketching, it is highly probably that new tools will be developed in the process of proving the proposed results; these tools could be transformative from a theoretical computer science perspective._x000D_
_x000D_
Suggestions to PI: Better outreach plans and a more detailed broader impacts component could help improve the proposal._x000D_
_x000D_
Justification for Panel Rating: A very strong proposal (especially from an intellectual merit perspective) focusing on sketches, a hot topic in theoretical computer science with significant applicability in machine learning and data mining. The PI is a leading expert in this area and has a particularly strong track record._x000D_
_x000D_
Panel Rating: 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</si>
  <si>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A solid theoretical proposal on sketching algorithms. The PI intends to focus on three theoretical research directions: time complexity of sketching (in the turnstile model), mergeable sketches, and space complexity of sketching, addressing open problems that go back to the original pioneering work by Alon et al. on moment estimation. The PI is a very promising young researcher in the theory domain and he almost certainly deliver novel theoretical results._x000D_
_x000D_
In the context of the five review elements, please _x000D_
evaluate the strengths and weaknesses of the proposal with respect to broader impacts._x000D_
_x000D_
However, I am not convinced regarding the true impact of the proposed research outside a subset of the Theoretical Computer Science community. I would like to see more bridges with more applied communities that are often consumers of such tools as well as the applied mathematics communities. Such bridges are essentially non-existent in the proposal (the PI simply mentions some work towards that end with colleagues at NEU). Without such broader impact activities the overall impact of the proposed research, even if it is successful, will be very limited. The educational broader impacts of this proposal are average, at best._x000D_
_x000D_
Please evaluate the strengths and _x000D_
weaknesses of the proposal with respect to any additional solicitation-specific review criteria, if _x000D_
applicable_x000D_
_x000D_
See above discussion._x000D_
_x000D_
Summary Statement_x000D_
_x000D_
A solid theoretical proposal with very good intellectual merit from a theoretical computer science perspective. Limited potential for broader impact, which significantly mitigates the merits of the proposed work._x000D_
_x000D_
</t>
  </si>
  <si>
    <t>KT0605710</t>
  </si>
  <si>
    <t>Garg</t>
  </si>
  <si>
    <t>garg@ece.utexas.edu</t>
  </si>
  <si>
    <t xml:space="preserve">In the context of the five review elements, please _x000D_
evaluate the strengths and weaknesses of the proposal with respect to intellectual merit._x000D_
_x000D_
Strengths:_x000D_
The PI has proposed to investigate the theory of sketches. Sketches have many practical applications in the area of streaming algorithms. The proposed tasks include exploring time complexity, space complexity with connections to compressed sensing,_x000D_
and mergeable summaries with applications to distributed environments._x000D_
_x000D_
The PI has proposed concrete research problems with fundamental implications in multiple areas. One of the key strength of this proposal is that it studies problems that have applications in practical setting such as sketching in distributed environments with map-reduce style models._x000D_
_x000D_
For heavy hitters problem, the PI has given an algorithm with fast query time_x000D_
based on a graph partitioning approach. It is likely that algorithms that use heavy-hitters as subroutine will benefit from the PI's insights._x000D_
_x000D_
The PI has excellent track record with strong publications in top conferences._x000D_
_x000D_
There are adequate resources available to PI._x000D_
_x000D_
Weaknesses:_x000D_
_x000D_
PI has listed two additional pending proposals in the Current and Pending Support form. In the project description, only one of them is mentioned. The relationship with the other proposal is not given. From the title, it does seem that the other proposal is synergistic for distributed optimization algorithms._x000D_
_x000D_
_x000D_
In the context of the five review elements, please _x000D_
evaluate the strengths and weaknesses of the proposal with respect to broader impacts._x000D_
_x000D_
Strengths:_x000D_
_x000D_
The project is likely to have practical impact on sketching and submodular optimization._x000D_
_x000D_
The PI will involve students in theory as well as software development._x000D_
_x000D_
Please evaluate the strengths and _x000D_
weaknesses of the proposal with respect to any additional solicitation-specific review criteria, if _x000D_
applicable_x000D_
_x000D_
_x000D_
_x000D_
Summary Statement_x000D_
_x000D_
The proposal is well-written and advances our knowledge and understanding with benefits to the society._x000D_
_x000D_
</t>
  </si>
  <si>
    <t xml:space="preserve">In the context of the five review elements, please _x000D_
evaluate the strengths and weaknesses of the proposal with respect to intellectual merit._x000D_
_x000D_
Summary: Sketches are data structures that support updates to the underlying data and a pre-specified set of queries while requiring significantly less space than the size of the original data.  This proposal investigates sketches in the following three directions:_x000D_
_x000D_
1.	Investigate the time complexity (i.e., the querying time)  of  linear sketches._x000D_
_x000D_
2.	Space complexity of linear sketches._x000D_
_x000D_
3.	Sketching in distributed setting, especially for submodular optimization._x000D_
_x000D_
_x000D_
Strengths:_x000D_
_x000D_
1.	The proposal is written very well and presented.  It poses  deep technical questions and possible approaches to tackle the same. Advances in addressing these will significantly advance our knowledge of sketches and its applications._x000D_
_x000D_
2.	 The PI has done substantial work in this area and capable of tackling the challenging problems posed. In particular, the project seeks to improve the time complexity of querying in sketches which has been rather ignored in the past (where the focus has mostly been on space complexity). This is an important aspect and  PI's recent work gives the first algorithm for heavy hitters with optimal space and fast query time. This can be useful in designing efficient sketches for graph sparsifiers and sparse recovery. _x000D_
_x000D_
3.	Sparse recovery is an important and fundamental problem. The proposal proposes improving the time complexity and space complexity of sketches._x000D_
_x000D_
Weaknesses:_x000D_
_x000D_
1.	The proposal omits some key references in  submodular optimization and sketching in distributed computing and machine learning literature. It should address and discuss these as well, e.g., see below and the references therein:_x000D_
_x000D_
a.	Distributed and parallel algorithms for weighted vertex cover and other covering problems, PODC, 2009._x000D_
b.	Distributed Submodular Optimization, JMLR 2016._x000D_
c.	Fast Distributed Algorithms for connectivity and MST in large graphs, SPAA 2016._x000D_
_x000D_
_x000D_
In the context of the five review elements, please _x000D_
evaluate the strengths and weaknesses of the proposal with respect to broader impacts._x000D_
_x000D_
Strengths:_x000D_
_x000D_
1.	Good education plan._x000D_
_x000D_
2.	Sketches have applications, including in industry, and this proposal can have an impact._x000D_
_x000D_
3.	The PI plans to collaborate with applied researchers._x000D_
_x000D_
4.	The PI has been an editor for XRDS, an ACM student magazine and will contribute to popularize sketches and related material._x000D_
_x000D_
Weaknesses:_x000D_
1. The Broader impact is pretty sketchy and short, could have been elaborated with details._x000D_
_x000D_
_x000D_
_x000D_
_x000D_
Please evaluate the strengths and _x000D_
weaknesses of the proposal with respect to any additional solicitation-specific review criteria, if _x000D_
applicable_x000D_
_x000D_
Integration of education and research is adequate._x000D_
_x000D_
Summary Statement_x000D_
_x000D_
This is a very strong project focusing on sketches, a hot topic  of  late. It lays out a strong research agenda  backed up by significant  work by the PI. I expect strong publications to come out of this._x000D_
_x000D_
</t>
  </si>
  <si>
    <t xml:space="preserve">In the context of the five review elements, please _x000D_
evaluate the strengths and weaknesses of the proposal with respect to intellectual merit._x000D_
_x000D_
The PI proposes compelling questions including: the time complexity of sketching, sketching of graph sparsifiers (in particular, better query complexity), sparse recovery, streaming lower bounds, the realm of mergeable sketches and sketching in distributed environments. The PI suggests a number of plans of attack and has a number of results in these directions._x000D_
_x000D_
PI has very strong track record, solving long studied open questions and applying his techniques to very powerful classes of problems (i.e., submodular maximization)._x000D_
_x000D_
In the context of the five review elements, please _x000D_
evaluate the strengths and weaknesses of the proposal with respect to broader impacts._x000D_
_x000D_
The algorithms studied in this proposal are useful in industrial settings (e.g. by Google)._x000D_
_x000D_
Will work with researchers in vision, NLP, network security and Database systems._x000D_
_x000D_
Please evaluate the strengths and _x000D_
weaknesses of the proposal with respect to any additional solicitation-specific review criteria, if _x000D_
applicable_x000D_
_x000D_
_x000D_
_x000D_
Summary Statement_x000D_
_x000D_
+ important research area_x000D_
+ very strong track record_x000D_
+ good outline of how the PI will make progress_x000D_
_x000D_
</t>
  </si>
  <si>
    <t>The unprecedented growth of new data has pushed computer systems to their limits in not only storage capacity but also communication bandwidth and computational power. A fundamental challenge underlying these constraints is the need for {\em suitable representations} of the data that facilitate efficient computation and are sufficiently compact for storage and communication. These representations, or {\em sketches}, are data structures that support updates to the underlying data and a pre-specified set of queries while requiring significantly less space than the size of the original data. This proposal aims to address fundamental gaps in our understanding of sketches by pursuing the following goals: _x000D_
_x000D_
- Investigate {\em linear sketches}, a universal form of sketches for turnstile streaming algorithms in a broad class of problems and also applicable to classical algorithms as well as distributed algorithms. The proposal focuses on fundamental questions regarding time complexity of sketches in both upper and lower bounds._x000D_
	_x000D_
- {\em Space complexity} of linear sketches in sparse recovery. Linear sketches are precisely the linear measurements used to recover signals in the flourishing area of compressed sensing[CRT06,Donoho06]. The fundamental challenge in this area is to use as few measurements as possible, which is exactly the space complexity of linear sketches. The PI proposes to study this question with respect to several different recovery guarantees._x000D_
_x000D_
- Develop {\em new forms of sketches} for abstract objects and distributed environments. To this end, the proposal considers sketching for submodular functions, a popular model for machine learning, computer vision, economics, etc. Problems in these applications are modeled as submodular maximization subject to various types of constraints.The proposal will lead to deeper understanding and novel algorithms for fundamental problems in streaming algorithms, compressed sensing, and submodular optimization. The proposed research is of interest to not only theoretical computer science but also databases and machine learning, combining theoretical insights with computational models relevant to applications. The proposal builds on techniques from a wide variety of areas including analysis, information theory, coding theory, combinatorics, and optimization, and it can lead to novel connections among them. As an example, the PI's work with Garg et al.[GMN14,BGMNW16] uses techniques from information theory and communication complexity to tackle problems in distributed machine learning.Work produced through this project is likely to have practical impact due_x000D_
to the extensive use of sketching and submodular optimization in applications[LDP07,TZ12,Bilmes15,ELVZ17]. Investigation of large scale submodular optimization is especially timely given the growth in data size and it has attracted significant attention in the machine learning community[KG10,BMKK14,MKBK15,LBZK16]. The students supported by the project and the PI will actively pursue research in both theory and applications, publishing in both theory and machine learning venues, and broadly disseminate research outcomes by giving talks at universities, industrial labs, research conferences, and tutorial sessions. _x000D_
_x000D_
The PI will involve students in all research activities, from pursuing theoretical constructions to writing software as suitable for students ranging from undergraduate to graduate levels._x000D_
_x000D_
New results will be partly distilled into a new course with publicly available lecture notes. All papers will be available on the PI's website and the arXiv. The PI will also write survey articles aimed at broad audiences and also beginning theory graduate students.</t>
  </si>
  <si>
    <t>1750780</t>
  </si>
  <si>
    <t>Raichel</t>
  </si>
  <si>
    <t xml:space="preserve"> Panel Summary       
 SUMMARY OF PROPOSED RESEARCH ACTIVITY_x000D_
_x000D_
Description: _x000D_
_x000D_
The proposal examines a collection of problems, about how to summarize or embed data into simpler spaces. The first part concerns data factorization and data sparsification. The second part is about algorithms to compute minimum-distortion embeddings (for example, from finite metric spaces to the line or plane or trees). The third part is on a metric violation distance problem (modifying distances to obtain a metric)._x000D_
_x000D_
_x000D_
INTELLECTUAL MERIT_x000D_
_x000D_
Strengths_x000D_
_x000D_
+ The proposal contains many interesting and important problems in geometric data analysis, especially in the first two parts._x000D_
+ PI has an excellent track record, and the proposal builds on the PI's past success on data sparsification and metric embedding._x000D_
_x000D_
Weaknesses_x000D_
_x000D_
- On the other hand, as the proposal builds on PI's past work, some of the proposed problems feels a bit incremental._x000D_
_x000D_
BROADER IMPACTS_x000D_
_x000D_
The broader impact section is adequate (including organizing seminars, developing courses, participating in workshops to promote interdisciplinary collaboration, and using department-level connection for outreach to local secondary school students)._x000D_
_x000D_
_x000D_
CAREER SOLICITATION-SPECIFIC REMARKS:_x000D_
_x000D_
Letter of institutional commitment: Present._x000D_
_x000D_
Integration of research and education: The education plan,_x000D_
in promoting a theory culture at the PI's institution through seminars, developing courses, and outreach to middle and high school students, is good._x000D_
 _x000D_
_x000D_
ADDITIONAL REMARKS_x000D_
_x000D_
Data Management Plan: Adequate._x000D_
_x000D_
Results of prior support:  Clearly stated._x000D_
_x000D_
Suggestions to PI: _x000D_
_x000D_
In writing proposals, emphasize a combination of both new challenges in his current research direction and new directions of research._x000D_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</si>
  <si>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geometric data analysis, and the proposal is divided into three parts. The first part focuses on computing a sparse representation of data, the second part on metric embeddings, and the third part on metric violation distance -- namely how close a data set is from another one that has metric properties. The proposal lists interesting problems in each of the three areas. Although there is some connection between different parts, not much attempt was made to connect them together either through common questions or through common applications._x000D_
_x000D_
The proposal builds in a natural way on the PI's past work, and he has made some interesting contributions in each of the three areas. Although the questions posed in the proposal, especially in the first area, are of incremental nature. It would been more interesting if some new directions were proposed here. _x000D_
_x000D_
In the metric violation distance, why choosing the minimum number of points instead of the total sum of the motion is the right objective function? The latter has been studied in the past. Without a clear motivation for this variant of the problem, it's hard to appreciate this line of work beyond a useful intellectual exercise._x000D_
_x000D_
_x000D_
In the context of the five review elements, please _x000D_
evaluate the strengths and weaknesses of the proposal with respect to broader impacts._x000D_
_x000D_
There is an adequate description of the educational activities.  The PI is developing a new algorithms course and a new course on computational geometry. Considering the number of computational geometers the department has,  I am surprised that they haven't thought beyond one computational geometry course. The seminar that the PI is developing seems interesting. _x000D_
_x000D_
There is also some discussion on interdisciplinary collaboration and how he plans to disseminate some of his work to a broader community. The outreach plans are vague. He mentions that he had co-organized a workshop last year, but no such activities are proposed._x000D_
_x000D_
_x000D_
Please evaluate the strengths and _x000D_
weaknesses of the proposal with respect to any additional solicitation-specific review criteria, if _x000D_
applicable_x000D_
_x000D_
_x000D_
_x000D_
Summary Statement_x000D_
_x000D_
Overall it's a solid proposal on geometric data analysis. A closer connection between the section along with some compelling applications in which these problems arise would have made the proposal more compelling. Nevertheless, a number of interesting problems are proposed, and a successful outcome will advance the field in a significant manner. _x000D_
_x000D_
The PI is a strong young researcher in computational geometry and is more than capable of pursuing the proposed problems. I am sure, he will continue to produce interesting results. I urge him to think more about his educational vision and how it ties up with his research agenda._x000D_
_x000D_
_x000D_
_x000D_
</t>
  </si>
  <si>
    <t xml:space="preserve">In the context of the five review elements, please _x000D_
evaluate the strengths and weaknesses of the proposal with respect to intellectual merit._x000D_
_x000D_
The proposed research explores several topics related to the theme of embedding points into simpler structures: data factorization (related to finding the best k-dimensional linear subspace fitting a high dimensional point set), data sparsification (e.g., finding small coresets for hulls with approximation guarantees), metric embedding (e.g., exact/approximation algorithms for mapping from finite metric spaces to lines/planes/trees/... minimizing distortion), and metric violation distances (how many distance values can be modified arbitrarily so that the given distances become a metric)._x000D_
_x000D_
Overall the proposal is well written and coherent, addressing timely topics. The part on data sparsification is a continuation of the PI's SODA'16 work with Blum and Har-Peled. The part on metric embedding builds on the PI's earlier work with Nayyeri (FOCS'15, SODA'17). On the metric violation distance, the PI and students some recent results on hardness of approximation already. The PI has had many high quality papers at SoCG and other major conferences, and the proposal will likely result in many more, contributing to the foundations of the field. _x000D_
_x000D_
_x000D_
In the context of the five review elements, please _x000D_
evaluate the strengths and weaknesses of the proposal with respect to broader impacts._x000D_
_x000D_
With topics like data factorization, the proposal has potential to build connections from computational geometry to machine learning and big data, and "modernize" CG._x000D_
_x000D_
The broader impacts section of the proposal describes ways to promote a theory culture at UT Dallas, as well as develop new courses, collaborate with other departments, and provide education outreach._x000D_
_x000D_
_x000D_
Please evaluate the strengths and _x000D_
weaknesses of the proposal with respect to any additional solicitation-specific review criteria, if _x000D_
applicable_x000D_
_x000D_
_x000D_
_x000D_
Summary Statement_x000D_
_x000D_
Well-put-together proposal, and good past research record._x000D_
_x000D_
_x000D_
</t>
  </si>
  <si>
    <t xml:space="preserve">In the context of the five review elements, please _x000D_
evaluate the strengths and weaknesses of the proposal with respect to intellectual merit._x000D_
_x000D_
This proposal considers three problems on geometric data: Approaching low-rank approximation of data as a problem of selecting a representative sample from a geometric data set; the parameterized complexity of metric embeddings; and recovering metric distance matrices from noisy data._x000D_
_x000D_
The connection between low-rank approximation (standard in FOCS/STOC/SODA theory) and coresets for convex hulls (standard at SoCG but rarer at FOCS/STOC) was new to me, and interesting. The PI has already published several works on this connection, and proposes to generalize these works from Hausdoff distance (natural in computational geometry) to Frobenius norm (more standard in machine learning), to consider other hull-like structures (Voronoi diagrams or skylines), and to study hardness of approximation of these and related problems._x000D_
_x000D_
Raichel has a very strong recent record of publication on topics including Voronoi diagrams, sampling-based approximation, Frechet distance, and metric embedding. He published a FOCS paper, two SoCG papers, a JACM paper, and a paper in Discrete &amp; Computational Geometry in 2015 (the top venues in both computational geometry and theory more broadly). He has a SODA and SoCG paper in 2016 and two more DCG papers. In 2017 he has papers in SODA and SoCG again._x000D_
_x000D_
_x000D_
In the context of the five review elements, please _x000D_
evaluate the strengths and weaknesses of the proposal with respect to broader impacts._x000D_
_x000D_
As well as the usual "I will teach my students" boilerplate, the proposal includes participation in workshops that mix industry with academia. It also cites the existence of department-level connections to local secondary schools and to programs for underrepresented groups._x000D_
_x000D_
_x000D_
Please evaluate the strengths and _x000D_
weaknesses of the proposal with respect to any additional solicitation-specific review criteria, if _x000D_
applicable_x000D_
_x000D_
_x000D_
_x000D_
Summary Statement_x000D_
_x000D_
Much of the proposal has the feel of follow-on work, describing in detail past successes and then listing the obvious open problems that those successes raised. Nevertheless, the cited past work clearly was a success, and follow-on work in those areas would  likely be a very productive line of research. Given the PI's past track record of high-quality research, a successful outcome seems very likely._x000D_
_x000D_
</t>
  </si>
  <si>
    <t xml:space="preserve">In the context of the five review elements, please _x000D_
evaluate the strengths and weaknesses of the proposal with respect to intellectual merit._x000D_
_x000D_
The project studies several interrelated topics concerning_x000D_
finding/representing large data sets (represented as points in high_x000D_
dimension space) by using simpler geometric structures._x000D_
(a) "Factorization and Sparsification": how to represent_x000D_
the points by using lower dim vectors. Several approaches are discussed: approximate matrix factorization, finding conic, convex hulls and other relevant hulls, etc._x000D_
(b) Embedding metric spaces into simpler, and more structured spaces_x000D_
(such as tree metric, R^d)._x000D_
(c) Metric Violation Distance (MVD): We are given a point set S_x000D_
and a set D of distances between point pairs in S. But (S,D) is_x000D_
not a metric space (triangle inequality is not satisfied by some_x000D_
distances in S). The task is to modify as few distances in D as_x000D_
possible so that (S,D) becomes a metric space._x000D_
The PI initiated MVD research with convincing motivations. In many_x000D_
real world application, (S,D) should be a metric space, but is not_x000D_
(due to data error, outlier etc). The question is how to recover_x000D_
the original metric space? Once (S,D) becomes a metric space, more_x000D_
algorithmic tools can be used for solving problem defined for (S,D)._x000D_
_x000D_
Each thrust consists of a set of interesting interrelated problems._x000D_
The PI also describes the approach for solving them._x000D_
_x000D_
In the context of the five review elements, please _x000D_
evaluate the strengths and weaknesses of the proposal with respect to broader impacts._x000D_
_x000D_
The problems discussed in this proposal have real world applications._x000D_
_x000D_
The PI plans to incorporate the problems in this proposal into_x000D_
new graduate course and seminars._x000D_
_x000D_
Please evaluate the strengths and _x000D_
weaknesses of the proposal with respect to any additional solicitation-specific review criteria, if _x000D_
applicable_x000D_
_x000D_
_x000D_
_x000D_
Summary Statement_x000D_
_x000D_
The project studies several interrelated topics concerning_x000D_
finding/representing large data sets by using simpler geometric_x000D_
structures. The thrust of MVD is novel and particularly interesting._x000D_
Each research area consists of a set of interesting closely related_x000D_
problems. The PI also describes the approach for solving them._x000D_
Broader open questions are raised within in each area. It seems_x000D_
that this project fits PI's long term research agenda well._x000D_
_x000D_
The PI has a current CRII grant, and has done good work in this_x000D_
area. He is well qualified for the proposed research._x000D_
_x000D_
The Departmental letter shows strong commitment of the_x000D_
department/school for the professional development of the PI._x000D_
_x000D_
</t>
  </si>
  <si>
    <t>Geometric structure in the natural world has been observed and exploited throughout human history. This proposal applies this age old practice of identifying geometric structure to the large and high dimensional data sets of the modern world, with the ultimate goal of utilizing this structure to facilitate various computational tasks. Finding a smaller and lower dimensional subset of the data points approximately preserving geometric structure, such as the extrema or linear span of the points, not only improves running time performance but also can remove extraneous features. Representing the interpoint distances of a general metric space by a more structured space such as the Euclidean plane allows for visualization of the data, or such as a tree allows for more efficient computation due to hierarchical structure. _x000D_
_x000D_
This proposal focuses on several interrelated topics concerning geometric structure, which lie at the intersection of big data, geometry, and machine learning. Specifically, data factorization and sparsification, metric embeddings for structured spaces, and metric violation distance are considered. More broadly, given a data set the goal is to specify its geometric structure, use this structure to summarize and embed into simpler spaces where computations can be done efficiently, and when this is not possible, identify how to minimally fix the data to facilitate these tasks.The ultimate purpose of the proposed research, concerning structure discovery and data embedding, is to develop better algorithms for handling data, ranging from better clustering algorithms to better classification algorithms, and more. Such algorithms are nowadays used everywhere, and as such any progress on them has the potential for significant real world impact. Furthermore, not only does the proposed work further the classical field of computational geometry, through the study of problems such as metric embeddings, but it also seeks to modernize and advance the field by connecting it to areas such a big data and machine learning. By studying foundational problems in these and other areas, the goal is also to contribute to these other fields and more closely tie them with computational geometry. Successful initial investigations by the PI have not only demonstrated an ability to perform the proposed research, but have also provided the background necessary to identify critical broader open problems in these areas that require the longer term study outlined in this proposal.The PI has been fortunate enough to have started advising two excellent PhD students this past year, who contributed to initial investigations forming the foundation of this proposal. However, recruiting these students has laid bare the challenges in the essential task of finding students with the right mindset for algorithms research. Rather than seeking these students out directly, the PI will focus on growing the visibility of algorithms and theoretical computer science at UT Dallas, which in addition to helping recruit new students will also promote a strong group culture. Concrete steps will be taken to achieve this goal. In particular, this fall the PI will organize a regular algorithms seminar, present at many top universities but currently lacking at UTD. Towards the same end, the PI will continue his cross-disciplinary outreach on campus, and developing new courses for theory curious students, incorporating topics from this proposal. The PI will publish work produced from this proposal in high impact venues, and will travel with students to these and other venues to promote the visibility of the research in this proposal and make connections. The PI will also encourage undergraduate research, both in his own group, and by involvement in the department's extracurricular research activities. For younger students, the PI will leverage the Computer Science Education Center, which is connected with many middle schools and high schools in the DFW area. The PI is also committed to the incorporation and progress of underrepresented groups, as failure to include these groups not only adversely affects those individuals but the broader society as a whole.</t>
  </si>
  <si>
    <t>1750808</t>
  </si>
  <si>
    <t>Haeupler</t>
  </si>
  <si>
    <t xml:space="preserve"> Panel Summary       
 Description: This proposal is about interactive coding. The broad problem here is to convert any given interactive communication protocol into one that is resilient to transmission errors, while preserving its functionality. The proposal discusses problems that are related to this basic goal. The PI has written many papers on the subject and seems well placed to make further progress. The goals outlined in the proposal are certainly worthy of support. _x000D_
_x000D_
Strengths_x000D_
The PI has a significant track record of success in this area._x000D_
Getting explicit construction of tree-codes or efficient decoding algorithms will be significant contributions. _x000D_
The interaction of interactive coding and crypto is very important._x000D_
It seems that in [GHS14] and [GH14], the PI has already answered many fundamental questions on interactive coding._x000D_
_x000D_
Weaknesses_x000D_
Other proposals for tree codes based on Reed-Solomon codes have been around, and it's very unclear that this proposal is any more likely to admit a proof of correctness than any of the others. _x000D_
The panel did not find the connection to boolean circuits as described in the proposal  convincing. There are some technical issues with finding circuits resilient to short-circuit errors by solving the corresponding communication problem that were not addressed in the proposal.  The PI explains that solving this problem is similar to finding error-resilient versions of protocols with small memory usage. However, every Karchmer-Wigderson game has a logarithmic complexity randomized communication protocol---the randomized complexity of solving Karchmer-Wigderson games says nothing about circuits. Nevertheless, a lot of interactive coding schemes designed by the PI are randomized. Secondly, every Karchmer-Wigderson game for n-bit inputs has a deterministic protocol with O(n) memory states (and O(n) communication) that solves the game. So again, the number of memory states used to solve the game is unrelated to the size of the circuit. The proposal does not address these technical barriers._x000D_
_x000D_
Broader Impact: _x000D_
The PI has a detailed plan for course development, undergraduate/graduate research, and involving underserved minorities. The PI is involved in an effort to reform the interdisciplinary ACO program at his institution. The PI has made significant efforts to increasing female participation in the ICPC programming contests, has a very strong track record of advising graduate students, and has organized tutorials, workshops and a Simons program._x000D_
_x000D_
_x000D_
Solicitation-specific criteria: _x000D_
The proposal targets teaching, advising, involving students from underrepresented groups, interdisciplinary education, and tutorials at workshops. The PI already has a strong track record on many of these issues._x000D_
_x000D_
Data Management Plan: adequate_x000D_
_x000D_
_x000D_
Justification for Panel Rating: _x000D_
The PI has a very strong track record of past work. This proposal was rated low competitive because of the weaknesses in the discussion of the connections between circuits and communication protocols. The proposal would be higher rated if the proposal contained more details about this direction. _x000D_
_x000D_
Panel Rating: _x000D_
_ Highly Competitive_x000D_
_ Competitive_x000D_
X Low Competitive_x000D_
_ Not Competitive_x000D_
_x000D_
The summary was read by/to the panel and the panel concurred that the summary accurately reflects_x000D_
the panel discussion._x000D_
</t>
  </si>
  <si>
    <t xml:space="preserve"> Panel Summary       
  The proposal focuses on the problem of error correction for interactive communication over noisy channels (e.g., in order to execute protocols). The communication is done over very short messages, so the conventional error correction doesn't work. Hence, the project aims at developing a new approach for this problem._x000D_
_x000D_
INTELLECTUAL MERIT _x000D_
_x000D_
  Strengths:_x000D_
_x000D_
+ The topic is theoretically interesting and very challenging. Some of the problems discussed in the proposal are long standing open problems._x000D_
_x000D_
+ The proposal is ambitious and a series of challenging problems are proposed. The research plan is also well articulated._x000D_
_x000D_
+ There are several new and exciting ideas proposed, for example the issue of memory blow-up in error-resilient circuits is novel and exciting._x000D_
_x000D_
+ The PI is well qualified and has an excellent track record._x000D_
_x000D_
_x000D_
  Weaknesses:_x000D_
_x000D_
- The PI is considering challenging problems, however for some of them an approach to attack them is not discussed. For example, building a practical tree code is a very interesting open problem, but how does the PI plan to approach it?_x000D_
_x000D_
- The practical impact and motivation of the work could have been better articulated._x000D_
_x000D_
BROADER IMPACTS_x000D_
_x000D_
  Strengths:_x000D_
_x000D_
+ The broader impact section of the proposal is novel, and several creative methods for education and mentoring are proposed._x000D_
_x000D_
+ The plan for involvement of the undergraduate students is appreciated by the panel._x000D_
_x000D_
+ Joint activities to bring information theorists and computer scientists together are valuable. _x000D_
_x000D_
Weaknesses:_x000D_
_x000D_
- While the panel appreciates the details discussed in the broader impact section, a more balanced allocation of the 15-page budget between research plan and educational activities would have allowed the PI to provide further details on the technical approach to the problem._x000D_
_x000D_
SOLICITATION-SPECIFIC CRITERIA_x000D_
_x000D_
The scope of the proposal is quite ambitious and well suited for a 5-year award. The education and research activities are well integrated._x000D_
_x000D_
SUMMARY_x000D_
_x000D_
The proposal focuses on a series of challenging and important problems in the area of interactive communication over noisy channel. An ambitious research plan is proposed and the PI is well qualified. The broader impact section of the proposal is novel, and several creative methods for education and mentoring are proposed. _x000D_
_x000D_
The panel placed the proposal in the following category:_x000D_
[X ] Highly Competitive_x000D_
[ ] Competitive_x000D_
[ ] Low Competitive_x000D_
[ ]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</si>
  <si>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PI proposes to develop error correcting codes for communication that takes place over many interleaved rounds of interactive communication, which are interspersed with computations. This is an important engineering problem at the interface of electrical engineering and theoretical computer science. It is not possible to simply apply classical asymptotic results because the messages involved in interactive communication can be very short._x000D_
_x000D_
In joint work with Ghaffari and Sudan, the PI has determined, for various settings, the exact tolerable error rates up to which interactive communication can be maintained. There is still quite a different with the tight classical tradeoff between rate and distortion, but it is a significant result nonetheless. _x000D_
_x000D_
The proposed research program is organized into four directions. The problem of explicitly constructing tree codes, and that of deriving the fundamental tradeoff between rate and distortion, are recognized as fundamental and very difficult. The relationship between small circuits that are robust to gate failures and the memory efficiency of interactive communication is very interesting. Finally the whole area of cryptographic protocols and the privacy / utility tradeoff is full of interesting problems._x000D_
_x000D_
_x000D_
In the context of the five review elements, please _x000D_
evaluate the strengths and weaknesses of the proposal with respect to broader impacts._x000D_
_x000D_
The PI proposes to redesign and redevelop Great Theoretical Ideas in Theoretical Computer Science which is a signature sophomore course at CMU, attracting around 200 students per semester. He is experimenting with alternatives to traditional homework assignments, where students develop group solutions, but are responsible for writing down individual answers to a subset of questions in a proctored limited time session. He is also experimenting with conceptual office hours where TAs discuss concepts from lectures rather than homework problems. He works with the Eberly Center for Teaching Excellence and Educational Innovation to incorporate best practices into his teaching._x000D_
_x000D_
The PI has designed a new graduate course, Algorithmic Superpower: Randomization, aimed at advanced undergraduates and beginning graduate students, which includes a module on interactive communication. He intends to develop a second course with Venkat Guruswami that will connect classical information theory and coding with computational complexity. The PI has also redesigned the Algorithms, Combinatorics and Optimization graduate program, leading to a renewal of CS interest in interdisciplinary work involving the mathematical sciences._x000D_
_x000D_
The PI involves undergraduates in his research program, and works closely with CMU programming contest team which advanced to the World Finals in 2016. He is involved with PhD admissions at CMU, and has introduced best practices that create a more welcoming environment for women. It is remarkable that two out of three undergraduates on the CMU programming team were female, when there were only five women among the remaining 400 finals participants. _x000D_
_x000D_
The PI promotes engagement between the information theory and theoretical computer science communities by organizing workshops. He has organized special sessions at Allerton and ITW, a semester long program at the Institut Henri Poincare, and is planning a second semester long program on distributed computing at the Simons Institute in Berkeley._x000D_
_x000D_
_x000D_
Please evaluate the strengths and _x000D_
weaknesses of the proposal with respect to any additional solicitation-specific review criteria, if _x000D_
applicable_x000D_
_x000D_
_x000D_
_x000D_
Summary Statement_x000D_
_x000D_
Intellectual Merit: Excellent_x000D_
Broad Impact: Excellent_x000D_
_x000D_
</t>
  </si>
  <si>
    <t xml:space="preserve">In the context of the five review elements, please _x000D_
evaluate the strengths and weaknesses of the proposal with respect to intellectual merit._x000D_
_x000D_
Strengths:_x000D_
The proposal seeks to develop a theory for correcting errors in interactive communication (analogous to Shannon's theory for one-way communication)._x000D_
The PI has already made significant contributions to this area. He is uniquely qualified to do the proposed research. It seems that in [GHS14] and [GH14], he has already answered many fundamental questions on interactive coding._x000D_
_x000D_
Getting explicit construction of tree-codes or efficient decoding algorithms (analogous to Berlekamp-Massey decoding algrothm for RS codes) will be significant contributions._x000D_
_x000D_
This is a well-written proposal. The PI is extremely capable and has more than adequate resources to carry out the proposed activities._x000D_
_x000D_
_x000D_
_x000D_
_x000D_
In the context of the five review elements, please _x000D_
evaluate the strengths and weaknesses of the proposal with respect to broader impacts._x000D_
_x000D_
Strengths:_x000D_
The proposed project will have impact on multiple areas including cryptography and distributed machine learning._x000D_
_x000D_
The PI is passionate teacher in addition to a stellar researcher. The project will_x000D_
help in development of new course material._x000D_
_x000D_
The PI has proactively reached out to students from underrepresented groups._x000D_
_x000D_
Weaknesses:_x000D_
The PI is already supervising six Ph.D. students. Will he have the bandwidth to supervise additional students? Presumably, the project will support these existing students rather than new students._x000D_
_x000D_
Please evaluate the strengths and _x000D_
weaknesses of the proposal with respect to any additional solicitation-specific review criteria, if _x000D_
applicable_x000D_
_x000D_
_x000D_
_x000D_
Summary Statement_x000D_
_x000D_
Excellent proposal._x000D_
_x000D_
</t>
  </si>
  <si>
    <t xml:space="preserve">In the context of the five review elements, please _x000D_
evaluate the strengths and weaknesses of the proposal with respect to intellectual merit._x000D_
_x000D_
Strengths _x000D_
_x000D_
-	The proposal considers a series of problems that are of great recent interest and that are at the interface of theoretical computer science and information theory_x000D_
-	The PI has a strong track record in this area and has mastery of the related literature_x000D_
-	The scope of the proposal is quite ambitious. The PI mentions that what he has described in the proposal is only a fraction of what he intends to explore in this area_x000D_
-	The PI has a well thought out research agenda_x000D_
-	The work on error-resilient circuits and the issue of memory blow-up is a very interesting one that had hitherto not been explored_x000D_
-	The cryptography application, whether it is through the design of stronger cryptographic primitives, or strong error-correcting codes, is very interesting_x000D_
_x000D_
_x000D_
Weaknesses _x000D_
_x000D_
-	The extensive (more than five pages) material devoted to broader impacts is commendable, but it does detract from the main technical part of the proposal. (There really is no need to include the names of  all the undergraduate students involved, and such other details, etc.)_x000D_
-	The two main thrusts of the proposal (explicit design of tree codes in section 2.4 and fundamental limits in section 2.5) would have benefited from more detail. These are well recognized to be the main challenges in the field. However, section 2.5 contained no new idea and the Reed-Solomon-like code proposal for tree codes seemed very preliminary and somewhat na´ve._x000D_
_x000D_
_x000D_
_x000D_
_x000D_
In the context of the five review elements, please _x000D_
evaluate the strengths and weaknesses of the proposal with respect to broader impacts._x000D_
_x000D_
Strengths _x000D_
_x000D_
-	Excellent educational program: sophomore level course on "Great Theoretical Ideas in Theoretical Computer Science", new graduate courses, PI has twice participated workshops at the Eberly Center at CMU, _x000D_
-	PI has involved undergraduate students in his research and has co-coached CMU's team at the AMC ICPC contest_x000D_
-	PI has involved under-represented groups in his research_x000D_
-	The PI has a leadership role in the interdisciplinary ACO program at CMU_x000D_
-	The PI is very active in organizing workshops, giving tutorials and in other outreach efforts_x000D_
_x000D_
_x000D_
Weaknesses _x000D_
_x000D_
-	None._x000D_
_x000D_
_x000D_
Please evaluate the strengths and _x000D_
weaknesses of the proposal with respect to any additional solicitation-specific review criteria, if _x000D_
applicable_x000D_
_x000D_
_x000D_
_x000D_
Summary Statement_x000D_
_x000D_
This proposal deals with the problem of error correcting coding for interactive communications. It has four main thrusts, the explicit design of efficiently encodable and decodable tree codes, the study of the fundamental limits of interactive communication over noisy channels, as well as applications to error-resilient circuits and cryptography._x000D_
_x000D_
</t>
  </si>
  <si>
    <t xml:space="preserve">In the context of the five review elements, please _x000D_
evaluate the strengths and weaknesses of the proposal with respect to intellectual merit._x000D_
_x000D_
This career development plan aims at developing a theory and methods for correcting errors in interactive communications. The proposal's scope is broad, the projected outcome are of significant impact, and the PI's record in the area is extremely promising. In particular, the PI envisions addressing the following problems: _x000D_
_x000D_
1. the connection between resilient circuits and interactive communication. _x000D_
_x000D_
--&gt; The PI has interesting preliminary work here that grounds his proposed work in specific successes and methods. _x000D_
_x000D_
2. iterative coding and cryptographic protocols over networks w loss. _x000D_
_x000D_
---&gt; Here the PI suggests activities both for developing stronger crypto solutions that are robust to network failures and loss and also for improving the communications bounds for knowledge preserving signature schemes. The PIs preliminary work in this area is well explained and suggests a positive way forward. _x000D_
_x000D_
3) tree code construction. _x000D_
_x000D_
--&gt; This is an intellectually ambitious specific aims. Both stated objectives are known to be extremely challenging. The PI has some lead based on RS codes' algebraic construction and properties. The ideas are fresh but the PI admits that more sophisticated machinery might be needed.  Here, I believe, making connection to the practical codes developed by Hassibi et al on the topic would be beneficial. _x000D_
_x000D_
4) fundamental limits of interactive communications. _x000D_
_x000D_
--&gt; The statement of the objective is extremely ambitious as mentioned by the PI. Instead smaller more attainable asymptotic analysis is discussed. The questions are well motivated and the approach seems likely to succeed. _x000D_
_x000D_
The write up at points becomes too grandiose and unfocused but specifying the objectives and prior work's specific findings makes the case for each specific aim clear and easier to assess. That being said, at many places, the objectives seem to be somewhat disconnected. _x000D_
_x000D_
The PI has an excellent record and is well-positioned to conduct the proposed research._x000D_
_x000D_
In the context of the five review elements, please _x000D_
evaluate the strengths and weaknesses of the proposal with respect to broader impacts._x000D_
_x000D_
The proposal has a very good and solid educational component integrating the PI's teaching/mentoring/advising both at the undergraduate and graduate levels. The PI also has a strong interest and record in broadening the participation and addressing implicit bias. The PI also has an excellent record of organizing workshops and tutorials as well as service to the community._x000D_
_x000D_
Please evaluate the strengths and _x000D_
weaknesses of the proposal with respect to any additional solicitation-specific review criteria, if _x000D_
applicable_x000D_
_x000D_
_x000D_
_x000D_
Summary Statement_x000D_
_x000D_
In summary, this is an extremely intellectually ambitious program with potentially significant impact. The area of research is not as exciting to me as I believe practically distributed computation has gone away from the theoretically questions posed regarding minimizing rate of interactions. In fact, in the intersection of coding theory and distributed computing, the problem of coded computation and parallelization seem to be of far more practical relevance.  The PI is well positioned to address many of the problems specified. If successful, he will for sure put himself in a leadership position in the area of interactive communication for years to come._x000D_
_x000D_
</t>
  </si>
  <si>
    <t xml:space="preserve">In the context of the five review elements, please _x000D_
evaluate the strengths and weaknesses of the proposal with respect to intellectual merit._x000D_
_x000D_
The proposed activity aims to develop theory and techniques for interactive communication, where two-way communication on noisy channels occurs between two agents that wish to compute functions that depend on both their data. In this setting, Shannon type coding utilizing long codewords is not appropriate, and new approaches are called for. The proposed work has four thrusts: (i) explicit construction of tree codes, (ii) exploring fundamental tradeoff of rate and error, (iii) applications in memory-resilient circuits, and (iv) application in cryptography._x000D_
_x000D_
Strengths:_x000D_
_x000D_
+ The introduction of the research area, a cross section of its literature and some of its open problems, are nicely done._x000D_
_x000D_
+ The PI is well qualified for research in this area, evidenced by preliminary results._x000D_
_x000D_
+ Research questions are related to deep problems in theoretical computer science as well as emerging applications._x000D_
_x000D_
+ The proposed research involves creative and original concepts, and is well organized._x000D_
_x000D_
+ The outlining of a reasonable angle of attack, especially on difficult problems (e.g., Question 7) gives the proposal credibility._x000D_
_x000D_
_x000D_
In the context of the five review elements, please _x000D_
evaluate the strengths and weaknesses of the proposal with respect to broader impacts._x000D_
_x000D_
Strengths:_x000D_
_x000D_
+ The course development plan ties research with education._x000D_
_x000D_
+The undergraduate involvement is nice. Is the track record in this area related to PI's preliminary results in the research area of this proposal?_x000D_
_x000D_
+The efforts in recruiting under-represented groups, and leveraging CMU's existing infrastructure in that respect, are positive aspects of the activity._x000D_
_x000D_
Weaknesses:_x000D_
_x000D_
-The educational activities could have been better tied with the research topic of the proposed activity._x000D_
_x000D_
_x000D_
Please evaluate the strengths and _x000D_
weaknesses of the proposal with respect to any additional solicitation-specific review criteria, if _x000D_
applicable_x000D_
_x000D_
+ The scope of the project is compatible with its 5-year duration._x000D_
+The research and educational parts of the proposal are related._x000D_
+The departmental letter indicates mentoring and support for the PI._x000D_
_x000D_
_x000D_
Summary Statement_x000D_
_x000D_
This is a well-written proposal by a qualified PI on an emerging subject with obvious theoretical importance as well as potential practical impact. The activity can advance the state of knowledge in its field. The proposal is well organized and involves creative and novel concepts. The PI has the resources to undertake the proposed activity._x000D_
_x000D_
</t>
  </si>
  <si>
    <t xml:space="preserve">In the context of the five review elements, please _x000D_
evaluate the strengths and weaknesses of the proposal with respect to intellectual merit._x000D_
_x000D_
This proposal is about interactive coding. The broad problem here is to convert any given  interactive communication protocol into one that is resilient to transmission errors, while preserving its functionality. The PI has written many papers on the subject and seems well placed to make further progress. The goals outlined in the proposal are certainly worthy of support. _x000D_
_x000D_
There are some issues with some of the proposed approaches to tackling them. The first goal outlined is about finding circuits resilient to short-circuit errors by solving the corresponding communication problem, which the PI explains is similar to finding error-resilient versions of protocols with small memory usage. However, the proposal does not address some of the basic challenges involved in getting such an approach to work. For one thing, every Karchmer-Wigderson game has a logarithmic complexity randomized communication protocol---the randomized complexity of solving Karchmer-Wigderson games says nothing about circuits. Secondly, every Karchmer-Wigderson game for n-bit inputs has a deterministic protocol with O(n) memory states (and O(n) communication) that solves the game. So again, the number of memory states used to solve the game has nothing to do with circuit size. In particular, Objective 2 cannot possibly be accomplished, because otherwise, plugging in the O(n) state protocol above, one would presumably obtain a circuit of subexponential size for every boolean function, something we know is not possible. The proposal does not adequately address the subtleties involved in the connection between boolean circuits and interactive protocols._x000D_
_x000D_
The other topics discussed in the proposal involve improved interactive coding schemes with nice cryptographic properties, better constructions of tree codes, and problems related to finding the optimal tradeoff between rate and errors of these coding schemes. These are all worthwhile goals._x000D_
_x000D_
_x000D_
In the context of the five review elements, please _x000D_
evaluate the strengths and weaknesses of the proposal with respect to broader impacts._x000D_
_x000D_
This proposal contains a detailed plan for broad impact. The PI has given many well received lectures about this line of work already, and plans to continue this good work. _x000D_
_x000D_
_x000D_
Please evaluate the strengths and _x000D_
weaknesses of the proposal with respect to any additional solicitation-specific review criteria, if _x000D_
applicable_x000D_
_x000D_
_x000D_
_x000D_
Summary Statement_x000D_
_x000D_
This proposal should be funded, if possible._x000D_
_x000D_
</t>
  </si>
  <si>
    <t xml:space="preserve">In the context of the five review elements, please _x000D_
evaluate the strengths and weaknesses of the proposal with respect to intellectual merit._x000D_
_x000D_
PI proposes questions in the exciting area of interactive coding. Some of the questions regard memory requirements, questions in circuit complexity_x000D_
and their relationship to the existence of good interactive coding schemes, finding techniques that do not rely on tree codes, constructing tree codes explicity, the interaction of interactive coding and crypto._x000D_
_x000D_
The PI demonstrates promising directions, and has already made outstanding contributions in the area._x000D_
_x000D_
In the context of the five review elements, please _x000D_
evaluate the strengths and weaknesses of the proposal with respect to broader impacts._x000D_
_x000D_
* revamping undergrad courses_x000D_
* programming contest_x000D_
* great research advising record already_x000D_
* tutorials, workshops, coorganize semester program at SIMONS_x000D_
_x000D_
Please evaluate the strengths and _x000D_
weaknesses of the proposal with respect to any additional solicitation-specific review criteria, if _x000D_
applicable_x000D_
_x000D_
_x000D_
_x000D_
Summary Statement_x000D_
_x000D_
+ interesting questions_x000D_
+ fantastic track record_x000D_
+ good quality broader impacts_x000D_
_x000D_
</t>
  </si>
  <si>
    <t xml:space="preserve">In the context of the five review elements, please _x000D_
evaluate the strengths and weaknesses of the proposal with respect to intellectual merit._x000D_
_x000D_
Compelling research program of further developing the theory of correcting errors in interactive communication.  The PI discusses two widely recognized fundamental problems, constructing tree codes and determining the tradeoff between communication rate and tolerable error rate.  He further suggests two other problems, exploring the connection between circuits robust to gate failures and interactive coding schemes, and exploring connections between interactive communication and cryptography.  The PI has a strong track record in the field._x000D_
_x000D_
A weakness is that I've seen other proposals for tree codes based on Reed-Solomon codes, and it's very unclear that this proposal is any more likely to admit a proof of correctness than any of the others._x000D_
_x000D_
_x000D_
In the context of the five review elements, please _x000D_
evaluate the strengths and weaknesses of the proposal with respect to broader impacts._x000D_
_x000D_
The PI proposes several targets: teaching, advising, involving students from underrepresented groups, interdisciplinary education, and tutorials at workshops._x000D_
_x000D_
Please evaluate the strengths and _x000D_
weaknesses of the proposal with respect to any additional solicitation-specific review criteria, if _x000D_
applicable_x000D_
_x000D_
_x000D_
_x000D_
Summary Statement_x000D_
_x000D_
A strong proposal about error correction in the interactive setting._x000D_
_x000D_
</t>
  </si>
  <si>
    <t>This career development plan aims at developing a theory and methods for correcting errors in interactive communications. _x000D_
_x000D_
Shannon's ``A Mathematical Theory of Communication'' established such a theory for one-way communications. Subsequently, coding theory produced computationally efficient methods for reliable data transmissions over unreliable channels. While error correcting codes have transformed communication technologies over the last decades modern communication settings often go beyond one-way transmissions and instead require many interleaved rounds of interactive communication. Over the last years, research developing interactive equivalents of good error correcting codes has gained a lot of attention and the PI has been on the forefront of this effort._x000D_
_x000D_
This proposals outlines the PI's plan to further drive this research direction over the next five years. It gives a large number of interesting aspects to study. This the most important core questions of the research area, namely, explicit constructions of tree-codes, a powerful but so-far elusive type of online-code and determining the fundamental communication rate limits for error correction in interactive communications. It also demonstrates the breadth and wider applicability of the direction by showing connections to other areas of theoretical computer science, including, cryptography, privacy, memory efficient error resilient computations and robust circuits. Lastly, it outlines initiatives of the PI to inform and excite undergraduates, graduate students, the larger scientific community about this research through education and outreach.Understanding the possibilities, limitations, and theoretical underpinnings of reliable interactive communication in the presence of noise is a basic and fundamental question. It combines themes of reliable communication, distributed computation, and the nature of information flow in interactions that have driven the curiosity of the PI since years. It is the PI's vision and goal to transform this relatively young research direction into a well founded and well understood mathematical and computational theory of reliable interactive communication. This vision and passion is shared by many of the PI's collaborators, in both the theoretical computer science and information theory community, and has already lead to exciting and promising initial results. Similar to the theory of error correcting codes this interactive coding theory is poised to find applications in and develop deep connections to other sub-fields in mathematics and computer science.The career development plan has a strong focus on its educational component which outlines the PI's past and future teaching efforts and initiatives, including the integration of the proposed research into a large undergraduate course and the PI's newly designed graduate course. It also provides steps taken to excite, recruit, mentor and include undergraduates in the outlined research as well as steps to integrate and attract more students from underrepresented groups. The research proposed will be carried out in broad collaborations with colleagues from different universities, countries, and disciplines as well as the PI's own group of graduate students. _x000D_
_x000D_
Key Words: Interactive Communication, Communication Complexity, Reliable Computation and Communication, Interactive Coding Theory, Interactive Information Theory.</t>
  </si>
  <si>
    <t>1750893</t>
  </si>
  <si>
    <t>Xie</t>
  </si>
  <si>
    <t xml:space="preserve"> Panel Summary       
 Description: _x000D_
_x000D_
The PI proposes to study three problems about the analysis of Boolean functions: the log-rank conjecture for XOR functions, the sensitivity conjecture, and understanding the structure of Boolean functions with small Fourier-L1 norm._x000D_
_x000D_
Intellectual Merit:_x000D_
Strengths_x000D_
  + Interesting questions, though well known._x000D_
  + PI had a nice FOCS 2013 paper making progress on the first question, and suggests ideas from that paper in the proposal._x000D_
_x000D_
Weaknesses_x000D_
  - The ideas to attack these questions don't appear new._x000D_
  - Proposal seems not up to date on all the topics, not mentioning an exponential improvement in the last problem and a smaller improvement in the first problem._x000D_
   - Relevant track record not as good as other PIs, though he also did important work in the unrelated area of local computation._x000D_
   - Not written for a broad audience._x000D_
_x000D_
Broader Impact: _x000D_
Strengths_x000D_
  + FIU is very diverse, and the PI has co-advised two Hispanic PhD students._x000D_
  + PI aims to include undergraduates in research._x000D_
_x000D_
Weaknesses_x000D_
_x000D_
Suggestions to PI:_x000D_
Probably need more results and ideas to make this competitive._x000D_
_x000D_
Justification for Panel Rating:_x000D_
See intellectual merit weaknesses._x000D_
_x000D_
Panel Rating: _x000D_
_ Highly Competitive_x000D_
_ Competitive_x000D_
_ Low Competitive_x000D_
x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</si>
  <si>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(NC) for proposal with low review scores_x000D_
_x000D_
CAREER: A Study of Some Problems in Boolean Function Analysis_x000D_
_x000D_
L: 1750893 Xie, Ning Florida International Univ $  520,820_x000D_
_x000D_
_x000D_
P180209 NC AF CAREER/CRII Panel B (12 panelists; 1 decl confl),_x000B_  on 11/21/2017, recommended as Not Competitive (G,F,F)_x000D_
Std competition rank 18 of 29 rated projects: 5 HC, 9 C, 11 LC, 4 NC _x000D_
_x000D_
Ad hoc reviews (1): F, with last on 11/15/2017_x000D_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Cognizant Program Director  _x000D_
Wednesday, December 13, 2017_x000D_
_x000D_
_x000D_
_x000C__x000D_
</t>
  </si>
  <si>
    <t>KG0982206</t>
  </si>
  <si>
    <t>ODonnell</t>
  </si>
  <si>
    <t>odonnell@cs.cmu.edu</t>
  </si>
  <si>
    <t xml:space="preserve">In the context of the five review elements, please _x000D_
evaluate the strengths and weaknesses of the proposal with respect to intellectual merit._x000D_
_x000D_
The overall topic of the proposal is a good one: (Fourier) Analysis of Boolean functions, a foundational area of computer science research that the PI has worked in previously.  This is an area that perhaps centers more around problem-solving than theory-building, so the PI's proposal -- which essentially gives a few major open problems to tackle -- is a reasonable approach.  The 3 main problems discussed are:_x000D_
_x000D_
1. The Log-Rank Conjecture for XOR functions.  (The PI has one directly relevant paper on this, from FOCS 2013, and what slightly less related paper, from CSR 2016.)_x000D_
_x000D_
2. The (rather infamous) Sensitivity Conjecture._x000D_
_x000D_
3. Improving the Green-Sanders Theorem on the structure of Boolean functions with small Fourier-L1 norm._x000D_
_x000D_
On one hand, these problems do not have major transformative consequences, but they are certainly well-known (especially #2) and are reasonable test-beds for trying to develop and sharpen Boolean function tools.  The PI says he will try to bring to bear F_2-polynomial representation and coding theory, as well as the usual Fourier analysis._x000D_
_x000D_
I must admit I didn't find that the PI had any striking-sounded new approaches; for #1 and #3 he mentioned ideas from his 2013 paper, and for #2... well, I feel no one has any great ideas for #2._x000D_
_x000D_
One thing that concerned me is that the PI does not seem completely up-to-date on the topics.  For example, regarding #3, he states that the Green-Sanders (2008) bound is doubly-exponential, and he hopes to bring it down to singly-exponential, or even quasipolynomial.  But in fact, it was already brought down to singly-exponential by Sanders in 2016 (https://arxiv.org/abs/1610.07092).  As an additional (albeit much less important) example, in describing the general Log-Rank conjecture, he states that the best known lower bound (power of log_3(6)) is due to Kushilevitz'94.  But in fact, this was recently improved (power of 2) by Goos-Pitassi-Watson'15.  These two examples make me slightly nervous that the PI is not completely in tune with recent progress on the problems he's proposed._x000D_
_x000D_
I should add that the PI also mentions a few more smaller additional problems he wants to tackle: improving the trivial Cauchy--Schwarz upper bound of ||\hat{f}||_1^2 &lt;= ||f||_1 to ||\hat{f}||_1^2 &lt;= (2/pi + o(1))||f||_1 for Boolean functions, and the also tackling the "Fourier Entropy-Influence" inequality.  Again, these are fine problems, though I didn't see any particularly innovative approach suggested._x000D_
_x000D_
_x000D_
_x000D_
In the context of the five review elements, please _x000D_
evaluate the strengths and weaknesses of the proposal with respect to broader impacts._x000D_
_x000D_
Regarding broader impacts, the proposal makes a token effort to say that Boolean Function Analysis could be important for distant areas such as crypto, security, network design, databases, but nothing is added to back this up._x000D_
_x000D_
The more promising broader impacts are regarding training and development of students from under-represented populations.  The PI notes that his institution (FIU) has a particularly high level of diversity, and the PI says he has previously co-advised 1 Hispanic PhD student (and also 1 female PhD student).  This is certainly promising.  _x000D_
_x000D_
The PI also mentioned the possibility of taking an interest in elementary education, but concrete steps have not yet been taken (it was more like, "The PI plans to...")._x000D_
_x000D_
_x000D_
Please evaluate the strengths and _x000D_
weaknesses of the proposal with respect to any additional solicitation-specific review criteria, if _x000D_
applicable_x000D_
_x000D_
Not relevant._x000D_
_x000D_
Summary Statement_x000D_
_x000D_
Overall, I was a little concerned about the PI's ability to make major progress in the area.  Although he has done some good work in the past, it has been a bit distant; his relevant papers he quoted were from CSR'16, FOCS'13, SODA'10, and then two more papers from a decade ago.  As I mentioned, the PI was also not fully up-to-date on some of the problems he discussed.  (Finally, the writing quality of the proposal was adequate, but not particularly high-quality.)_x000D_
_x000D_
</t>
  </si>
  <si>
    <t xml:space="preserve">In the context of the five review elements, please _x000D_
evaluate the strengths and weaknesses of the proposal with respect to intellectual merit._x000D_
_x000D_
This proposal is about the complexity of boolean functions. It has some ambitious goals, for example proving the sensitivity conjecture and the entropy-infuence conjecture. However, the proposal is a bit short on intermediate problems that seem both approachable and tractable. The PI also proposes studying the log-rank conjecture for XOR functions. Here the problem does seem more tractable, and the PI has proposed some plausible approaches to the problem, but the goal is a little less interesting to me._x000D_
_x000D_
Overall, I think the proposal has solid intellectual merit._x000D_
_x000D_
_x000D_
In the context of the five review elements, please _x000D_
evaluate the strengths and weaknesses of the proposal with respect to broader impacts._x000D_
_x000D_
The PI has a good plan for increasing the visibility of TCS at FIU, and for bringing TCS to a broad audience._x000D_
_x000D_
Please evaluate the strengths and _x000D_
weaknesses of the proposal with respect to any additional solicitation-specific review criteria, if _x000D_
applicable_x000D_
_x000D_
_x000D_
_x000D_
Summary Statement_x000D_
_x000D_
This proposal should be funded if possible._x000D_
_x000D_
</t>
  </si>
  <si>
    <t xml:space="preserve">In the context of the five review elements, please _x000D_
evaluate the strengths and weaknesses of the proposal with respect to intellectual merit._x000D_
_x000D_
The author proposes a program to study Boolean function analysis via the Fourier spectrum.  _x000D_
_x000D_
1)	One item proposed to be studied is the log-rank conjecture.  The author proposes a simpler version on "XOR-functions".  _x000D_
2)	The sensitivity conjecture.  _x000D_
3)	Improving the Green-Sanders upperbound on the number of subspaces.  _x000D_
_x000D_
These are (at least the first two), very well-known conjectures in the area.  I confess I do not really understand their importance, and the proposal did not aid in this.  _x000D_
_x000D_
The author lays out several approaches to these problems (which are very difficult problems that have withstood much scrutiny) including: GF(2) polynomial understanding of Boolean functions; some recent advances in coding theory; and additive combinatorics.    _x000D_
_x000D_
I will confess that I could not follow the details at a low level here.  I cannot judge whether the approaches are novel or well-reasoned other than to say the sound plausible at a very surface level._x000D_
_x000D_
The PI has background in the area adequate to reasonably try tackling these problems.  It is a little disconcerting that he has no results (after two years) from his other NSF CCF award.  _x000D_
_x000D_
Notes:_x000D_
_x000D_
Large swaths of this proposal were unintelligible to me.  Several key definitions were deferred to a nonexistent "appendix" (including granularity and GF(2) polynomial understanding of Boolean functions)  _x000D_
_x000D_
I have taken a course on Boolean function analyses, and used it in my research (though I am not an expert).  The proposal would be improved greatly if it were written for an appropriate audience (I understand this is very difficult).   _x000D_
_x000D_
When I was starting out, I did not realize this: people actually read these proposals carefully!  90% of it should be understandable by the person reading it (me in this case).  Your structure is to have high-level overview and then details for the "expert".  The problem is that there are only 3-4 TCS experts (not Fourier analysis experts) reading this.  Most of the time, there is no area "expert".  So your technical proposal largely ends after page 5.   We have a fair bit of patience for some detailed explanations, but at the end, we want to understand them.  _x000D_
_x000D_
The author could add social networks to the uses of Fourier analysis on Boolean functions.  However, it would also add, that it would be great to make the connections of the research in THIS proposal link outside Boolean function analysis.  It is not very convincing to say that A relates to B and B relates to C.  Because C is important, so is A.  A could relate to a completely useless part of B that says nothing about C.  Making these connections explicit (and intelligible to a TCS expert) will strengthen the proposal.  _x000D_
_x000D_
_x000D_
_x000D_
In the context of the five review elements, please _x000D_
evaluate the strengths and weaknesses of the proposal with respect to broader impacts._x000D_
_x000D_
This proposal aims to tackle ambitious problems.  If solved they will likely have impacts beyond TCS.  _x000D_
The author has set out a very thoughtful plan for on-boarding students with limited background to this very challenging endeavor.  This proposal will also contribute to two graduate courses under development (the author already designed one new course).  Outside of classes, the author will develop a reading group.  _x000D_
Also the author intends to incorporate undergraduates in research.  Given that his institution is majority minority, this will provide TCS with a more diverse set of scholars.  _x000D_
The PI already has outreach efforts to high school teachers and high school students.  He also intends to extend this to elementary school students through the program Computer Science Unplugged.  _x000D_
_x000D_
_x000D_
Please evaluate the strengths and _x000D_
weaknesses of the proposal with respect to any additional solicitation-specific review criteria, if _x000D_
applicable_x000D_
_x000D_
The author has set out a very thoughtful plan for on-boarding students with limited background to this very challenging endeavor.  This proposal will also contribute to two graduate courses under development (the author already designed one new course).  Outside of classes, the author will develop a reading group.  _x000D_
Also the author intends to incorporate undergraduates in research.  Given that his institution is majority minority, this will provide TCS with a more diverse set of scholars.  _x000D_
The PI already has outreach efforts to high school teachers and high school students.  He also intends to extend this to elementary school students through the program Computer Science Unplugged.  _x000D_
_x000D_
_x000D_
Summary Statement_x000D_
_x000D_
The proposal is an ambitious undertaking two some of the most challenging problems in TCS.  The importance of these problem and the proposed techniques could have been better argued.  The educational outreach aspect is strong both in its proposal, the prior work of the author, and the author's university/location._x000D_
_x000D_
</t>
  </si>
  <si>
    <t xml:space="preserve">In the context of the five review elements, please _x000D_
evaluate the strengths and weaknesses of the proposal with respect to intellectual merit._x000D_
_x000D_
The PI proposes to study several interesting and well known problems in the analysis of Boolean functions, including the log-rank conjecture and the sensitivity conjecture. He presents some interesting ideas, notably a few that stem from the PI's FOCS 2013 paper about the log-rank conjecture and Fourier sparsity.  While this paper seems nice,  it's unclear why progress should be made now when progress was slower after 2013.  The log-rank conjecture and sensitivity conjecture seem very difficult.  The PI's track record appears weaker than other applicants, with only two STOC/FOCS publications (from 2013 and 2007), two SODA papers (2012 and 2010), and three ICALP papers (from 2016, 2012, and 2010)._x000D_
_x000D_
_x000D_
In the context of the five review elements, please _x000D_
evaluate the strengths and weaknesses of the proposal with respect to broader impacts._x000D_
_x000D_
FIU is one of the leading minority-serving research universities in the country. The PI has co-advised two Hispanic PhD students._x000D_
_x000D_
Please evaluate the strengths and _x000D_
weaknesses of the proposal with respect to any additional solicitation-specific review criteria, if _x000D_
applicable_x000D_
_x000D_
_x000D_
_x000D_
Summary Statement_x000D_
_x000D_
While the PI proposes interesting ideas in the analysis of Boolean functions, his track record is probably not strong enough to justify a CAREER award at this time._x000D_
_x000D_
</t>
  </si>
  <si>
    <t>Boolean function is one of the most fundamental computation models in theoretical computer science. Applying analytic tools, especially Fourier analysis, to the study Boolean functions has led to fruitful research in many areas such as complexity theory, learning theory, inapproximability, pseudorandomness, metric embedding, property testing, threshold phenomena, social choice, etc.   _x000D_
_x000D_
In this proposal, the PI aims at developing new tools and techniques to study several open problems in the analysis of Boolean functions._x000D_
Specifically, the PI plans to apply GF(2)-polynomial paradigm, coding theoretic methods, additive combinatorics, together with traditional Fourier analytic methods to make progress on the problems of the Log-rank conjecture for XOR functions, the Sensitivity conjecture, tighter characterizations of complexity measures in decision tree complexity, decomposing Boolean functions with small spectral norms, Fourier Entropy Influence (FEI) conjecture, and so on.The proposed research attempts to address some fundamental open problems in Boolean functions, develop novel tools and techniques for analyzing the Fourier spectra of Boolean functions, and reveal new connections between the Fourier spectral and various other complexity measures of Boolean functions. As a foundational research frontier in theoretical computer science, advances in the studies of Boolean functions will have significant impacts on a wide range of areas within computer science, such as complexity theory, learning theory, coding theory, derandomization, approximation algorithms, streaming algorithms, and social choice theory. Due to its close relationship with discrete mathematics and functional analysis, progress in the analysis of Boolean functions will have far-reaching implications in combinatorics, number theory, analysis, and other branches of mathematics.Understanding various properties, including complexity measures, _x000D_
of Boolean functions poses one of the greatest challenges in theoretical computer science. The proposed research will deepen our understanding of Boolean functions from the perspective of Fourier spectral, and thus have the potential of fundamentally changing the way Boolean functions are designed, analyzed and processed. Moreover, due to the intimate connections between Boolean functions and other computational and combinatorial objects, this new study could have far-reaching implications in many other areas in computer science, such as cryptography, cyber security, network design and database systems._x000D_
_x000D_
An integral part of this proposal are the educational components,_x000D_
which are designed to ensure the proposed research's broader impact and improve workforce training. The program includes developing undergraduate and graduate courses geared toward disseminating _x000D_
new algorithmic ideas outside the theoretical computer science community, as well as recruiting and advising graduate students from under-representative groups._x000D_
_x000D_
Given the relatively small number of minority PhD students across the country, it is significant to note that FIU is one of the largest minority-serving research universities in Unite States. The PI has co-advised a Hispanic PhD student and is currently co-advising another female PhD student with another faculty member in the department. With the support of this project, the PI is committed to recruiting more undergraduate and graduate students from minority groups to carry out research in theoretical computer science and, more generally, to pursue computationally-oriented scientific careers.</t>
  </si>
  <si>
    <t>1751040</t>
  </si>
  <si>
    <t>Price</t>
  </si>
  <si>
    <t xml:space="preserve"> Panel Summary       
  Description: _x000D_
This proposal will consider two directions:  First, this work will develop algorithms for recovering continuous signals which have sparse representations, analogous to the important thrust of ongoing work for discrete signals with sparse representation.   Second, this work will develop sublinear time and space algorithms for estimating properties of distributions with better p-values (that is, in terms of the confidence parameters) and for estimating parameters of graphs._x000D_
_x000D_
Intellectual Merit: _x000D_
_x000D_
_x000D_
Strengths_x000D_
  + Question are compelling and well-motivated._x000D_
  + The PI is well-qualified, has made partial progress and has a good track record in this area_x000D_
  + Likely to have practical impact._x000D_
  + Likely to lead to interesting theoretical work._x000D_
  + well-written proposal_x000D_
  + connections with deep nets  are interesting_x000D_
Weaknesses_x000D_
  - The second direction could have been elaborated better._x000D_
_x000D_
Broader Impact: Broader impact includes industrial use of techniques in their algorithms.  The PI plans to work with the USA Olympiad to increase participation, with a special target for diversity.   The PI will integrate more programming assignments into the algorithms class._x000D_
_x000D_
Strengths_x000D_
  + Research is likely to have industrial impact_x000D_
  + PI plans to work with USA Computing Olympiad and high schoolers_x000D_
  - Some of the processes for raising awareness (e.g. handing out flyers) could be better thought out._x000D_
_x000D_
Solicitation-specific criteria: The PI will integrate education and research by designing new graduate courses and enhancing undergraduate courses._x000D_
_x000D_
Data Management Plan:  Adequate_x000D_
_x000D_
Collaboration Plan: not needed_x000D_
_x000D_
What is bold, exciting, high risk/reward, or potentially transformative? _x000D_
 Data that comes from the continuous domain occurs widely.   Our ability to deal with it in better ways will be transformative.  _x000D_
_x000D_
Suggestions to PI: _x000D_
_x000D_
Justification for Panel Rating:  The questions raised are important, and the PI is well-qualified to make progress in these directions. However, there were other stronger proposals in the panel._x000D_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</si>
  <si>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is extremely well organized and clear questions -- does a good job of showing how the problems and areas that are targeted have clear impact not only in their domain but also across domains. The research questions are ambitious but also extremely focused and clear._x000D_
_x000D_
While there was not significant detail on moving to practice and the PI has had success in technology commercialization this proposal does not address how the proposed courses of theoretical research may be exposed to practice.  However, these links don't seem hard to make: i.e., with the distribution testing creating tools / algorithms online or in the case of sample complexity to GANs this could have direct impact._x000D_
_x000D_
2. To what extent do the proposed activities suggest and explore creative, original, or potentially transformative concepts?_x000D_
_x000D_
The questions addressed are well grounded in creative and address fundamental gaps between the theory and more practical aspects (data limited aspects) of signal recovery and property testing._x000D_
_x000D_
3. Is the plan for carrying out the proposed activities well-reasoned, well-organized, and based on a sound rationale? Does the plan incorporate a mechanism to assess success?_x000D_
_x000D_
There is a clear integration between these questions and they are important. Additionally the questions are related but not interdependent such that advances could be used across questions but failure to make progress in any of the theoretical areas will not impede the others._x000D_
_x000D_
4. How well qualified is the individual, team, or institution to conduct the proposed activities?_x000D_
_x000D_
The main questions are well integrated and show a clear focus from the PI in terms of research direction for which he is well qualified based on past publications and performance.  The fundamental questions are informed by the PIs PhD research so he is in a good place to conduct the proposed activities._x000D_
_x000D_
5. Are there adequate resources available to the PI (either at the home institution or through collaborations) to carry out the proposed activities?_x000D_
_x000D_
There is sufficient resources from the department to carryout the proposed research activities._x000D_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broader impacts are ambitious and the PI seems to have a real desire to see the work translated to practice through working on concrete problems of industrial interest (i.e., signal processing).  He also is very invested in expanding the scope of IOI/USACO.  It is unclear to me how impactful this channel will be and how it compares to the scope and impact of the ACM Programming Competition.  _x000D_
_x000D_
2. To what extent do the proposed activities suggest and explore creative, original, or potentially transformative concepts?_x000D_
_x000D_
The broader impacts are creative and explore underutilized resources (USACO) along with potentially transformative applications of algorithms through technology transfer._x000D_
_x000D_
3. Is the plan for carrying out the proposed activities well-reasoned, well-organized, and based on a sound rationale? Does the plan incorporate a mechanism to assess success?_x000D_
_x000D_
See 5, there are good measure for success identified w.r.t. the USACO participation as well as the teaching and mentoring aspects of the project._x000D_
_x000D_
4. How well qualified is the individual, team, or institution to conduct the proposed activities?_x000D_
_x000D_
The PI is a graduate of the programs he has identified and is hence well qualified to execute.  He also has a good track record of teaching and commercialization so he is well qualified for these tasks._x000D_
_x000D_
5. Are there adequate resources available to the PI (either at the home institution or through collaborations) to carry out the proposed activities?_x000D_
_x000D_
W.r.t the outreach related to IOI/USACO I am not sure if flyers are sufficient.  Additionally, it is not clear how this is connected to the bulk of the proposal and how one informs the other. Or how this integrates with the well established ACM programming competition which is only mentioned in passing._x000D_
_x000D_
Please evaluate the strengths and _x000D_
weaknesses of the proposal with respect to any additional solicitation-specific review criteria, if _x000D_
applicable_x000D_
_x000D_
_x000D_
_x000D_
Summary Statement_x000D_
_x000D_
A strong proposal that identifies important and key questions in the area of signal processing and property testing.  Good opportunity for broad impact through technological advances and technology transfer.  Several key areas for outreach are identified but could be developed slightly better._x000D_
_x000D_
</t>
  </si>
  <si>
    <t xml:space="preserve">In the context of the five review elements, please _x000D_
evaluate the strengths and weaknesses of the proposal with respect to intellectual merit._x000D_
_x000D_
This proposal is about understanding several well motivated families of problems. The first has to do with recovering a function with a sparse fourier-spectrum. When the spectrum is supported on discrete frequencies, the problem is well studied. The PI suggests several interesting questions in this regard. These problems are extremely well motivated by practical applications, and progress on them is likely to involve some interesting theoretical work. The PI also suggests studying problems related to robust polynomial regression, where again the problem is quite interesting and the PI has made partial progress already._x000D_
_x000D_
The PI has already established a strong track record of coming up with interesting answers to similar questions._x000D_
_x000D_
In the second part of the proposal the PI discusses problems related to distribution testing and in the third, counting triangles in graphs using streaming algorithms. These are also interesting topics that the PI has had past success with._x000D_
_x000D_
Overall, I find the propoal to have a lot of intellectual merit._x000D_
_x000D_
_x000D_
In the context of the five review elements, please _x000D_
evaluate the strengths and weaknesses of the proposal with respect to broader impacts._x000D_
_x000D_
The PI has been involved with the USA computing Olympiad, and plans to continue advacing theoretical computer science via this participation. Generally, he has a good plan for continuing to have broad impact, both through education and via interaction with other research communities. _x000D_
_x000D_
_x000D_
Please evaluate the strengths and _x000D_
weaknesses of the proposal with respect to any additional solicitation-specific review criteria, if _x000D_
applicable_x000D_
_x000D_
_x000D_
_x000D_
Summary Statement_x000D_
_x000D_
This proposal should be funded._x000D_
_x000D_
</t>
  </si>
  <si>
    <t xml:space="preserve">In the context of the five review elements, please _x000D_
evaluate the strengths and weaknesses of the proposal with respect to intellectual merit._x000D_
_x000D_
PI proposes two major thrusts:_x000D_
(1) Continuous sparse recovery problems:  The PI suggests a research program, as in the (highly successful) large body of work on *discrete* sparse recovery, for continuous sparse recovery.   Since an important class of is continuous, this direction is crucial.  The PI gives a number interesting mathematical suggestions for how he plans to pursue this plan.  (2)  The PI suggests interesting questions in property testing of distributions, namely to reduce the dependence on the confidence parameter, and in sublinear time and space algorithms for triangle counting.   The former builds on previous work of the PI and the proposal suggests directions for making further progress.  _x000D_
_x000D_
The PI is highly qualified to make progress on this project._x000D_
PI proposed interesting questions in signal recovery and property testing.  Fpr tInteresting techniques are suggested for continuous_x000D_
sparse recovery problems, generative models,faster robust polynomial regression and faster property testing of distributions._x000D_
_x000D_
The PI has a very strong research track record, and has made fantastic contributions in the area of the proposal._x000D_
_x000D_
In the context of the five review elements, please _x000D_
evaluate the strengths and weaknesses of the proposal with respect to broader impacts._x000D_
_x000D_
Solutions to sparse recovery for continuous signals will have impact on industry._x000D_
_x000D_
PI will work with USA Computing Olympiad and with high schools.   Places emphasis on more involvement in general, and specifically more diversity involvement._x000D_
_x000D_
Please evaluate the strengths and _x000D_
weaknesses of the proposal with respect to any additional solicitation-specific review criteria, if _x000D_
applicable_x000D_
_x000D_
_x000D_
_x000D_
Summary Statement_x000D_
_x000D_
+ strong track record_x000D_
+ high likelihood of progress_x000D_
+ many of the problems have a fundamental feel._x000D_
+ interesting ideas are suggested for solving them_x000D_
+ likely to have impact on industry_x000D_
_x000D_
</t>
  </si>
  <si>
    <t xml:space="preserve">In the context of the five review elements, please _x000D_
evaluate the strengths and weaknesses of the proposal with respect to intellectual merit._x000D_
_x000D_
There are two main threads in the proposal: (1) to develop new algorithms for recovering signals with sparse Fourier transforms for continuous signals, and (2) to develop new property testing algorithms for distribution testing and estimating parameters over graphs. _x000D_
_x000D_
(1) Most existing results only apply to the discrete setting where the current literature also provides approach that is robust to noise (close to k-sparse signal). These algorithms do not carry over to the continuous setting. There are some old work on continuous setting for noiseless case, but when developing robust algorithms, no known algorithm has sublinear sample complexity in terms of k, and all require certain gap in the frequency spectrum. The PI proposes to analyze various new questions in this domain, especially the connection to sample complexity of deep networks is very interesting. _x000D_
_x000D_
(2) While there has been many results in distribution testing, the impact of those results have been limited. The PI proposes new approach for distribution testing to make the results compatible to hypothesis testing, which on the other hand has enormous practical usage. For example, for uniformity testing, the property testing results suggests \Theta(sqrt{n}/epsilon^2) samples are enough to distinguish a distribution being uniform or \epsilon-far in total variation distance. PI argues the probability amplification step that amplifies the success probability from a constant to any arbitrary precision is problematic as it involves repeating the experiment many times. It introduces large constant factors. PI asks if it is possible to develop simple test statistics that avoid this easy repetition technique. For uniformity testing, such a tester is possible, and PI will try to develop such tester for other problems. PI also asks some interesting questions about counting triangles in the streaming model and understanding the space complexity requirements for turnstile vs sampling model._x000D_
_x000D_
Summary of strength and weakness: Well-written proposal by a qualified PI. The first part of the proposal on sparse Fourier recovery of continuous signals is compelling. The last two sections, especially the one on graph streaming could have been elaborated better._x000D_
_x000D_
In the context of the five review elements, please _x000D_
evaluate the strengths and weaknesses of the proposal with respect to broader impacts._x000D_
_x000D_
Well written broader impact section. The research is likely to have industrial impact (though no industrial collaboration letter has been submitted). The PI plans to work with the USA Computing Olympiad to teach high schoolers advanced algorithmic programming. PI will advise undergraduates and graduate students and develop courses where students can get more hands-on experience with the algorithms._x000D_
_x000D_
Please evaluate the strengths and _x000D_
weaknesses of the proposal with respect to any additional solicitation-specific review criteria, if _x000D_
applicable_x000D_
_x000D_
_x000D_
_x000D_
Summary Statement_x000D_
_x000D_
Overall, the proposal is well-written and is likely to produce interesting results both of theoretical and practical interest._x000D_
_x000D_
</t>
  </si>
  <si>
    <t>From medical imaging to astronomy, scientific hypothesis testing to data analysis, computers are used in a wide variety of areas where computation is cheaper than data collection. Such situations call for algorithms that are not just fast, but more importantly data efficient._x000D_
_x000D_
This proposal focuses on algorithms for fundamental computational problems of interest in both theory and practice. It focuses on two basic questions: how many samples does it take to accurately reconstruct a signal from noisy observations? And given samples from an object, how many samples does it take to estimate a property of the object?For signal recovery, the PI will develop new algorithms for recovering signals with sparse Fourier transforms for continuous signals. There has been substantial recent progress on efficient algorithms for the sparse variant of the discrete Fourier transform. However, there has been much less work on the continuous case, despite the fact that most signals of interest have continuous spectra. The proposal will address this gap._x000D_
_x000D_
The PI will demonstrate the possibility of leveraging recent developments in neural networks into efficient signal recovery. These networks are much more expressive than the sparsity-based models used in traditional compressed sensing, so this direction promises to achieve similar theoretical guarantees with many fewer samples._x000D_
_x000D_
Furthermore, many techniques used in signal recovery -- including for sparse Fourier transforms -- deal poorly with arbitrarily corrupted samples. The PI will explore methods of signal recovery that are robust to outlier measurements, starting with the robust polynomial regression problem._x000D_
_x000D_
For property testing, the PI proposes a modification to the standard distribution testing framework that makes it more compatible with statistical hypothesis testing. This will allow scientists to get smaller, more accurate p-values from fewer data points._x000D_
_x000D_
The PI also plans to study properties of graphs that can be estimated with a sublinear sample of the edges, starting with an instance-optimal estimator for counting triangles in the graph. In the sublinear regime, it is conjectured that sampling may be as powerful as the general turnstile streaming model.Much of the proposed research is motivated by weaknesses in theoretical formulations that prevent recent progress in theory from making a bigger impact on practice. The topics and approaches described here span multiple disciplines, including algorithms, signal processing, and harmonic analysis, helping transfer knowledge between the fields. Additionally, the PI will work with the USA Computer Olympiad to teach algorithmic programming to a broader and more diverse set of high school students.</t>
  </si>
  <si>
    <t>1751047</t>
  </si>
  <si>
    <t>Gibson</t>
  </si>
  <si>
    <t xml:space="preserve"> Panel Summary       
 SUMMARY OF PROPOSED RESEARCH ACTIVITY_x000D_
_x000D_
Description: _x000D_
_x000D_
The proposal on visibility problems in discrete and computational geometry and consists of three parts: (i) The first part deals with the classical problem of characterizing and recognizing visibility graphs of polygons. (ii) The second part is on approximation algorithms/hardness for variations of the classical art gallery problem (e.g., with limited visibility or with noisy inputs). (iii) The third part addresses the problem of reconstructing pedestrian maps from GPS data._x000D_
_x000D_
_x000D_
INTELLECTUAL MERIT_x000D_
_x000D_
Strengths_x000D_
_x000D_
+ A substantial progress on the challenging problem of recognizing visibility graphs would be a major result_x000D_
+ The problem of constructing pedestrian maps is practically well motivated topic and not as widely studied as road-map construction_x000D_
_x000D_
_x000D_
Weaknesses_x000D_
_x000D_
- Notwithstanding PI's recent paper on this problem, the proposal doesn't provide insights how the visibility graph recognition problem will be solved.  The PI is strongly advised to provide a more compelling line of attack to make a credible case for solving this problem. Progress on special cases such start-shaped polygons will not be particularly interesting. Furthermore, the problem is only of theoretical interest._x000D_
- The proposed variations of visibility have been studied in multiple communities and even some approximation results exist.  It is unclear whether the proposed research will lead to deep, major new results._x000D_
- The proposal does not justify why constructing the visibility graph is the right question for the pedestrian-map-reconstruction problem._x000D_
_x000D_
_x000D_
BROADER IMPACTS_x000D_
_x000D_
The broader impact section is adequate. _x000D_
_x000D_
Strengths_x000D_
+ The  PI's  commitment to engage under-represented groups is strong_x000D_
+ Outreach to high school students and elementary school teachers is also commendable_x000D_
_x000D_
Weaknesses_x000D_
_x000D_
_x000D_
CAREER SOLICITATION-SPECIFIC REMARKS:_x000D_
_x000D_
Letter of institutional commitment included_x000D_
_x000D_
The education plan is vague_x000D_
_x000D_
_x000D_
ADDITIONAL REMARKS_x000D_
_x000D_
_x000D_
Data Management Plan: Adequate_x000D_
_x000D_
Results of prior support: No prior support_x000D_
_x000D_
Justification for Panel Rating: See the weaknesses mentioned in the intellectual merit section._x000D_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_x000D_
_x000D_
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</si>
  <si>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A Modern Look at Visibility Problems_x000D_
_x000D_
L: 1751047 Gibson, Matthew U of Texas San Antonio $  415,497_x000D_
_x000D_
_x000D_
P180207 LC AF CAREER/CRII Panel A (14 panelists),_x000B_  on 10/24/2017, recommended as Low Competitive (V,G,G/F,F)_x000D_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</si>
  <si>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proposed research focuses on the visibility problems, especially the visibility graph in a polygonal environment. It's a classical problem on which the PI has made some progress recently. The proposal builds on this past work and asks a few interesting questions.  The question that will be studied include visibility graph characterization and recognition, (ii) visibility problems in the presence of noise, and (iii) construction pedestrian maps. _x000D_
_x000D_
The proposal contains some nice geometric theoretical questions but their impact is likely to be limited. The scope of the proposal seems somewhat narrow and some of the problems are not well motivated. For example, constructing the pedestrian map is an interesting problem but why computing the visibility graph is the right problem. _x000D_
_x000D_
The PI has done some work in the proposed area of research so there is a good chance that he would make progress on some of the proposed problems._x000D_
_x000D_
_x000D_
A proposal with a broader scope while focusing on visibility would have been appealing._x000D_
_x000D_
In the context of the five review elements, please _x000D_
evaluate the strengths and weaknesses of the proposal with respect to broader impacts._x000D_
_x000D_
There is a detailed outreach plan for connecting to not only undergraduate and K12 students but also to San Antonio community. I commend the PI for thinking some of these topics. However I'll encourage him not to restrict visibility problems as the vehicle of engaging with them. _x000D_
_x000D_
There is no discussion on teaching in the proposal. Considering the opportunity he mentions about engaging Latino students, it would have been useful for him to think how  the curriculum could be adapted to attract these students to computer science._x000D_
_x000D_
_x000D_
_x000D_
Please evaluate the strengths and _x000D_
weaknesses of the proposal with respect to any additional solicitation-specific review criteria, if _x000D_
applicable_x000D_
_x000D_
_x000D_
_x000D_
Summary Statement_x000D_
_x000D_
Building on his recent work, the PI proposes to study  a number of visibility problems, many of which are theoretically interesting and some of which have been studied for a long time. _x000D_
_x000D_
The outreach part in the broader impact section is strong but there is no discussion on his teaching plans._x000D_
_x000D_
_x000D_
_x000D_
</t>
  </si>
  <si>
    <t xml:space="preserve">In the context of the five review elements, please _x000D_
evaluate the strengths and weaknesses of the proposal with respect to intellectual merit._x000D_
_x000D_
This proposal has 3 parts, all about visibility-related problems in discrete and computational geometry. _x000D_
_x000D_
The first attacks an old theoretical open problem, of characterizing or recognizing visibility graphs of polygons. Previously at ESA'15, the PI with Krohn and Wang gave necessary conditions for pseudo-polygons, and the proposal mentioned subsequent work by the PI and others on new necessary conditions for polygons. It is good to see the PI ambitious enough to attempt to resolve the general problem, though it is not clear what are the chances for a complete resolution._x000D_
_x000D_
The second part is on approximation algorithms/hardness for new variations of classical art gallery problems (e.g., with limited _x000D_
visibility or with noisy inputs). This might generate new papers of interest to a subcommunity of computational geometers, although it is unclear if there are still any deep, major new results to be discovered._x000D_
_x000D_
The third part addresses an applied problem, of reconstructing pedestrian maps from GPS data, which is practically well motivated topic. The PI with Ahmed, Fasy, and Wenk had a previous paper on this in '15._x000D_
_x000D_
_x000D_
In the context of the five review elements, please _x000D_
evaluate the strengths and weaknesses of the proposal with respect to broader impacts._x000D_
_x000D_
The proposal describes at length outreach to high school and elementary students, and impact to the larger San Antonio community. The PI has graduated several PhD students already, some of which are female and minority students._x000D_
_x000D_
_x000D_
Please evaluate the strengths and _x000D_
weaknesses of the proposal with respect to any additional solicitation-specific review criteria, if _x000D_
applicable_x000D_
_x000D_
_x000D_
_x000D_
Summary Statement_x000D_
_x000D_
Unclear about chances of success for the main theoretical problem in the first part, and whether the second part would lead to substantial new techniques._x000D_
_x000D_
_x000D_
</t>
  </si>
  <si>
    <t xml:space="preserve">In the context of the five review elements, please _x000D_
evaluate the strengths and weaknesses of the proposal with respect to intellectual merit._x000D_
_x000D_
The proposal considers an old chestnut in computational geometry that has proven very difficult to crack: what is the computational complexity of recognizing the visibility graphs of simple polygons? Although visibility graphs are important (for instance in geometric routing problems), their recognition is purely a theoretical problem, but a perplexing one, and progress on it could lead to useful properties of these graphs that could be applied in other related problems. The plan for how to make progress on this problem is vague, but includes recent work by the author on a non-algorithmic characterization for a topological variation of the problem introduced in 1997 by Streinu and O'Rourke._x000D_
_x000D_
Additionally, the proposal considers some unrelated problems of robustly guarding polygonal art galleries, subject to uncertainty about the polygon shape or limits on the radius of visibility of the guards, and of using GPS data to construct pedestrian maps (pending IRB approval for the collection of subject GPS locations needed to perform this work)._x000D_
_x000D_
Matt Gibson had a breakout year in 2015 with six conference papers in good but not top-tier conferences including ESA, SIGSPATIAL, and ISAAC, but in most other years has had only one or two publications and so far in 2017 has none listed in DBLP. The proposal is on topics that fit within his published expertise._x000D_
_x000D_
_x000D_
In the context of the five review elements, please _x000D_
evaluate the strengths and weaknesses of the proposal with respect to broader impacts._x000D_
_x000D_
The pedestrian map aspect of the proposal incorporates a strong component of undergraduate research, at a minority serving institution. Additionally, the proposal incorporates visual computing demos as an aspect of recruiting elementary and high school students to STEM._x000D_
_x000D_
_x000D_
Please evaluate the strengths and _x000D_
weaknesses of the proposal with respect to any additional solicitation-specific review criteria, if _x000D_
applicable_x000D_
_x000D_
_x000D_
_x000D_
Summary Statement_x000D_
_x000D_
If significant progress could be made on algorithms for recognizing visibility graphs, that would be a splashy result. And given that the proposal is in a theoretical research area, the lack of applications of this problem are neither unusual for the area nor a significant drawback. However, this is a high-risk proposal, both because of the long lack of progress in the history of the problem and because the proposer does not yet have a strong and sustained track record of top-level research publications._x000D_
_x000D_
</t>
  </si>
  <si>
    <t xml:space="preserve">In the context of the five review elements, please _x000D_
evaluate the strengths and weaknesses of the proposal with respect to intellectual merit._x000D_
_x000D_
The project studies several visibility problems. One is to_x000D_
settle the characterization and recognition problem. While its_x000D_
practical application is limited, this resolves a long-standing_x000D_
open problem in this area if successful. The approach is based_x000D_
on a necessary condition newly discovered by PI using the concept_x000D_
of "psudo-visibility". It remains to be seen if this approach can_x000D_
be revised to solve the original problem. At least, some progress_x000D_
seems possible._x000D_
_x000D_
Another proposed task is related to art gallery problems._x000D_
Unlike the traditional version of the problem, the PI considers_x000D_
a new model with "limited visibility". This setting is interesting_x000D_
and well motivated._x000D_
_x000D_
The third task is to construct "pedestrian map" from cell-phone GPS data. Essentially, the problem is to construct a map, from such data, that identify the obstacles. It looks a new and interesting research topic._x000D_
_x000D_
The project consists of a nice combination of theoretical and practical visibility problems._x000D_
_x000D_
In the context of the five review elements, please _x000D_
evaluate the strengths and weaknesses of the proposal with respect to broader impacts._x000D_
_x000D_
The applications of the research task two and task three are well_x000D_
described and motivated. They also have potential applications for_x000D_
solving other problems in Computational Geometry._x000D_
_x000D_
The PI works in a minority serving institution. He is active in_x000D_
existing outreach programs for local K-12 school students, and_x000D_
plans to enhance these programs by using some of the problems_x000D_
in this project. Given the geometric and intuitive flavor of these_x000D_
problem, I think the PI will be successful in this effort._x000D_
_x000D_
I think the PI made a strong case for "Broader Impact"._x000D_
_x000D_
Please evaluate the strengths and _x000D_
weaknesses of the proposal with respect to any additional solicitation-specific review criteria, if _x000D_
applicable_x000D_
_x000D_
_x000D_
_x000D_
Summary Statement_x000D_
_x000D_
The project consists of a nice combination of theoretical and practical visibility problems. Some of these problems are well motivated by practical applications._x000D_
_x000D_
The PI has done good work in this area, and is well qualified for_x000D_
the proposed research. The this project seems fit the PI's long_x000D_
term research agenda well._x000D_
_x000D_
The Departmental letter of support shows strong commitment of the_x000D_
school for the professional development of the PI._x000D_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</si>
  <si>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    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art gallery problems in the presence of noise and limited visibility, and 3) algorithms for constructing pedestrian maps from GPS data.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these recent observations answering this and related open questions.  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  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</si>
  <si>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1751048</t>
  </si>
  <si>
    <t>Papakonstantinou</t>
  </si>
  <si>
    <t xml:space="preserve"> Panel Summary       
 Description:_x000D_
This proposal aims to establish a theory for comparing prediction accuracy of machine learning heuristics and improving the run time of SAT-solving heuristics. For machine learning heuristics, it considers both sampling-based heuristics and deep learning networks._x000D_
_x000D_
The research agenda may lead to interesting results that will advance our understanding of heuristics and providing a theoretical underpinning for them. _x000D_
 _x000D_
Intellectual Merit:_x000D_
Strengths_x000D_
_x000D_
+ The PI is investigating fundamental heuristics in the machine learning area (Random Forests and Deep Neural Networks) and SAT._x000D_
_x000D_
+ The research agenda may lead to interesting results that will advance our understanding of heuristics and provide a theoretical underpinning for them. _x000D_
_x000D_
Weaknesses_x000D_
  -  The PI explains how to use this approach to compare sampling-based heuristics, where the heuristics are of similar structure. It is not clear how to establish a comparative framework for comparing heuristics that have different structures._x000D_
_x000D_
- There is a limited evaluation component on real data._x000D_
_x000D_
- The PI claims limited results on analysis of ensemble methods. There are other results besides those claimed by the PI. For example, many results are in Mikhail Traskin, PhD Thesis UC Berkeley._x000D_
_x000D_
Broader Impact:_x000D_
Strengths_x000D_
  + The broader impacts of the proposed research could be significant, if the PI is able to provide a solid framework to compare heuristics._x000D_
  + The educational and outreach activities include student training through curriculum development._x000D_
  + Training students for the SAT-solving competition._x000D_
_x000D_
Data Management Plan:_x000D_
Adequate_x000D_
_x000D_
Solicitation-specific criteria:_x000D_
The integration of education and research is reasonable._x000D_
_x000D_
Suggestions to PI:_x000D_
The proposal has two distinct components --- one on machine learning heuristics and the other on SAT solvers._x000D_
There is very little common between these two components._x000D_
Even in machine learning the work on random bagging and forests seems disconnected with deep neural networks. Explaining connections between them will help._x000D_
_x000D_
The proposal needs to discuss new insights that will help the PI in solving the proposed problems._x000D_
_x000D_
Justification for Panel Rating:_x000D_
The current proposal poses good questions, but does not provide concrete ways to approach them._x000D_
_x000D_
Panel Rating:_x000D_
_ Highly Competitive_x000D_
_ Competitive_x000D_
X Low Competitive_x000D_
- Not Competitive_x000D_
_x000D_
The summary was read to the panel and the panel concurred that the summary accurately reflects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</si>
  <si>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New directions in the foundations of heuristics in machine learning and constraint satisfaction_x000D_
_x000D_
L: 1751048 Papakonstantinou, Periklis Rutgers U Newark $  667,571_x000D_
_x000D_
_x000D_
P180209 LC AF CAREER/CRII Panel B (12 panelists),_x000B_  on 11/21/2017, recommended as Low Competitive (V/G,G,G/F,F)_x000D_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</si>
  <si>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concerns several important topics in machine learning and AI: (1) sub-sampling and re-sampling (e.g., Bagging and Random Forests); (2) deep learning; (3) SAT solvers.  Many of these questions are timely, interesting, and well-known (e.g., why does deep learning work or under which conditions can more complex DNNs be learned more accurately than simpler ones?). However, the proposal does not present concrete approaches or ideas for attaching them. _x000D_
_x000D_
The writing is somewhat bombastic and inaccurate at times. There are more theoretical results on ensemble methods than the PI states. See e.g., "On the consistency of ensemble classification algorithms",  Mikhail Traskin, PhD Thesis UC Berkeley_x000D_
_x000D_
_x000D_
In the context of the five review elements, please _x000D_
evaluate the strengths and weaknesses of the proposal with respect to broader impacts._x000D_
_x000D_
The educational and outreach activities include  student training through curriculum development with an emphasis on "injecting computational thinking" into undergraduate and graduate_x000D_
courses, developing lecture notes, and training students for the SAT-solving competition._x000D_
_x000D_
Please evaluate the strengths and _x000D_
weaknesses of the proposal with respect to any additional solicitation-specific review criteria, if _x000D_
applicable_x000D_
_x000D_
_x000D_
_x000D_
Summary Statement_x000D_
_x000D_
This proposal concerns several important topics in machine learning and AI: (1) sub-sampling and re-sampling (e.g., Bagging and Random Forests); (2) deep learning; (3) SAT solvers.  All of these topics are highly important and providing guarantees for existing algorithms or explanations for phenomena observed in practice would be highly beneficial. The current proposal poses good questions (some of them well-known) in these directions, but does not provide concrete ways to approach them._x000D_
_x000D_
</t>
  </si>
  <si>
    <t xml:space="preserve">In the context of the five review elements, please _x000D_
evaluate the strengths and weaknesses of the proposal with respect to intellectual merit._x000D_
_x000D_
This proposal aims to establish a theory for comparing prediction accuracy of machine learning heuristics and improving the run time of SAT-solving heuristics. For machine learning heuristics, it considers both sampling-based heuristics and deep learning networks. I like the research agenda and believe that the effort will lead to interesting results that will advance our understanding of heuristics and providing a theoretical underpinning for them. _x000D_
_x000D_
The PI intends to use a comparative framework for comparing heuristics and develop better ones. The idea is intuitive: if we can find an 'ideal algorithm' for the problem, we can use it as a benchmark and compare heuristics with this ideal algorithm. The PI explains how to use this approach to compare sampling-based heuristics, where the heuristics are of similar structure. I hope the PI will spend more time discussing how to establish a comparative framework for comparing heuristics that have different structures. That seems to be important._x000D_
_x000D_
In the context of the five review elements, please _x000D_
evaluate the strengths and weaknesses of the proposal with respect to broader impacts._x000D_
_x000D_
+ Provide guidance to practical uses of heuristics_x000D_
+ Outreach to local community_x000D_
_x000D_
_x000D_
Please evaluate the strengths and _x000D_
weaknesses of the proposal with respect to any additional solicitation-specific review criteria, if _x000D_
applicable_x000D_
_x000D_
Good integration of research and education: curriculum development, student advising/mentoring, and pedagogical innovation._x000D_
_x000D_
Summary Statement_x000D_
_x000D_
Nice research agenda. I'd hope to see more information on how to deal with the more challenging scenarios. _x000D_
_x000D_
_x000D_
</t>
  </si>
  <si>
    <t xml:space="preserve">In the context of the five review elements, please _x000D_
evaluate the strengths and weaknesses of the proposal with respect to intellectual merit._x000D_
_x000D_
The objective of the proposal is to conceptualize the notion of comparing heuristics; to obtain provably better heuristics; and to study the limits of heuristics. This is a commendable and potentially very useful quest in the era of big data._x000D_
_x000D_
Unfortunately, the proposal is very poorly written. The research plan seems to have two disconnected components: the first component focuses on subsampling, resampling, and its connections to training Deep Neural Networks. The PI poses four research questions that focus on subsampling and three more research questions regarding deep learning. The interplay between those seven research tasks was not properly articulated in the proposal, leading to a non-cohesive research plan. The second component of the proposal focuses on SAT-solving heuristics: again, five more research questions are posed, but the connection and interplay with the first seven questions is not discussed. Beyond the fact that all research questions have something to do with analyzing heuristics, I could not figure out any other connections between the various components of the proposal._x000D_
_x000D_
The PI is quite experienced, and actually appears to be currently tenured (according to the department head's letter). So, one would expect a better written proposal by a relatively senior PI._x000D_
_x000D_
In the context of the five review elements, please _x000D_
evaluate the strengths and weaknesses of the proposal with respect to broader impacts._x000D_
_x000D_
The broader impacts of the proposed research could be significant, if the PI is able to provide a solid framework to compare heuristics. There is a limited evaluation component on real data and the broader impact in terms of educational activities is very limited._x000D_
_x000D_
Please evaluate the strengths and _x000D_
weaknesses of the proposal with respect to any additional solicitation-specific review criteria, if _x000D_
applicable_x000D_
_x000D_
See discussion above._x000D_
_x000D_
Summary Statement_x000D_
_x000D_
A poorly written proposal on an important and potentially influential topic. Both the intellectual merit and the broader impact part of the proposal could be significantly improved._x000D_
_x000D_
</t>
  </si>
  <si>
    <t xml:space="preserve">In the context of the five review elements, please _x000D_
evaluate the strengths and weaknesses of the proposal with respect to intellectual merit._x000D_
_x000D_
Strengths: _x000D_
_x000D_
The PI is investigating fundamental problems in the area of heuristics in machine learning. He has picked the heuristics that are immensely popular in the machine learning area (Random Forests and Deep Neural Networks)._x000D_
_x000D_
For SAT problems, the PI proposes to look at SLS algorithms as well as CDCL solvers._x000D_
In the SAT area, the PI has participated in the annual competition and his team was ranked 4th in 2016._x000D_
_x000D_
Any contribution to either of the areas will have a direct impact on the practice._x000D_
_x000D_
The PI has made significant contributions in the area with publications in prestigious conferences. There are adequate resources available to PI._x000D_
_x000D_
The proposal is well-written with clear formulation of the research problems._x000D_
_x000D_
Weaknesses: _x000D_
_x000D_
While the work on machine learning and SAT have the common thread of using heuristics, the areas and the style is quite different._x000D_
_x000D_
In the SAT area, it is likely that PI will discover interesting properties of heuristics for_x000D_
SLS algorithms and CDCL solvers. However, it is not clear if the project will result in fundamentally new methods for SAT problems._x000D_
_x000D_
_x000D_
_x000D_
In the context of the five review elements, please _x000D_
evaluate the strengths and weaknesses of the proposal with respect to broader impacts._x000D_
_x000D_
Strengths:_x000D_
Any new ''dominant'' heuristic in machine learning or SAT will have large impact._x000D_
_x000D_
Rutgers-Newark is a diverse campus and the project may benefit underrepresented groups. The project involves undergraduates and will contribute to various educational activities._x000D_
_x000D_
Please evaluate the strengths and _x000D_
weaknesses of the proposal with respect to any additional solicitation-specific review criteria, if _x000D_
applicable_x000D_
_x000D_
_x000D_
_x000D_
Summary Statement_x000D_
_x000D_
The proposal is at the interface of theory and practice. It has potential to make important practical contributions to the art and science of heuristics._x000D_
_x000D_
</t>
  </si>
  <si>
    <t>In recent years, data analysis and optimization algorithms have been deployed at an unprecedented rate due to their incredible usefulness. Such algorithms are instrumental in drug discovery and personalized treatments, chip design, self-driving vehicles, and stock trading, among a variety of other applications. These remarkable algorithms are heuristic, which means that they lack provable guarantees in accuracy or efficiency. The gap between theory and practice in heuristics is alarming. The proposed research aims to close this gap, develop a theory for heuristics that uses no (or very few) input assumptions, design better heuristics, and study their limitations. The research plan aims to cover the study of accuracy and efficiency by studying (1) the accuracy of machine learning heuristics and (2) efficiency of constraint satisfaction heuristics._x000D_
_x000D_
The theoretical problems the proposed research seeks to address stem from the following question: "What theory can we develop using the knowledge that current heuristics perform well in practice?''.Previous theoretical research in heuristics relied on modeling and input assumptions. Instead of absolute guarantees, the proposed research puts forth the \emph{comparative analysis of heuristics} that formalizes the following idea. "Whenever (old) heuristic B works then (new) heuristic A works better'', which leaves the possibility that occasionally both A and B perform poorly. The stepping stone towards this research direction is the preliminary work by the PI (AAAI'14, AAAI'16). In that work ``new heuristics A'' were designed by ``transferring technology'' from the areas of pseudorandomness and time-space trade-offs, including previous theoretical works by the PI; e.g.,~Nisan-Wigderson designs in machine learning._x000D_
_x000D_
The overarching goal of this research is to improve (1) the prediction accuracy of supervised machine learning heuristics and (2) the runtime of SAT-solving heuristics. The following questions form the thrusts of the proposed research. Is there a general principle for designing sub-sampling heuristics and how can we exploit additional underlying structure (such as metric structure) in sub-sampling? How do the different deep neural network (DNN) architectures compare to each other? More generally, why does deep learning work, e.g.,~under which conditions can more complex DNNs be learned more accurately than simpler ones? Which heuristic rules in stochastic local search solvers have the greatest impact on the running time? How should we choose the right conflict-driven clause learning policies in state-of-the-art SAT-solvers?The proposed research has the potential to bridge the gap between theory and practice and profoundly change the way heuristics are devised in machine learning and constraint satisfaction. Towards realizing this goal, and to ensure the broader impact of this work, this career development plan encompasses various educational and outreach activities. These include student training through curriculum development with an emphasis on "injecting computational thinking" into undergraduate and graduate courses, developing more sets of lecture notes, training students for the SAT-solving competition (PI's team ranked 4th in 2016), and constantly contributing to the very successful efforts in realizing the main mission of Rutgers-Newark for "diversity, inclusion, and opportunity".</t>
  </si>
  <si>
    <t>1751076</t>
  </si>
  <si>
    <t>Gkatzelis</t>
  </si>
  <si>
    <t xml:space="preserve"> Panel Summary       
 _x000D_
Description: _x000D_
_x000D_
This proposal seeks to develop a theme of research around mechanisms without money and to create a "coherent theory or systematic approach"   It focuses on computational complexity of fair division (of indivisible goods), fair division of fully allocating divisible goods, truthful matching markets, and mechanisms for allocating computational resources. One theme that runs through the proposal is looking at NSW (the product of the utilities) rather than SW the sum. This provides a natural "fairness" guarantee, which is quite nice in several of the settings._x000D_
_x000D_
Intellectual Merit: _x000D_
  + Many tangilble research directions proposed._x000D_
  + Most research directions come with viable approaches._x000D_
  +  PI has a strong track-record in this area. _x000D_
_x000D_
Weaknesses:_x000D_
   - Problems could be more tied together, lacks a cohesive focus.   _x000D_
  - a couple directions are very difficult and do not seem to have sufficient coherent plans to make advances._x000D_
  - It will be nice if the PI can better position the proposed research in the context of existing efforts and justify why the set of the proposed problems in the proposal is the best/right questions to ask for the domain of mechanism design without money. For example, Ariel Procaccia's group at CMU has done a plethora of work on fair division and has the Spliddit site that providing probably fair solutions for a variety of real-world problems. _x000D_
_x000D_
Broader Impact: _x000D_
_x000D_
Strengths_x000D_
  + coop-matching idea_x000D_
  +  reachout through SPLASH_x000D_
  +  research will be integrated into the PIs cirriculum development efforts_x000D_
  +  he proposes a new seminar series for Drexel PhDs_x000D_
Weaknesses_x000D_
  - Proposal does not make it clear how immediately these results will apply to practical settings._x000D_
_x000D_
Solicitation-specific criteria: _x000D_
_x000D_
The PI has a history of reaching out to K-12 student's through SPASH!   The research will be integrated into the PIs cirriculum development efforts, and he proposes a new seminar series for Drexel PhDs. _x000D_
_x000D_
Data Management Plan:  Your data management plan should talk about how you are going to interface with any data from the COOP program, or should should explicitly state that you will not use such data._x000D_
_x000D_
Suggestions to PI: The proposal would be stronger if it were tied together a little more.  Additionally, some of the directions that are less fleshed out could be removed or improved.    _x000D_
_x000D_
Justification for Panel Rating:  This was a well reasoned proposal by a PI with experience in the area.  The broader impacts and integration with edutation components were excellent.  The proposal could be improved by making it more cohesive and culling or improving relatively weaker areas.  The competition was fierce, and you were competing with other reserachers with even stronger track records.   The proposal should be improved along the suggested guidelines and resubmitted.   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</si>
  <si>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Optimal Mechanism Design without Monetary Transfers_x000D_
_x000D_
L: 1751076 Gkatzelis, Vasilis Drexel University $  559,983_x000D_
_x000D_
_x000D_
P180209 LC AF CAREER/CRII Panel B (12 panelists),_x000B_  on 11/21/2017, recommended as Low Competitive (V,V,V,G)_x000D_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</si>
  <si>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looks at mechanism design without payments or money changing hands; such mechanisms are very important in settings where one is unable, or it is not allowed, to have monetary exchanges. While this is a very large area with a lot of history, this proposal focuses on two high-level types of questions:_x000D_
_x000D_
1. Designing truthful mechanisms by using "money-burning". In resource allocation, this would correspond to not allocating all the resources (and thus wasting them), or penalizing the agents (for example by causing them extra delay in scheduling mechanisms). While this is clearly wasteful, such techniques can be used to guarantee truthfulness from the agents, and thus improve the performance of the mechanism overall._x000D_
_x000D_
2. Designing approximation algorithms for allocation of items to buyers with various objectives. There is no "game theory" for this direction: it is simply a well-defined optimization problem; the PI plans to focus on difficult-to-approximate objectives like solving the Santa Clause problem._x000D_
_x000D_
Strengths:_x000D_
_x000D_
+ The PI has preliminary work for most of the questions asked, and some possible approaches. The PI is very well-qualified to answer these questions._x000D_
_x000D_
+ There is a nice mix of longer-term and short-term problems to be tackled._x000D_
_x000D_
+ The questions being asked are important, and have a variety of applications such as matching, resource sharing, scheduling of computing jobs, etc. They are definitely interesting and deserve study._x000D_
_x000D_
+ The PI plans to specifically tackle concrete applications in addition to theory, through looking at the Drexel co-op matching mechanism._x000D_
_x000D_
_x000D_
Weaknesses:_x000D_
_x000D_
- There is no "big research direction", instead there are many medium-term directions. I would expect something a bit more long-term and ambitious from a CAREER proposal. That said, I would consider developing techniques for the questions being asked here to be a big and important research direction._x000D_
_x000D_
- Sometimes the proposed approaches reduce to "we'll try the same thing that worked in our published work, but for a slightly different setting"._x000D_
_x000D_
- The questions being asked are not extremely novel. That said, some of the techniques that the PI plans to use are promising, so this should be considered the novel part._x000D_
_x000D_
_x000D_
In the context of the five review elements, please _x000D_
evaluate the strengths and weaknesses of the proposal with respect to broader impacts._x000D_
_x000D_
Strengths:_x000D_
_x000D_
+ The PI plans to work on the Drexel co-op matching mechanism, which could yield applied tools for cardinal matching in addition to improving the Drexel co-op program itself._x000D_
_x000D_
+ The PI plans to design tutorials, courses with projects in them_x000D_
_x000D_
+ The PI plans to outreach to K-12 students, as he has done previously while at NYU._x000D_
_x000D_
_x000D_
Please evaluate the strengths and _x000D_
weaknesses of the proposal with respect to any additional solicitation-specific review criteria, if _x000D_
applicable_x000D_
_x000D_
_x000D_
_x000D_
Summary Statement_x000D_
_x000D_
This is a solid proposal by a well-qualified PI, in an interesting and important area where the PI is likely to make an impact._x000D_
_x000D_
_x000D_
</t>
  </si>
  <si>
    <t xml:space="preserve">In the context of the five review elements, please _x000D_
evaluate the strengths and weaknesses of the proposal with respect to intellectual merit._x000D_
_x000D_
This is a fine proposal on mechanism design without money. It focuses on computational complexity of fair division (of indivisible goods), fair division of fully allocating divisible goods, truthful matching markets, and mechanisms for allocating computational resources. The first three topics all have extensive literatures. The proposed research pushes the frontier by considering computational questions of existing mechanisms and richer and more realistic models. While I believe that interesting results will come out from this research, the problems considered felt a little spread-out and it's not well supported that these are the set of most fundamental questions for these topics. The last topic doesn't have a lot of prior work and potentially has important practical impacts. I hope that the PI will focus more on the last topic.  _x000D_
_x000D_
The PI has a track record in the areas of the proposed research and is well qualified to carry out this research. _x000D_
_x000D_
_x000D_
In the context of the five review elements, please _x000D_
evaluate the strengths and weaknesses of the proposal with respect to broader impacts._x000D_
_x000D_
+Better and more practical mechanisms for many real-world applications_x000D_
+ Great outreach and applications of research results (see below)_x000D_
_x000D_
Please evaluate the strengths and _x000D_
weaknesses of the proposal with respect to any additional solicitation-specific review criteria, if _x000D_
applicable_x000D_
_x000D_
Great integration of research and education: curriculum development, student advising, outreach to K-12 students, and improvement on Drexel co-op matching. _x000D_
_x000D_
_x000D_
Summary Statement_x000D_
_x000D_
A fine proposal but with a slightly spread-out focus._x000D_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</si>
  <si>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is a strong and interesting proposal which will investigate a number of questions around mechanism design and resource allocation in large distributed systems.  There are a large number of topics covered and the PI has identified a good number of interesting questions that are non-overlapping and could inform each other. I would have liked to see a bit more focused list of topics, diving a bit deeper into each one.  As it stands the proposal spans a large number of questions (which isn't bad) but focusing down a bit more would be good._x000D_
_x000D_
2. To what extent do the proposed activities suggest and explore creative, original, or potentially transformative concepts?_x000D_
_x000D_
The ideas are creative, though in some cases they are incremental or amount to important yet obvious directions I like it overall.  There is a good mix of questions which are more ambitious and ones where progress extending the PIs previous work can almost for sure be made._x000D_
_x000D_
3. Is the plan for carrying out the proposed activities well-reasoned, well-organized, and based on a sound rationale? Does the plan incorporate a mechanism to assess success?_x000D_
_x000D_
The plan is well reasoned in so far as that there are a number of questions that are identified and these are not all overlapping.  Hence, the research questions are organized in such a way as to not block each other._x000D_
_x000D_
4. How well qualified is the individual, team, or institution to conduct the proposed activities?_x000D_
_x000D_
The PI is well qualified and has a long track record of specific contribution to the areas of resource allocation and mechanism design._x000D_
_x000D_
5. Are there adequate resources available to the PI (either at the home institution or through collaborations) to carry out the proposed activities?_x000D_
_x000D_
There are adequate resources at the institution.  The PI also has a good track record of working with outside groups that can help to support the main research threads._x000D_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overall research is interesting and has a strong opportunity to convert into broad impacts both at Drexel and the wider research and teaching communities.  The PI has identified good opportunities at home institution to translate research to impact and taken initiative to get these underway.  The proposed teaching is good but maybe there are also opportunities to teach cross disciplinary / cross listed classes?_x000D_
_x000D_
2. To what extent do the proposed activities suggest and explore creative, original, or potentially transformative concepts?_x000D_
_x000D_
The application areas identified by the PI are interesting and creative.  He has identified interesting opportunities at his home institution to apply his research and the ideas are potentially transformative for students at Drexel._x000D_
_x000D_
3. Is the plan for carrying out the proposed activities well-reasoned, well-organized, and based on a sound rationale? Does the plan incorporate a mechanism to assess success?_x000D_
_x000D_
The PI has laid an impressive amount of groundwork in terms of outreach at Drexel and other avenues.  There are specific outcomes that are identified along several measures of success for the PI to evaluate his plan._x000D_
_x000D_
4. How well qualified is the individual, team, or institution to conduct the proposed activities?_x000D_
_x000D_
The individual is well qualified to undertake the specified broader impacts work.  He has a track record of delivering research results, hosting outreach events at NYU, and teaching (including remote teaching) which will help him._x000D_
_x000D_
5. Are there adequate resources available to the PI (either at the home institution or through collaborations) to carry out the proposed activities?_x000D_
_x000D_
Working to improve the Co-Op program, and having a letter of cooperation already in place, shows that there is strong opportunity to convert the research to practice at the home institution. I am a bit worried about the amount of commitment for the proposed Splash! program.  One summer month in addition to the quite ambitious research proposal seems a bit light.  _x000D_
_x000D_
_x000D_
Please evaluate the strengths and _x000D_
weaknesses of the proposal with respect to any additional solicitation-specific review criteria, if _x000D_
applicable_x000D_
_x000D_
_x000D_
_x000D_
Summary Statement_x000D_
_x000D_
A strong proposal which looks at interesting aspects of mechanism design and resource allocation.  The PI has a strong track record of research success and has identified unique ways to translate this research to impact at his home institution and beyond._x000D_
_x000D_
_x000D_
</t>
  </si>
  <si>
    <t xml:space="preserve">In the context of the five review elements, please _x000D_
evaluate the strengths and weaknesses of the proposal with respect to intellectual merit._x000D_
_x000D_
This proposal seeks to develop a theme of research around mechanisms without money and to create a "coherent theory or systematic approach".  The key insight that this is built upon is a new ability (from the PI in 2012) to create money burning mechanisms that can replicate VCG payments in the case that the agents utility functions are homogenous (utility scales with provisions) but maximizes NSW instead of SW.  The author makes a compelling case, that this is likely worthy undertaking.  First, it seems like a pretty fundamental question in mechanism design; second, it may have broader applications.  _x000D_
_x000D_
This proposal seeks to take this in several new directions: 1) it studies some computational problems in the space; looks to extend the result to where the goods cannot be burned; looks at matching markets; and computational environments.  One theme that runs through the proposal is looking at NSW (the product of the utilities) rather than SW the sum.  This provides a natural "fairness" guarantee, which is quite nice in several of the settings._x000D_
_x000D_
The plan seems reasonable, but I think some of the directions are much more compelling than others._x000D_
_x000D_
Question 3.2ùsubmodular + NSW; 3.4: truthful matching NSW better than trivial; 3.7 applications to scheduling; PoA in distributed systems especially 3.9. all seem like very nice questions.  Some of the others, I found less compelling.  _x000D_
_x000D_
There is still enough meat in the propose content to carry forward a solid 5 years  of research.  _x000D_
_x000D_
The team is qualified with adequate resourses.  _x000D_
_x000D_
_x000D_
Extra notes:_x000D_
_x000D_
The proposal seems very related to Braess's Paradox.  In this case burning resources helps in equilibrium.  Perhaps this is a useful observation._x000D_
_x000D_
Some faults: _x000D_
_x000D_
_x000D_
It is not clear how well the approaches laid out with match with security concerns.  For example, what would requesting a bunch of services effectively produce a DoS attack by both taking up and burning resources?  With sharing caches, is security an issue?  _x000D_
_x000D_
Some of the directions proposed seem either incremental or well-trodden with no especially new or likely to work ideas : 3.1 the proof idea does not seem compelling; cake-cutting direction is pretty vagueùthe author correctly (in my opinion) identifies that the current approaches are not compelling, but then there remains little clear directly left, Question 3.3 seems unlikely to work out in light of GibbardûSatterthwaite impossibility, _x000D_
_x000D_
Question 3.5 seems like it may be more different than anticipated.  The stable matching algorithms give first pick to the "good' students (or at least desired ones).  In this sense they seem either more "fair" or "less fair" depending on the definition of fair.  It is not clear that the proposal understands this trade-off._x000D_
_x000D_
I would be interesting to use your data to look at the recent work of Yash Kanonoi which asks if the male optimal/pessimal stable matchings are really different in practice.  _x000D_
_x000D_
My impression is that in real-life systems fairness is an "on-line" problem.  Agents have different desires or resources at different times and these can be traded off.  For example, maybe you need a lot of memory now, but I need it in an hour.  This would be an additional directly to investigate.  _x000D_
_x000D_
_x000D_
In the context of the five review elements, please _x000D_
evaluate the strengths and weaknesses of the proposal with respect to broader impacts._x000D_
_x000D_
The research, if successful, will help to employ mechanism design in a wider range of fields were money is not present._x000D_
_x000D_
Please evaluate the strengths and _x000D_
weaknesses of the proposal with respect to any additional solicitation-specific review criteria, if _x000D_
applicable_x000D_
_x000D_
I like the coop-matching idea. (Just a warning that you should look into whether you need IRB approval to work with this data.)  _x000D_
The research will be integrated into the Pis cirriculum development efforts and his proposes a new seminar series for Drexel PhDs.  _x000D_
Additionally the PI has a history of reaching out to student's through SPASH! And proposes to do so at his new institution.  _x000D_
I do not think that the proposal made as compelling case for the application of some of these results as it could have.  For example, the memory sharing research direction: does this really have application?  Are programs using the same core ever sharing the same data, but not the same incentives?  It would be great to provide some evidence that this actually happens.  I do not have the expertise to know.  _x000D_
_x000D_
_x000D_
Summary Statement_x000D_
_x000D_
The overarching research direction is compelling.  It has some strong components, but others seems like novel or likely to succeed.   I wish the applications were either better argued (or it was conceded that they are still in the future).   The educational component is adequate but not overzealous.  The PI has a history reaching out, and the modest proposals will likely be carried out with some success and impact.   _x000D_
Notes: I found the proposal a little rambling at the beginning.  Could be more to the point.  But it later caught its stride.  _x000D_
_x000D_
_x000D_
</t>
  </si>
  <si>
    <t>As the world becomes increasingly interconnected, this enables resource sharing at unprecedented levels. Every day, human and software agents compete for an extremely diverse set of resources, ranging from the computational resources (CPU, memory, or bandwidth) of a computer network that its users share, to the airport runways and the airspace that airline companies share. Were it not for appropriate mechanisms that define the rules and protocols governing these resource allocation processes, massive amounts of social utility would be wasted; hence, it is imperative that these mechanisms are designed to the highest standard. Some of the optimization problems involved in designing such resource allocation mechanisms can be highly demanding from a computational standpoint. In reality, the design process can be even more challenging, as the agents competing for these resources are strategic and have their own interests at heart. _x000D_
_x000D_
This proposal approaches such resource allocation problems from the perspective of the designer who chooses the rules of a resource allocation mechanism, aiming to achieve fair and efficient outcomes, despite the strategic behavior of the participating agents. The long literature on game theory and mechanism design has produced several important tools that can be used to inform the design process, but most of these tools depend heavily on the use of monetary payments. The special focus of this proposal is on settings where monetary payments are either undesirable, impractical, or infeasible. Despite the prevalence of this constraint within computing environments, and beyond, there is no coherent theory for guiding the designer's choices._x000D_
_x000D_
The proposed research aims to bridge the gap between the classic literature on mechanism design and the problems that arise in the absence of monetary transfers by uncovering structural properties of the latter that can be used to apply techniques from the former. The problems will be approached through the lens of approximation: if maximizing the desired fairness or efficiency objective is impossible due to either incentive or computational constraints, the proposed solutions will be evaluated using worst-case approximation guarantees.This project will lay the foundations toward a unifying theory for the design and analysis of mechanisms that cannot use monetary payments. Also, by drawing structural connections to the classic literature on mechanism design, the research will enable the translation of celebrated results and techniques from this literature to the less understood context of money-free mechanisms. Apart from evaluating mechanisms in existing models using established benchmarks, the proposed research will contribute novel benchmarks, as well as new models for well-motivated money-free domains.This project will have a broader impact on the effectiveness of money-free markets in general, and the co-op market at Drexel University in particular. The theoretical foundations provided by the proposed research will enable the design of mechanisms that can afford to elicit more meaningful information from the participating agents without worrying about incentive issues that can lead to market failure. Like the previous work of the PI, this project's results will be published at both top computer science conferences and top journals of the economics and operations research communities. This will further promote the benefits of computer science evaluation measures, such as the worst-case approximation, to other disciplines. The PI also plans to prepare a tutorial on the unifying structure in mechanism design without money, which can be presented at a major conference in order to disseminate these research results and directions. Beyond the broader impacts of the research, the PI is dedicated to the integration of research and teaching, and to outreach initiatives or initiatives that foster collaboration and create a better connected research community at Drexel.</t>
  </si>
  <si>
    <t>1751102</t>
  </si>
  <si>
    <t>Vouga</t>
  </si>
  <si>
    <t>12</t>
  </si>
  <si>
    <t xml:space="preserve"> Panel Summary       
  SUMMARY OF PROPOSED RESEARCH ACTIVITY_x000D_
Description : _x000D_
The PI proposes to develop new techniques in discrete differential geometry motivated by the problem of simulating the mechanical behavior of thin geometric objects such as paper. The proposal is divided into three thrust areas -- representing and simulating thin objects, transforming one surface into another by geometric growth, and extracting a shape from its spectrum. _x000D_
_x000D_
 _x000D_
INTELLECTUAL MERIT_x000D_
Strengths_x000D_
+ Motivated by interesting applications; success outcome will lead to significant advances in the simulation of thin objects _x000D_
+Well written proposal with concrete approaches and both short-term and long-term goals_x000D_
+ Good discussion on related work and how the proposed work relates to them_x000D_
+PI is well qualified to perform the proposed research_x000D_
_x000D_
Weaknesses_x000D_
-	Not really an algorithmic foundation proposal, as there is no discussion in the proposal on theoretical analysis or guarantee_x000D_
-	Proposed mode/analysis for thin objects has limitations. In particular, it models objects that consist of flat rigid panels with straight folds and does not allow smooth bends of surfaces_x000D_
_x000D_
BROADER IMPACTS _x000D_
_x000D_
Strengths_x000D_
+ Development of Geometric Oracle, a software package; an ambitious but well thought out project, including an evaluation plan_x000D_
+ Proposed research will have significant impact on application areas such as material sciences and manufacturing_x000D_
+ Work with undergraduates through an existing program in the department_x000D_
_x000D_
Weaknesses_x000D_
None_x000D_
_x000D_
CAREER SOLICITATION-SPECIFIC REMARKS:_x000D_
_x000D_
Letter of institutional commitment. Included_x000D_
_x000D_
Integration of research and education: The proposal discusses mentoring of students as well as graduate teaching but the discussion on undergraduate teaching focuses around using his software._x000D_
_x000D_
ADDITIONAL REMARKS_x000D_
Research plan: Proposal includes a detailed time line of various components of the project._x000D_
_x000D_
Data Management Plan: There is a detailed plan on how source code will be distributed and shared._x000D_
_x000D_
Results of prior support: No prior support _x000D_
_x000D_
Justification for Panel Rating: Overall the panel liked the proposal but there were some concerns that it was not really an algorithmic foundations proposal._x000D_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</si>
  <si>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efficient algorithms for simulating thin objects such as paper, cloth, and sheet. The emphasis of the proposal is to develop new techniques in discrete differential geometry motivated by this application. The proposal is divided into three thrust areas -- representing and simulating thin objects, transforming one surface into another by geometric growth, and extracting a shape from its spectrum. Interesting problems are proposed in each of them, and each thrust is nicely developed. _x000D_
_x000D_
The PI does a good job of discussing the past work and putting the proposed work in the context of the earlier work.  He also suggests possible approaches to attack the proposed problems._x000D_
_x000D_
The proposed research has the potential of making significant advances in the simulation of thin objects as well as of developing new, interesting techniques in discrete differential geometry. He already has made significant contributions in the area, and he is well qualified to work on the proposed research._x000D_
_x000D_
In the context of the five review elements, please _x000D_
evaluate the strengths and weaknesses of the proposal with respect to broader impacts._x000D_
_x000D_
The main focus of broader impacts is through the geometric software  Oracle that he plans to develop as part of the proposed research. He lays out a detailed plan for software development and its dissemination.  _x000D_
_x000D_
There is some discussion on teaching and mentoring. Surprisingly he only talks about a graduate course in terms of teaching and there is no mention of undergraduate teaching. He will mentor undergraduate students through his department's program._x000D_
_x000D_
_x000D_
Please evaluate the strengths and _x000D_
weaknesses of the proposal with respect to any additional solicitation-specific review criteria, if _x000D_
applicable_x000D_
_x000D_
_x000D_
_x000D_
Summary Statement_x000D_
_x000D_
This is a strong, well thought out, and well written proposal on an interesting topic. Several challenging  problems are discussed in detail, and there is a clear plan how the PI plans to attack them._x000D_
_x000D_
A major component of this project is software development, especially the development of the software package Oracle. If successful, this has the potential of becoming a widely used package._x000D_
_x000D_
Teaching and mentoring plans are reasonable but neither as strong nor as well thought out as the research plan._x000D_
_x000D_
</t>
  </si>
  <si>
    <t xml:space="preserve">In the context of the five review elements, please _x000D_
evaluate the strengths and weaknesses of the proposal with respect to intellectual merit._x000D_
_x000D_
The proposal aims to use the techniques of discrete differential geometry to study the mechanical behavior of thin sheets of material (such as crumpled paper), and to accurately simulate this behavior. There are theoretical aspects of this subject that are relevant to and of interest in discrete and computational geometry, however, for instance, impossibility proofs for certain deformations to be carried out by rigid structures (that are not allowed to curve continuously, but must remain flat except at bend lines)._x000D_
_x000D_
I was initially unable to find the PI's publications until I discovered that they were published under the name Etienne Vouga while the proposal lists the PI's name as Paul Vouga. The PI has some recent publications in computer graphics and at GECCO (a conference on biologically-inspired heuristics) but none in theory or computational geometry conferences. One recent paper and several significantly earlier papers are in SIGGRAPH, the top conference in this area._x000D_
_x000D_
_x000D_
In the context of the five review elements, please _x000D_
evaluate the strengths and weaknesses of the proposal with respect to broader impacts._x000D_
_x000D_
Although the proposal does not mention it, these problems have significant applications in materials science and manufacturing._x000D_
_x000D_
_x000D_
Please evaluate the strengths and _x000D_
weaknesses of the proposal with respect to any additional solicitation-specific review criteria, if _x000D_
applicable_x000D_
_x000D_
_x000D_
_x000D_
Summary Statement_x000D_
_x000D_
I think the research proposed is interesting, but largely out of scope._x000D_
Although some of these problems are of interest to and are studied by researchers within the computational geometry community, they are not of central interest to that community._x000D_
_x000D_
</t>
  </si>
  <si>
    <t xml:space="preserve">In the context of the five review elements, please _x000D_
evaluate the strengths and weaknesses of the proposal with respect to intellectual merit._x000D_
_x000D_
This proposal studies the physical properties of thin 2D objects like paper, cloth, and sheet metal.  The research has clear applications to civil and mechanical engineering, and will advance its own field of computer graphics.  I would have liked to hear more about these connections._x000D_
_x000D_
The main idea in this area is to create a discrete approximation of the continuous object which preserves its properties, e.g., by dividing the surface up into small rigid pieces with bounds on the size of the gaps between the pieces.  _x000D_
_x000D_
The first aim in the proposal is to use these representations to derive properties of thin materials, and find new representations that model for more general surface types and have no spurious modes._x000D_
_x000D_
The next aim of the proposal looks at swelling and shrinking surfaces, and tries to find algorithms that use these responses to transform one surface into another._x000D_
_x000D_
The final aim asks whether we can discover the shape of a material by listening to the sounds it makes when struck.  Figure 4 is an example of this in which in preliminary work the PI uses such a technique to discover a rabbit scupture.  The ears are noticeably under-developed, and one aim of the proposal is to improve accuracy of such details._x000D_
_x000D_
I really know very little about this area, and have trouble determining the originality and tractability of the proposal.  However, I did find it really interesting and readable.  The PI did a good job of convincing me that he has concrete approaches and a well-organized research plan. His prior work, including the many figures included in the proposal, indicate he has the expertise to conduct the proposed research._x000D_
_x000D_
In the context of the five review elements, please _x000D_
evaluate the strengths and weaknesses of the proposal with respect to broader impacts._x000D_
_x000D_
The broader impact plan includes the standard mentoring and curriculum development ideas.  Its strength, however, rides on the merit of a proposed software tool called The Geometry Oracle.  As noted, this is an ambitious project, but the PI has built similar systems in the past and has explicitly incorporated its development into his project timeline._x000D_
_x000D_
Please evaluate the strengths and _x000D_
weaknesses of the proposal with respect to any additional solicitation-specific review criteria, if _x000D_
applicable_x000D_
_x000D_
None._x000D_
_x000D_
Summary Statement_x000D_
_x000D_
From my outsider perspective, this is a strong proposal that should be funded if at all possible._x000D_
_x000D_
</t>
  </si>
  <si>
    <t xml:space="preserve">In the context of the five review elements, please _x000D_
evaluate the strengths and weaknesses of the proposal with respect to intellectual merit._x000D_
_x000D_
strengths: _x000D_
+very good proposal, investigating interesting questions with a lot of physical applications. Interplay between theory and practice._x000D_
+interesting questions that would be relevant to even the non-experts in the field and their resolution would have tremendous impact in graphics and computer simulation of physical objects/processes_x000D_
+well-written, the goals are well-explained and there is a concrete and likely successful plan to execute each of them._x000D_
+ PI well qualified to conduct the research._x000D_
_x000D_
weaknesses:_x000D_
- this is potentially the wrong track for the proposal, I would not classify it under "Algorithmic Foundations"_x000D_
_x000D_
In the context of the five review elements, please _x000D_
evaluate the strengths and weaknesses of the proposal with respect to broader impacts._x000D_
_x000D_
strengths:_x000D_
The PI has a really great educational plan. Most notably, he is planning to build a Geometry Oracle. Such a web-based interactive programming tool will significantly help students and non-experts alike to teach themselves the fundamentals of surface geometry and simulation. I believe that the proposed Oracle will be of tremendous value to the relevant community of researchers. _x000D_
_x000D_
+ The proposed research will have significant implications not only in theory of surface geometry, but also in applications - most notably in civil and mechanical engineering, but also in other branches of engineering._x000D_
_x000D_
weaknesses:_x000D_
I did not find any weaknesses on the broader impacts._x000D_
_x000D_
Please evaluate the strengths and _x000D_
weaknesses of the proposal with respect to any additional solicitation-specific review criteria, if _x000D_
applicable_x000D_
_x000D_
_x000D_
_x000D_
Summary Statement_x000D_
_x000D_
The proposed research will investigate the link between the physics and shape os 2D objects, and design new algorithms for predicting and simulating their behaviors. The research proposed is focused on discrete differential geometry tools and its applications to physical simulations. The main contribution of this research, if successful, is to yield the mathematical insights and computational tools to predict and control complex behaviors of thin objects (e.g. how to simulate crumpling paper) and will have applications to civil, mechanical, and other engineering branches. Integrated with this research is a proposed web-based interactive Geometry Oracle - a platform that will enable students and interested parties to learn about the geometry of surfaces. I found the proposal very good and well written, and the broader and educational impact exceptional. However, I think this is not the right track for it._x000D_
_x000D_
</t>
  </si>
  <si>
    <t>Everyday two-dimensional objects like paper, cloth, and sheet metal exhibit deceptively complex behavior, and the key to predicting and controlling their behavior is understanding their geometry. We corrugate cardboard to strength it; a venus flytrap snaps shut without moving parts by differentially swelling its tissue. Computer simulations of thin objects must *discretize* their geometry, which poses both a challenge---how can the critical mathematical properties of the smooth surface be preserved by the discretization?---and an opportunity---new algorithms, designed from the ground up to respect the relationship between form and function, can offer provable correctness guarantees at low computational cost._x000D_
_x000D_
The proposed research will investigate the link between the physics and shape of 2D objects, and design new algorithms for predicting and designing their behaviors. Specific problems that will be investigated include 1) how to represent and simulate crumpling of paper and other objects, that deform in nearly-isometric (origami-like) ways; 2) growing arbitrary curved surfaces from an initially flat sheet, by taking advantage of metric frustration that occurs during differential growth; and 3) finding the shape of surfaces given its vibrational spectrum, allowing design of surfaces that vibrate and deform in controlled ways or make a prescribed sound when struck. Integrated with this research agenda is a proposed Geometry Oracle, a web-based programming tool modeled on existing popular competitive programming frameworks. The Oracle will help programmers without domain expertise teach themselves the often abstract and difficult fundamentals of surface geometry and simulation by providing immediate interactive visual feedback.This research expands the frontiers of discrete differential geometry and its application to physical simulation, filling gaps in our understanding of (i) how the smooth geometry of surfaces can be discretized using tractable, finite data structures while preserving the essential mathematical properties of the smooth objects; (ii) how the intimate coupling of surface shape and function can be exploited to yield new algorithms for simulating the behavior of thin objects; and (iii) how this coupling can be inverted to efficiently and accurately design surface geometry given desired function._x000D_
_x000D_
Although its primary focus is developing new computational algorithms, the proposed research also touches on long-standing theoretical questions in geometry, such as characterizing flexibility of smooth surfaces and polyhedra, and understanding isospectral surfaces, and has the potential to make inroads on these open problems.The proposed research will yield the mathematical insights and computational tools necessary to predict and control a large set of complex behaviors for thin objects: buckling and crumpling of surfaces are of clear importance to civil and mechanical engineering, but in addition, deployable and collapsible thin structures see increasing use in applications ranging from space engineering to medical stents. Understanding how changes in shape arise from differential swelling will open the door to easy additive manufacturing of intricate 2D objects; soft robots that articulate without the need for motors; more accurate simulations of shape change during burning and wetting; and deeper insights into tissue morphogenesis. Controlling spectrum using shape has applications to the design of instruments and loudspeakers, and to engineering of mechanical parts hardened against vibrations. _x000D_
_x000D_
The Geometry Oracle will help undergraduate students and the general public develop geometric intuition about the interplay of geometry and physics in thin objects, and introduce them to the background necessary to carry out research in this area. Finally the visual and tangible nature of the proposed research makes it ideal for STEM outreach.</t>
  </si>
  <si>
    <t>1751135</t>
  </si>
  <si>
    <t>Nayyeri</t>
  </si>
  <si>
    <t xml:space="preserve"> Panel Summary       
 SUMMARY OF PROPOSED RESEARCH ACTIVITY_x000D_
Description:_x000D_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The second part looks at algorithms for finding minimum distortion embedding from a finite metric space to a simple host metric. The third part looks at sublinear-time algorithms or property testing for these types of geometric problems. _x000D_
_x000D_
Most of the proposed problems in the first two parts are hard and often intractable. So the project focuses on their parameterized computational complexity. _x000D_
_x000D_
INTELLECTUAL MERIT_x000D_
Strengths_x000D_
+ The proposal has identified many interesting open questions to pursue._x000D_
+ The third part on property testing is novel and is a timely topic in the era of big data._x000D_
+ A successful outcome of the proposed research will make_x000D_
significant advances in the area of shape matching._x000D_
_x000D_
Weaknesses_x000D_
- Some of the proposed problems have been studied for a long time and the PI doesn't always make a compelling case what new insights he has to attack these problems._x000D_
- In the abstract, the PI mentions fast heuristics engineered for specific applications. It would have been good to hear more about those heuristics and their potential to inform the design of algorithms with guarantees._x000D_
_x000D_
BROADER IMPACTS_x000D_
Strengths_x000D_
+ The proposal has potential to bridge different theoretical areas._x000D_
+ The problems have relevance to many applied areas of CS from image processing, protein interaction analysis and graphics._x000D_
+ Collaboration with graphics and GIS researchers._x000D_
_x000D_
Weaknesses_x000D_
- The broader impacts concentrate on only computation. The education plan is weak._x000D_
_x000D_
CAREER SOLICITATION-SPECIFIC REMARKS:_x000D_
_x000D_
Letter of institutional commitment._x000D_
The Departmental letter shows strong commitment of the_x000D_
department/school for the professional development of the PI._x000D_
_x000D_
Integration of research and education:_x000D_
- The proposal mentions outreach plan to high school/undergrad/grad students, and course development._x000D_
But the education plan is brief and vague._x000D_
_x000D_
ADDITIONAL REMARKS_x000D_
_x000D_
Data Management Plan: Adequate._x000D_
_x000D_
Results of prior support:_x000D_
The PI has two current NSF grants and has published extensively on topics related to the first two parts of the proposal, with many papers appearing regularly in major conferences. He is well qualified for the proposed research. It is likely at least some of the research goals can be achieved. _x000D_
_x000D_
Comments to PI:_x000D_
_x000D_
Justification for Panel Rating:_x000D_
A coherent proposal on an important set of problems._x000D_
Strong past research record._x000D_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</si>
  <si>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to develop fast algorithms for computing low-cost maps between two metric spaces. Most of the proposed problems are hard and often intractable.  _x000D_
_x000D_
The PI proposes two directions to address these problems: (i) analyze parametrized complexity of these problems to develop a finer understanding of their computational difficulty, and (ii) very fast algorithms, even sublinear algorithms, to solve the problems approximately. _x000D_
_x000D_
In terms of types of problems, there are two main topics: (i) geometric shape matching, e.g. computing Frechet distance between surface, computing Gromov Hausdorff distance, etc. (ii) Low distortion embedding of a metric space into a simpler metric space e.g. a line or a tree. In the context of sublinear algorithms, he also plans to develop fast algorithms for testing topological properties of metric spaces._x000D_
_x000D_
It's well written proposal on an important topic. Many important, hard problems have been identified. The PI has worked on some of these problems and thus has a credibility. It is quite likely that he will make progress on at least some of the problems. Once concern I, however, have is that some of the proposed problems have been studied for a long time and the PI doesn't always make a compelling case what new insights he has to attack these problems. Having said that I want to give him benefit of doubt._x000D_
_x000D_
A successful outcome of the proposed research will make significant advances in the area of shape matching. _x000D_
_x000D_
_x000D_
In the context of the five review elements, please _x000D_
evaluate the strengths and weaknesses of the proposal with respect to broader impacts._x000D_
_x000D_
The proposal contains a  strong vertically integrated plan, ranging from high school students to graduate students. He is plugged in with some successful existing training programs._x000D_
The education plan is very brief and vague "plans to design more advanced algorithm courses targeting the same level of students."_x000D_
No outreach plan is described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project is strong and well thought out. Several interesting problems are proposed and some of them build on his recent work. It would have been useful to have a more detailed discussion on some of the more challenging problems -- how he plans to attack them and what insights he has. _x000D_
_x000D_
The broader impact section is not so well thought out. Education plan is weak and the outreach plan is missing._x000D_
_x000D_
</t>
  </si>
  <si>
    <t xml:space="preserve">In the context of the five review elements, please _x000D_
evaluate the strengths and weaknesses of the proposal with respect to intellectual merit._x000D_
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or computing the Frechet distance for two surfaces. The second part looks at algorithms for finding minimum distortion embedding from a finite metric space to a simple host metric (e.g., lower-dimensional Euclidean space, trees, or bounded treewidth graphs). The third part looks at sublinear-time algorithms or property testing for these types of geometric problems._x000D_
_x000D_
The PI has published extensively on topics related to the first two parts before, with many papers appearing regularly in major conferences like SoCG and SODA. The proposal has identified lots of interesting open questions to pursue for the next few years. The third part on property testing is quite new, and is a timely topic in the era of big data (some preliminary result of the PI and his student was mentioned, as well as many specific open questions)._x000D_
_x000D_
_x000D_
In the context of the five review elements, please _x000D_
evaluate the strengths and weaknesses of the proposal with respect to broader impacts._x000D_
_x000D_
The proposal has potential to bridge different theoretical areas (geometry, topology, graphs, algorithms). The problems have relevance to many applied areas of CS from image processing, protein interaction analysis, to graphics. The broader impacts section mentions collaboration with graphics researchers, outreach to high school/undergrad/grad students, and course development._x000D_
_x000D_
_x000D_
Please evaluate the strengths and _x000D_
weaknesses of the proposal with respect to any additional solicitation-specific review criteria, if _x000D_
applicable_x000D_
_x000D_
_x000D_
_x000D_
Summary Statement_x000D_
_x000D_
A coherent proposal on an important set of problems. Strong past research record._x000D_
_x000D_
_x000D_
</t>
  </si>
  <si>
    <t xml:space="preserve">In the context of the five review elements, please _x000D_
evaluate the strengths and weaknesses of the proposal with respect to intellectual merit._x000D_
_x000D_
The project studies several groups of related problems._x000D_
(a) Parameterized algorithms for geometric shape matching._x000D_
It investigates the mapping between two metric spaces_x000D_
and matching of two surfaces with small distortion._x000D_
(b) Embed a metric space X into another simpler structured space Y with_x000D_
low distortion._x000D_
These problems are well studied and are known hard problems._x000D_
The project focuses on their parameterized computational complexity._x000D_
_x000D_
(c) Super fast algorithms and data structures. This is a novel set problems_x000D_
motivated by real world problems: We are searching a complex object X_x000D_
in a large data base D. Most items in D are very different from X._x000D_
The idea is to set up data structures so that one can quickly_x000D_
(sub-linear time) kick out those dissimilar item so that one_x000D_
can concentrate on items similar to X._x000D_
_x000D_
This research thrust is interesting and well-motivated, and may have_x000D_
applications in real world problems._x000D_
_x000D_
In the context of the five review elements, please _x000D_
evaluate the strengths and weaknesses of the proposal with respect to broader impacts._x000D_
_x000D_
The proposed research has applications in areas such as image processing,_x000D_
protein interaction analysis and data analysis, The results will benefit_x000D_
these areas._x000D_
_x000D_
The PI plans to be involved in existing outreach programs for local_x000D_
high school students. He has developed courses covering topics in_x000D_
this area and plans to develop new courses that include the_x000D_
problems in this proposal. He has two graduate students actively_x000D_
working in this area._x000D_
_x000D_
Please evaluate the strengths and _x000D_
weaknesses of the proposal with respect to any additional solicitation-specific review criteria, if _x000D_
applicable_x000D_
_x000D_
_x000D_
_x000D_
Summary Statement_x000D_
_x000D_
The proposal includes a nice combination of theoretical and more_x000D_
practical problems. The third thrust is novel and interesting._x000D_
_x000D_
The PI has two current/previous NSF grants, and has done some work_x000D_
in this area. He is well qualified for the proposed research._x000D_
It is likely at least some of the research goals can be achieved._x000D_
_x000D_
The Departmental letter shows strong commitment of the_x000D_
department/school for the professional development of the PI._x000D_
_x000D_
</t>
  </si>
  <si>
    <t xml:space="preserve">In the context of the five review elements, please _x000D_
evaluate the strengths and weaknesses of the proposal with respect to intellectual merit._x000D_
_x000D_
The PI proposes investigating algorithms for three types of problems._x000D_
_x000D_
1. "Geometric Shape Matching".  I find it easier to think of this as discovering low-distortion embeddings of one object into another.  The PI correctly points out that instances of this problem arise in many disciplines, and it is something that could potentially be useful.  However, it is known to be difficult in many situations.  So, the PI asks if there are reasonable families of instances on which it can be solved.  He proposes parameteritzing these instances by reasonable quantities such as the minimum distortion possible, treewidth and genus of graph metrices, and doubling dimension.   This is a worthy goal, and I think more interesting than most instances of parameterized complexity._x000D_
_x000D_
Within this part of the proposal, I found the questions of computing the Frechet distance of surfaces to be the most interesting.  While it is not clear to me if it has practical value, it seems like a deep question.  The PI has some significant results on this problem, including an exponential time algorithm which he would like to determine if it can be realized in PSPACE.  I also think that the exploration of kappa-bounded surfaces is a good restriction of the problem to reasonable instances._x000D_
_x000D_
2. "Metric Embedding" .  These are standard problems about determining whether or not a given metric can be enbedded into 1, 2, or low dimensional Euclidean space, where the dimension will be specified.  Again, the PI proposes trying to find nice classes of these problems that are solvable well, by restricting attention to cases with low distortion solution or metrics of nice graphs.  He also proposes finding algorithms for discovering tree spanners, embedding into trees, and embeddings into graphs of bounded treewidth._x000D_
_x000D_
3. "Sublinear algorithms".  The PI proposes two sorts of problems here.  The first is the quick determination of whether or not one shape matches with another.  This seems like it could be both interesting and useful.  In contract, I have a hard time imagining a use for the other type of problem: quick testing of topological properties such as betti numbers._x000D_
_x000D_
Overall, the PI has proposed some good problems and has prior work in the area of many of them that leads me to believe that he could solve some of them.  _x000D_
_x000D_
In the abstract, the PI mentions that  fast heuristics engineered for specific applications.  It would have been good to hear more about those heuristics and their potential to inform the design of algorithms with guarantees.  He is also mentoring undergraduate and graduate students and is engaged in curriculum development._x000D_
_x000D_
I am less convinced by many of the possible areas of application of this work, as I think that the PI has bought into the oversimplifications of some of the applications (such as to phylogenetics) that have been promoted by theorists.  However, his proposed collaborations with Graphics researchers sounds reasonable._x000D_
_x000D_
_x000D_
_x000D_
In the context of the five review elements, please _x000D_
evaluate the strengths and weaknesses of the proposal with respect to broader impacts._x000D_
_x000D_
The broader impacts of the proposal are strong.  The PI proposes working with high school students through established programs at his university._x000D_
_x000D_
Please evaluate the strengths and _x000D_
weaknesses of the proposal with respect to any additional solicitation-specific review criteria, if _x000D_
applicable_x000D_
_x000D_
_x000D_
_x000D_
Summary Statement_x000D_
_x000D_
This is a well thought out proposal for research in geometry and topology with good questions about the embedability of objects.  The broader impacts section is strong._x000D_
_x000D_
_x000D_
_x000D_
</t>
  </si>
  <si>
    <t>The general mathematical problem of computing low-cost maps between two metric spaces is prevalent in many applications, including registration in medical image processing, function detection in protein modeling, texture mapping in computer graphics, reconstructing evolutionary trees in phylogenomics, and finding recurrent patterns in data analysis.  The general problem, studied abstractly as geometric shape matching in computational geometry and as metric embedding in computational geometry and topology, is provably hard, so we have a dichotomy. On one hand, we have general algorithms with theoretical worst-case guarantees that are prohibitively slow in practice, and on the other we have faster heuristics engineered for specific applications, but lacking guarantees.  In dichotomy is opportunity -- this project will use parameterized complexity to create a finer understanding of the complexity of computing low-cost maps between metric spaces using different representations and properties.  If successful, the proposed research will result in new algorithms with new performance guarantees, in particular, for cases of practical interest.The proposed research advances our understanding of the parameterized computational complexity of fundamental problems in theoretical computer science such as metric embedding and geometric shape matching.  The proposed research combines insight from fields such as algorithm design, geometry, topology, and graph theory and is likely to benefit similar problems and their practical applications in all these fields. In addition, because the problems discussed in this proposal are general, in one form or another, to many applied areas of computer science, this study provides a unique opportunity to foster collaborative research.Computing low-cost maps is necessary in many applied areas of computer science such as image processing, protein interaction analysis, computer graphics and data analysis.   The proposed research will benefit these areas by providing tools to design algorithms with performance guarantee for computing low-cost maps.  The PI plans to investigate some of these applied areas with his students and colleagues at OSU._x000D_
_x000D_
Integrated with all research efforts is the process of familiarizing students with recent advances in the field.  The PI will educate and train high school, undergraduate and graduate students: (1) He will work with high school students through two well established outreach programs, one is primarily for girls and ethnic minorities.  (2) He will find interested undergraduate students from his classes at OSU and through NSF REU-SITE and include them in his research. (3) He will support the participation of two graduate students in the proposed research.  (4) He will design advanced algorithm courses for senior undergraduate and graduate students.</t>
  </si>
  <si>
    <t>1751181</t>
  </si>
  <si>
    <t>Young</t>
  </si>
  <si>
    <t xml:space="preserve"> Panel Summary       
 Description: _x000D_
This proposal studies contention resolution algorithms for wireless networks. _x000D_
It aims to develop a unifying theory of contention resolution where multiple devices must coordinate in a decentralized way to get access to a shared communication channel.  It addresses in a fairly comprehensive manner various issues in the design and implementation of contention resolution algorithms with regards to throughput, traffic, cooperation, resource costs, prioritization (QoS issues), and jamming resistance. One key goal is to improve on mechanisms such as the classical binary exponential back-off (BEB). _x000D_
_x000D_
_x000D_
Intellectual Merit: _x000D_
Strengths_x000D_
  + This proposal seamlessly weaves together background and motivation for contention resolution algorithms, identifies key issues and proposes solutions that are theoretically very well thought out but also have practical motivations. The proposal is strong both in theory and networking aspects._x000D_
 + The proposal is very well written and presented._x000D_
 + The panel appreciates the PI's effort on developing theory and algorithms for a very applied domain._x000D_
  + Contention resolution is at the heart of communication in a shared channel. While wired contention resolution has been studied in the past, the theoretical study (and to an extent practical aspects as well) have not been understood very well in wireless networks, the major application area of the future. The proposal lays out a very detailed research agenda to design, analyze, and implement and study new and improved contention resolution algorithms in wireless networks. _x000D_
  + The PI has published significant papers to back up his credentials in the area (STOC 2016, SODA 2016, SPAA 2017, SPAA 2014, PODC 2011) and is extremely well-qualified to undertake this research._x000D_
 + There are adequate resources available to PI to carry out this research._x000D_
  _x000D_
Weaknesses_x000D_
  - More technical details regarding approaches, e.g., elaborating how the STOC 2016 paper relates to the proposed problems will improve the proposal._x000D_
  -  Some references listed are not complete with missing data._x000D_
- There is concern about how this work will impact networking in practice. _x000D_
- Designing contention-resolution algorithms under the adversarial-arrival model may not have good performance in the practical systems. _x000D_
- It will be good to explain why the proposed simple models capture important aspects of the real network problems. _x000D_
- It will be good to explicitly flesh out theory techniques that will come out of this proposal._x000D_
- The main application domain is networking, but the PI does not have prior publications in networking._x000D_
_x000D_
_x000D_
Broader Impact: _x000D_
Strengths_x000D_
  +  Excellently written broader impacts and contributions which are nicely integrated with research throughout the proposal. In particular, the educational aspects of the proposal are strong which are listed separately under various key research directions. _x000D_
+ The PI comes from a EPSCoR state and Mississippi State University (MSU) has a student population with diverse educational backgrounds. Funding from this project will likely support a female MSU PhD student who is currently advised by the PI. _x000D_
+ Improved contention resolution algorithms are very important and this proposal also explores the practical aspects of it. This can have a big impact in networking._x000D_
 + The PI will develop course works that will include results from his research. The PI will involve undergraduates in research. _x000D_
_x000D_
  _x000D_
Weaknesses_x000D_
  - None_x000D_
_x000D_
Solicitation-specific criteria: _x000D_
The integration of education and research is extremely well done._x000D_
_x000D_
Data Management Plan: _x000D_
Adequate._x000D_
_x000D_
Suggestions to PI: _x000D_
The most significant broader impact is in the networking area. The PI should _x000D_
disseminate his work in networking venues (such as INFOCOM) in addition to the theory (or distributed algorithms) community. Input  (and possible collaboration) from networking researchers will further strengthen the proposal. The proposal will also be strengthened by making it more technical. The panel appreciates the work by the PI in publishing in top venues such as STOC and SODA in an applied domain (which is challenging)._x000D_
_x000D_
_x000D_
Justification for Panel Rating:  This is a very well-written and presented proposal addressing a topic that is fundamental to networking, namely contention resolution, in a theoretically rigorous framework motivated by practical applications.  The PI has very good publications in the area and is well-qualified to undertake this research. However, one concern is the real impact to networking. The broader impact and education plan is very well written._x000D_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</si>
  <si>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considers the future of networks where there are many devices seeking access to a shared communication channel and proposes basic models and algorithms for solving this coordination problem. _x000D_
_x000D_
I appreciate the PI's effort on developing theory and algorithms for a very applied domain. This is inherently challenging. However, reading the proposal, I think the models may be too simple to capture the important aspects of the real network problems and hence theory and algorithms developed in such models may not be of practical impacts. I see that there are two ways to strengthen this proposal: one is to focus on the network problems and use multiple approaches (theory, simulation and experiments) to seek practical impacts; the other is to keep the proposal mostly theoretical, but demonstrate the importance of solving the theoretical problems from multiple domains. _x000D_
_x000D_
_x000D_
In the context of the five review elements, please _x000D_
evaluate the strengths and weaknesses of the proposal with respect to broader impacts._x000D_
_x000D_
+ Some potential practical implications on designing the future of networks_x000D_
_x000D_
_x000D_
Please evaluate the strengths and _x000D_
weaknesses of the proposal with respect to any additional solicitation-specific review criteria, if _x000D_
applicable_x000D_
_x000D_
Reasonable integration of research and education: curriculum improvement and graduate and undergraduate advising. _x000D_
_x000D_
_x000D_
Summary Statement_x000D_
_x000D_
A proposal on an interesting topic, but need improvement on several aspects._x000D_
_x000D_
</t>
  </si>
  <si>
    <t xml:space="preserve">In the context of the five review elements, please _x000D_
evaluate the strengths and weaknesses of the proposal with respect to intellectual merit._x000D_
_x000D_
Strengths:_x000D_
_x000D_
This proposal is in the area of networking. The PI proposes to develop better algorithms for contention resolution. In particular, the goal is to improve on mechanisms such as binary exponential back-off (BEB)._x000D_
_x000D_
Some proposed algorithms improve the metric of contention window slots, however the total transmission time is not reduced. The PI has also proposed a Best-of-k algorithm that sends small dummy packets to sense collision._x000D_
This idea of sending dummy packets to reduce the cost of collision is intriguing._x000D_
The Best-of-k algorithm seems to outperform Binary exponential backoff (BEB) in NS3_x000D_
simulations._x000D_
_x000D_
The PI has formulated research problems quite concretely._x000D_
_x000D_
The PI has made important contributions in the area with publications in_x000D_
good conferences.There are adequate resources available to PI._x000D_
_x000D_
_x000D_
Weaknesses:_x000D_
_x000D_
The problem studied is quite old -- access to a shared medium._x000D_
The simulation results on NS3 show that the binary exponential backoff_x000D_
outperforms LLB. There is no clear argument that strtegies other than BEB may be_x000D_
better in terms of total time._x000D_
_x000D_
Prioritization of traffic has been studied in the networking community for quite some time. It is not clear that practical benefits will ensue from the proposed project._x000D_
_x000D_
Designing contention-resolution algorithms under the adversarial-arrival model_x000D_
may not have good performance in the practical systems._x000D_
_x000D_
_x000D_
_x000D_
_x000D_
_x000D_
In the context of the five review elements, please _x000D_
evaluate the strengths and weaknesses of the proposal with respect to broader impacts._x000D_
_x000D_
Strengths:_x000D_
_x000D_
Mississippi is EPSCoR state. The project will fund a female student._x000D_
_x000D_
Recommendation:_x000D_
The most significant broader impact is in the networking area. The PI should_x000D_
disseminate his work in those avenues in addition to the theory (or distributed algorithms) community._x000D_
_x000D_
Please evaluate the strengths and _x000D_
weaknesses of the proposal with respect to any additional solicitation-specific review criteria, if _x000D_
applicable_x000D_
_x000D_
_x000D_
_x000D_
Summary Statement_x000D_
_x000D_
The proposal is good but can benefit by interaction with networking community._x000D_
_x000D_
</t>
  </si>
  <si>
    <t xml:space="preserve">In the context of the five review elements, please _x000D_
evaluate the strengths and weaknesses of the proposal with respect to intellectual merit._x000D_
_x000D_
This proposal studies contention resolution algorithms for wireless networks. It addresses in a fairly comprehensive manner various issues in the design and implementation of contention resolution algorithms with regards to throughput, traffic, cooperation, resource costs, prioritization (QoS issues), and jamming resistance._x000D_
Strengths:_x000D_
_x000D_
1.	This is an excellent proposal, one of the best written ones I have seen._x000D_
It seamlessly weaves together background and motivation for contention resolution algorithms, identifies key issues and proposes solutions that are theoretically very well thought out but also have  practical motivations. The proposal is strong both in theory and networking  aspects._x000D_
_x000D_
2.	Contention resolution is at the heart of communication in a shared channel. While wired contention resolution has been studied in the past, the theoretical study (and to an extent practical aspects as well) have not been understood very well in wireless networks, the major application area of the future.  The proposal lays out a very detailed research agenda to desingn, analyze, and implement and study contention resolution algorithms in wireless networks._x000D_
_x000D_
3.	The PI has published significant papers to back up his credentials in the area (STOC 2016, SODA 2016, SPAA 2017, SPAA 2014, PODC 2011)._x000D_
_x000D_
_x000D_
Weaknesses:_x000D_
1.	I would like to see more details in the technical details regarding approaches, e.g., elaborating how the STOC 2016 paper relates to the proposed problems._x000D_
2.	Some references listed are not complete with missing data.  _x000D_
_x000D_
_x000D_
In the context of the five review elements, please _x000D_
evaluate the strengths and weaknesses of the proposal with respect to broader impacts._x000D_
_x000D_
Strengths:_x000D_
_x000D_
1.	Excellently written broader impacts and contributions which are nicely integrated with research throughout the proposal. In particular, the educational aspects of the proposal are strong which are listed separately under various key research directions._x000D_
2. The PI comes from a EPSCoR state and Mississippi State University (MSU) has a student_x000D_
population with diverse educational backgrounds. Funding from this project will likely support a  female MSU PhD student who is currently advised by the PI._x000D_
2.	Improved contention resolution algorithms are very important and this proposal also explores the practical aspects of it. This can have a big impact in networking._x000D_
_x000D_
Weaknesses:_x000D_
None._x000D_
_x000D_
_x000D_
_x000D_
_x000D_
Please evaluate the strengths and _x000D_
weaknesses of the proposal with respect to any additional solicitation-specific review criteria, if _x000D_
applicable_x000D_
_x000D_
The integration of education and research is extremely well done._x000D_
_x000D_
Summary Statement_x000D_
_x000D_
This proposal studies contention resolution algorithms for wireless networks. It addresses in a fairly comprehensive manner various issues in the design and implementation of contention resolution algorithms with regards to throughput, traffic, cooperation, resource costs, prioritization (QoS issues), and jamming resistance. The project is timely and the issues are fleshed out very well with a clear research agenda. All in all a very strong proposal._x000D_
_x000D_
_x000D_
_x000D_
</t>
  </si>
  <si>
    <t xml:space="preserve">In the context of the five review elements, please _x000D_
evaluate the strengths and weaknesses of the proposal with respect to intellectual merit._x000D_
_x000D_
The proposal aims to develop a unifying theory of contention resolution where multiple devices must coordinate in a decentralized way to get access to a shared communication channel. It will develop new algorithms for optimizing throughout, managing arbitrary traffic, under various models of cooperation, with bandwidth and energy constraints, allowing prioritization of certain traffics, guarantees under adversarial model etc. _x000D_
_x000D_
The proposal is well-written, however, it is not clear what new theoretical techniques will come out from this work._x000D_
_x000D_
In the context of the five review elements, please _x000D_
evaluate the strengths and weaknesses of the proposal with respect to broader impacts._x000D_
_x000D_
The PI will develop course works that will include results from his research. The PI will involve undergraduates in research. The outcome of this work may have impact in industry._x000D_
_x000D_
Please evaluate the strengths and _x000D_
weaknesses of the proposal with respect to any additional solicitation-specific review criteria, if _x000D_
applicable_x000D_
_x000D_
_x000D_
_x000D_
Summary Statement_x000D_
_x000D_
In summary, this is a well-written proposal. It is unclear what substantial new theoretical results will come out of this. The proposal may be interesting to the networking community._x000D_
_x000D_
</t>
  </si>
  <si>
    <t>Future networks promise ubiquitous connectivity provided by large-scale systems densely populated by resource-constrained wireless devices. While this is an exciting vision, it also motivates us to revisit a fundamental challenge: how do we coordinate access by multiple devices to a shared communication channel? _x000D_
	_x000D_
This is the problem of contention resolution and it is an enduring issue with various solutions implemented in communications standards spanning the past four decades. Surprisingly, despite this track record, our understanding of even basic metrics -- such as worst-case expected throughput -- is incomplete. Furthermore, the demands of future networks will require confronting a range of concerns for which current solutions provide few rigorous guarantees. In light of these issues, a better understanding of the theory underlying the design and analysis of contention-resolution algorithms is warranted.Let time be discretized into slots, each of which can accommodate a packet. Initially, there are a set of stations, each with a packet to send on a shared channel where in a slot: (i) if a single station sends, then its packet succeeds, (ii) else, if two or more stations send, their packets fail, and the stations learn they must retry later.  There is no central authority or scheduler. How many slots are required for all packets to succeed?_x000D_
	_x000D_
This is a natural question about simple traffic -- a single burst of packets -- and yet our understanding of this basic scenario is incomplete. Along similar lines, aspects of popular contention-resolution mechanisms already deployed in modern-day networks deserve study,  both the single-burst case and under an arbitrary (worst-case) packet-arrival distribution._x000D_
	_x000D_
Given that future networks will be densely populated by resource-constrained devices, our solutions must impose only a small cost in terms of energy and bandwidth. In this context, we investigate contention resolution when packets have differing levels of priority, or in scenarios with multiple channels and multi-hop routing. Finally, motivated by increasingly common attacks on wireless networks, we explore solutions with performance guarantees under adversarial scenarios._x000D_
	_x000D_
While our primary goal is the design and analysis of new contention-resolution algorithms, we integrate applied work in order to validate our abstract models and solutions.Developments in manufacturing, industry, and communications standards are driving the next generation of networks. This evolution is anticipated to result in tens of billions of consumer-market devices becoming connected over the next five years. Addressing the performance and security of these massive-scale systems has obvious economic and societal impact._x000D_
	_x000D_
Mississippi is an EPSCoR state. Funding from this project will likely support a promising  PhD student, Mercy Jaiyeola; she is currently advised by PI Young. This project will also provide opportunities for undergraduate students to work on challenging aspects of the project.</t>
  </si>
  <si>
    <t>1751234</t>
  </si>
  <si>
    <t>Bhaskara</t>
  </si>
  <si>
    <t xml:space="preserve"> Panel Summary       
 Description: _x000D_
_x000D_
The main goal of the proposal is to improve our understanding of the complexity landscape of learning, specifically the tradeoffs between assumptions and guarantees. There are three main directions, (1) understanding if parameters of a generative model can be learnt efficiently given a polynomial amount of data, (2) developing algorithms that are robust to noise and (3) learning that goes beyond worst-case intractability but without making any strong structural assumptions.  The first two of these are applied to mixture of Gaussian models and the third to dictionary learning, non-negative factorization, and subspace clustering.  _x000D_
_x000D_
_x000D_
 _x000D_
_x000D_
_x000D_
Intellectual Merit: _x000D_
_x000D_
Strengths_x000D_
  + The problems are pretty well-scoped within each of these areas.  _x000D_
  + The concrete paths forward are proposed._x000D_
  + The PI has a strong track-record in the area._x000D_
  + Connection to algebraic geometry is appealing.  _x000D_
_x000D_
Weaknesses_x000D_
  - The panel was concerned that the proposal lacks an exciting overarching vision._x000D_
_x000D_
Broader Impact: _x000D_
_x000D_
Strengths_x000D_
  + As data science is exploding, if successful, the impact of this research would likely be wide reaching_x000D_
 + Would help the PI continue to improve the graduate courses_x000D_
 + PI would develop mini-surveys to deciminate core new research_x000D_
 + PI would organize local workshop on learning._x000D_
_x000D_
 _x000D_
Solicitation-specific criteria: _x000D_
PI would improve the graduate courses he is teaching, he would develop "mini-surveys" about the techniques here, continue to mentor graduate and undergraduate students, and organize a local workshop on learning._x000D_
_x000D_
_x000D_
Data Management Plan: adequate._x000D_
_x000D_
_x000D_
Suggestions to PI: Spend less space on some of the individual approaches and instead show how these stepes will cohere into something greater.  It is also good to highlight a few broader connections between fundamental problems and the rest of the field.  _x000D_
A better argument for why progress like likely to occur now.   _x000D_
_x000D_
Justification for Panel Rating:  Proposal lays out nice individual problems to tackle from a very qualified PI, but lacks exciting cohesive vision of research.  Broader impacts was adequate._x000D_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</si>
  <si>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Theoretical Machine Learning: Algorithms and Complexity_x000D_
_x000D_
L: 1751234 Bhaskara, Aditya University of Utah $  536,841_x000D_
_x000D_
_x000D_
P180209 LC AF CAREER/CRII Panel B (12 panelists),_x000B_  on 11/21/2017, recommended as Low Competitive (V,V,V,G)_x000D_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</si>
  <si>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concerns several algorithmic topics in machine learning. _x000D_
Three main directions proposed are:_x000D_
_x000D_
(1) Identifiability, given samples from a probabilistic model, find the model parameters in a computationally efficient manner and with small sample complexity. The proposed work is to develop  new techniques based on the method of moments and tensors._x000D_
_x000D_
(2) Learning in the presence of noise, in particular addressing the types of estimation questions above in the presence of various types of noise._x000D_
_x000D_
(3) Addressing matrix factorization questions (including dictionary learning and non-negative matrix factorization) under weaker (but not worst case) assumptions compared to prior work._x000D_
_x000D_
These are all important questions and the PI has prior work on these topics that make him uniquely qualified to tackle them._x000D_
_x000D_
In the context of the five review elements, please _x000D_
evaluate the strengths and weaknesses of the proposal with respect to broader impacts._x000D_
_x000D_
The education and broader impact component includes organizing a yearly workshop on theory and practical aspects of learning at the PI  institution, as well as new courses and mini-surveys for various topics._x000D_
_x000D_
_x000D_
Please evaluate the strengths and _x000D_
weaknesses of the proposal with respect to any additional solicitation-specific review criteria, if _x000D_
applicable_x000D_
_x000D_
_x000D_
_x000D_
Summary Statement_x000D_
_x000D_
This proposal concerns several algorithmic topics in machine learning: identifiability, learning in the presence of noise, and more broadly applicable matrix factorization algorithms. These are all important questions and the PI has prior work on these topics that make him uniquely qualified to tackle them. The education and broader impact component is strong._x000D_
_x000D_
</t>
  </si>
  <si>
    <t xml:space="preserve">In the context of the five review elements, please _x000D_
evaluate the strengths and weaknesses of the proposal with respect to intellectual merit._x000D_
_x000D_
The main goal of the proposal is to improve our understanding of the complexity landscape of learning, specifically the tread-offs between assumptions and guarantees. There are three main directions, (1) understanding if parameters of a generative model can be learnt efficiently given a polynomial amount of data, (2) developing algorithms that are robust to noise and (3) learning that goes beyond worst-case intractability but without making any strong structural assumptions._x000D_
_x000D_
For (1), the PI proposes to develop the existing moment based method  for parameter identification and gives a detailed approach with many new ideas how this will be done.  _x000D_
_x000D_
For (2), the PI proposes to handle various different types of noise like sample corruption, distribution corruption etc.  For example, if we have polynomially many samples from a data distribution that is epsilon close to mixture of well-separated Guassians, is it possible to recover the data distribution again with some epsilon' distance? The PI will study how the separation required in the noisy case differs from the noiseless case and extension of moment based method._x000D_
_x000D_
For (3), the PI proposes to not consider any structural assumptions but obtain weaker yet interesting guarantees. Here the PI will study important problems like Dictionary learning or sparse coding, non-negative matrix factorization etc. _x000D_
_x000D_
Summary of strength and weakness: The proposal is well-written by a qualified PI. The questions are interesting and detailed approach has been provided to tackle them._x000D_
_x000D_
In the context of the five review elements, please _x000D_
evaluate the strengths and weaknesses of the proposal with respect to broader impacts._x000D_
_x000D_
The PI plans to integrate the outcome of the research into the courses that he will be developing. The PI will also organize workshops on insights in learning, for which budget has been allocated for speaker travel. The workshop will be co-located with Utah Data Science Day._x000D_
_x000D_
Please evaluate the strengths and _x000D_
weaknesses of the proposal with respect to any additional solicitation-specific review criteria, if _x000D_
applicable_x000D_
_x000D_
_x000D_
_x000D_
Summary Statement_x000D_
_x000D_
The proposal lays out few important problems in theoretical machine learning with viable pathway for making progress. The PI is well-positioned for performing the proposed research._x000D_
_x000D_
</t>
  </si>
  <si>
    <t xml:space="preserve">In the context of the five review elements, please _x000D_
evaluate the strengths and weaknesses of the proposal with respect to intellectual merit._x000D_
_x000D_
The author proposes a program to study questions in theoretical machine learning under 3 general topics:_x000D_
1)	Identifiability of general models;_x000D_
2)	Learnability under noise_x000D_
3)	low-expectations applied to learning theory.  _x000D_
_x000D_
The problems are pretty well-scoped within each of these areas.  _x000D_
_x000D_
In the first area, the main goal is to understand when the moment generating functions (of low moments) can identify mixtures of Guassians.  For example, what is the relationship between dimension and number of mixtures that can be IDed with 3 moments?  The PI proposes both SoS and an algebriac geometry approach.  The latter would be especially nice if it worked out, as it would add a new tool to TCS.  He also has most robust (wrt error) versions of the problem. _x000D_
_x000D_
In the second area, the proposal sticks with mixtures of Gaussians, but proposes to study several popular error models.  This is the most well-developed part of the proposal, and posits several interesting directions for a very challenging space.  In particular, reasoning about the robustness of SDPs.  _x000D_
_x000D_
The third trust is not about mixtures of Gaussians, but rather dictionary learning, non-negative factorization, and subspace clustering.   That is we would like to (approximately) represent many different vectors in a sparse way over a small bases.  The goal is to find the basis.  The goal here is to relax the problem to approximation and bi-critera (larger vectors, less sparsity).  _x000D_
_x000D_
The activities are novel and well worth pursuing.  The PI lays out interesting approaches (especially for the first two).  The proposed work is well thought out.  While I do like how there are great details for the first problems to be worked on.  It would also be nice to get a better vision of where this research is headed.  _x000D_
_x000D_
The claim is that these problems are very fundamental, and that progress will have wide-reaching impacts.  It would be great if this were further-flushed out (e.g. how important is mixture of Gaussians, why?).  _x000D_
_x000D_
The PI is well qualified and have available resources to undertake this project.  _x000D_
_x000D_
_x000D_
_x000D_
In the context of the five review elements, please _x000D_
evaluate the strengths and weaknesses of the proposal with respect to broader impacts._x000D_
_x000D_
As data science is exploding, if successful, this impacts of this research would likely be wide reaching.  A particularly neat connection would be the invention of a more computational approach to algebraic geometry problems._x000D_
_x000D_
Additionally, this would help the PI continue to improve the graduate courses he is teaching, he would develop "mini-surveys" about the techniques here, continue to mentor graduate and undergraduate students, and organize a local workshop on learning.  _x000D_
_x000D_
_x000D_
Please evaluate the strengths and _x000D_
weaknesses of the proposal with respect to any additional solicitation-specific review criteria, if _x000D_
applicable_x000D_
_x000D_
_x000D_
The outreach and education plan seems to focus on develop "mini-surveys" about the techniques here, continue to mentor graduate and undergraduate students, and organize a local workshop on learning.  _x000D_
_x000D_
_x000D_
Summary Statement_x000D_
_x000D_
This proposal tackles fundamental problems at the forefront of data science.  However, it would be even better if it were better linked to an overarching view.  The educational/outreach plan is serviceable._x000D_
_x000D_
</t>
  </si>
  <si>
    <t xml:space="preserve">In the context of the five review elements, please _x000D_
evaluate the strengths and weaknesses of the proposal with respect to intellectual merit._x000D_
_x000D_
The PI proposes to pursue three general directions in theoretical machine learning: identifiability of generative models, learnability under model noise, and learning in more general settings.  These are important questions, and the PI has made some progress. However, his most relevant publications are from 2014 or before. (He lists two more recent publications too, but they were non-theory venues and he doesn't really reference them in the proposal; he also has recent unpublished work.) Therefore, it's unclear to me why to expect big advances now._x000D_
_x000D_
_x000D_
In the context of the five review elements, please _x000D_
evaluate the strengths and weaknesses of the proposal with respect to broader impacts._x000D_
_x000D_
Learning has many applications, and the PI has a history of collaborating with industrial researchers. The PI also has an education and mentoring plan, and plans to organize an annual workshop on theory and practical aspects of learning._x000D_
_x000D_
Please evaluate the strengths and _x000D_
weaknesses of the proposal with respect to any additional solicitation-specific review criteria, if _x000D_
applicable_x000D_
_x000D_
_x000D_
_x000D_
Summary Statement_x000D_
_x000D_
This is a good proposal with interesting questions.  However, the PI's track record may not be strong enough to compete with other applicants._x000D_
_x000D_
</t>
  </si>
  <si>
    <t>As machine learning becomes pervasive in various aspects of our lives, theoretical investigations into accuracy guarantees, noise tolerance, interpretability, privacy, etc. are becoming increasingly important. Ideas from theoretical computer science, statistics, and computational linear algebra are being used to attack these challenges. This has opened up new avenues of research in theory, raising questions of modeling and going beyond the lens of worst-case analysis. The proposal considers fundamental problems in unsupervised learning of modeling and understanding data, and aims to develop new insights on topics ranging from theoretical guarantees on learnability, to practical challenges such as robustness. _x000D_
_x000D_
The three broad directions are:_x000D_
- Identifiability: we will tackle a basic statistical problem, given samples from a probabilistic model, of finding the model parameters. Being able to do this efficiently with small sample complexity has numerous applications. We propose new insights into the method of moments, to understand this basic question._x000D_
- We consider the practical challenge of dealing with modeling noise and outliers. Recent algorithms in learning have good theoretic properties, but are sensitive to errors. We propose new directions in this burgeoning area of research, to design new algorithms and understand complexity aspects that arise due to noise._x000D_
- For basic problems like sparse coding and non-negative matrix factorization, provable guarantees are known only under strong structural assumptions (inevitably so, due to NP-hardness). We propose a different direction: relaxing the assumptions, while obtaining weaker, yet interesting guarantees._x000D_
_x000D_
The common goal in these directions is to improve our understanding of the complexity landscape of learning, specifically the trade-offs between assumptions and guarantees._x000D_
_x000D_
Keywords: learning theory, beyond worst case, robustness in algorithms, generative models, modeling noiseIdentifying the possibilities and limitations of learning is one of the most important research directions in computer science. The problems we propose get to the heart of modeling data and the associated complexity questions. Obtaining efficient algorithms here could have tremendous impact in applications (beyond learning), much like hashing and dimension reduction have in the past. These directions will also develop new theoretical methods for reasoning about noise, and improve our understanding of basic clustering and decomposition questions.The directions studied have a potential to impact any field of science with a modeling component. The technical contributions will bring new collaborations, both from theoretical fields like statistics and algebraic geometry, and from machine learning practitioners. A workshop to induce such interactions is proposed. The PI is also in collaboration with teams in the industry, working to disseminate theoretical insights and help design practical, efficient algorithms. The PI has developed new courses for a new wave of students trained in both theory and learning. Course content will be made accessible via self-contained mini-surveys, to benefit students everywhere.</t>
  </si>
  <si>
    <t>1751254</t>
  </si>
  <si>
    <t>Fasy</t>
  </si>
  <si>
    <t>9</t>
  </si>
  <si>
    <t xml:space="preserve"> Panel Summary       
 SUMMARY OF PROPOSED RESEARCH ACTIVITY_x000D_
_x000D_
Description: _x000D_
_x000D_
The proposal discusses new methods to analyze data by combining techniques from topological data analysis (TDA) with statistics. Traditionally, in TDA, topological descriptors (notably, persistent homology diagrams) provide a global view of data sets. The proposed approach is to compute topological descriptors locally at a collection of regions of interest, and generate a statistical summary of these descriptors over the regions. The subproblems that arise from this statistical approach include computing distances between descriptors, and information about distributions of descriptors. The proposal also discusses applications to road network analysis._x000D_
 _x000D_
_x000D_
INTELLECTUAL MERIT_x000D_
_x000D_
Strengths_x000D_
_x000D_
+ The approach of combining topology, geometry, and statistics is interesting, and so are the specific problems surrounding this statistical approach to TDA. _x000D_
+ PI has multiple past publications in both theory and applications of TDA._x000D_
+ The proposal is a pleasure to read._x000D_
_x000D_
Weaknesses_x000D_
_x000D_
- The proposal would benefit from more comparison of the proposed method with existing methods in TDA, to indicate which of the problems are extensions of past work and which are new directions._x000D_
- Many of the problems suggested seem incremental and variants of the previous work by the PI and others. _x000D_
- It would be good if the PI could explain why the statistical information is not already contained in the topological summary of the whole space. _x000D_
_x000D_
BROADER IMPACTS_x000D_
_x000D_
The broader impact section is excellent._x000D_
_x000D_
Strengths_x000D_
_x000D_
+ The education and outreach components are creative, and sincerely written._x000D_
+ The plan to publish a children's book on the PI's personal experience with interdisciplinary research is remarkable. _x000D_
+ The PI's efforts to recruit and retain under-represented students are commendable._x000D_
_x000D_
Weaknesses_x000D_
_x000D_
- None discussed._x000D_
_x000D_
 _x000D_
_x000D_
CAREER SOLICITATION-SPECIFIC REMARKS:_x000D_
_x000D_
Letter of institutional commitment: Present._x000D_
_x000D_
Integration of research and education: The education component of the proposal is strong._x000D_
_x000D_
 _x000D_
_x000D_
ADDITIONAL REMARKS_x000D_
_x000D_
Data Management Plan: More than adequate._x000D_
_x000D_
Results of prior support:  Present._x000D_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</si>
  <si>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objective of the proposed research is to build theoretical foundations of topological data analysis (TDA) by combining techniques from topology and statistics and to apply TDA techniques to various domains. Over the last decade TDA has become a powerful and useful tool for data analysis, and this project builds on this success of TDA._x000D_
_x000D_
The PI has been working on TDA and has published several papers on many aspects, including theory and applications, of TDA in a wide range of venues. The PI is certainly capable of performing the proposed research._x000D_
_x000D_
In terms of developing theoretical foundations, the PI proposes to study local descriptors, computing distances between descriptors, and distributions of  local descriptors. All of them are interesting questions. One concern I have with the way the specific problems are discussed is that they are natural extensions of existing work by the PI and other researchers. In many cases, it's not clear why these extensions are needed, how significant/challenging these extensions are, and whether they really open new directions of research. It would be have been more useful if a fewer problems were presented but they were developed better, and if some of the problems were extensions of the past work while others were new directions._x000D_
_x000D_
The main application of TDA discussed in the proposal is road network analysis. There has been extension work in multiple disciplines on road network analysis, using different approaches. It's not clear why TDA is a good approach for this problem and  what are its advantages. For example, what are the advantages of "local topological features" based metric to compute similarity between two road network maps. _x000D_
_x000D_
The discussion on the two other domains for TDA applications is very brief and vague._x000D_
_x000D_
_x000D_
In the context of the five review elements, please _x000D_
evaluate the strengths and weaknesses of the proposal with respect to broader impacts._x000D_
_x000D_
The broader impact section of this proposal is highly unusual, remarkable,  and novel! The goal of publishing a book for third-grade students is very impressive. Her proposed efforts on increasing awareness of interdisciplinary research careers and on recruiting/retaining underrepresented students are also highly commendable. It's clear she is passionate about these topics and has thought a lot about them._x000D_
_x000D_
The educational plan is brief and not very specific._x000D_
_x000D_
The PI has also thought about the evaluation of her educational activities and has a clear plan._x000D_
_x000D_
Please evaluate the strengths and _x000D_
weaknesses of the proposal with respect to any additional solicitation-specific review criteria, if _x000D_
applicable_x000D_
_x000D_
_x000D_
_x000D_
Summary Statement_x000D_
_x000D_
Overall it's a solid proposal on an interesting and timely topic, namely TDA. It covers several problems. The PI is well qualified to carry out the proposed research. The main question is how significant will be the impact  the proposed research -- will it be incremental or will it push the envelope in some fundamental way. _x000D_
_x000D_
The outreach component of the broader impact section is outstanding and highly commendable._x000D_
_x000D_
</t>
  </si>
  <si>
    <t xml:space="preserve">In the context of the five review elements, please _x000D_
evaluate the strengths and weaknesses of the proposal with respect to intellectual merit._x000D_
_x000D_
_x000D_
The PI proposes to use topological data analysis (TDA) to build a toolset for analyzing heterogeneous big data. This approach combines ideas from topology, geometry, and statistics. _x000D_
_x000D_
This is a carefully written proposal about developing the theoretical foundations for topological data analysis and applying these foundations to application domains.  I was positively impressed starting right at the summary. I like the direct and sincere writing. I like the fact that there are little technical nuggets in the summary. _x000D_
_x000D_
The PI does a nice job of explaining the area in the beginning. However, I might have wanted some more high-level explanations of some of the research problems later on, matching the intuitive explanations of TDA earlier on, but overall the proposal was a pleasure to read. _x000D_
_x000D_
I appreciated the educational and outreach components, which seem sincere and caring. The educational component includes mentoring, from elementary students all the way to graduate students. Interestingly, it also includes an idea for a book for children, which has the potential to motivate students to learn more about education and research._x000D_
_x000D_
_x000D_
_x000D_
In the context of the five review elements, please _x000D_
evaluate the strengths and weaknesses of the proposal with respect to broader impacts._x000D_
_x000D_
In an era in which people are doing increasingly interesting things with large amounts of heterogeneous data, there is a good chance for impact.  Moreover, the PI has a history of doing things that have the potential for impact. This includes a TDA package in the R language, writing the book, etc._x000D_
_x000D_
The educational component of this proposal was particularly special.  I suspect that this PI does a wonderful job of inspiring her students, and is a great role model._x000D_
_x000D_
_x000D_
_x000D_
Please evaluate the strengths and _x000D_
weaknesses of the proposal with respect to any additional solicitation-specific review criteria, if _x000D_
applicable_x000D_
_x000D_
_x000D_
_x000D_
Summary Statement_x000D_
_x000D_
This is a well written proposal with an especially good education component._x000D_
_x000D_
</t>
  </si>
  <si>
    <t xml:space="preserve">In the context of the five review elements, please _x000D_
evaluate the strengths and weaknesses of the proposal with respect to intellectual merit._x000D_
_x000D_
The proposed project is about analyzing datasets using techniques from_x000D_
topology. Topological data analysis (TDA) has been an active area of research for many years. The approach in this proposal is to view data as a set of small regions of interest (ROI), describe each ROI with a localized topological descriptor (a persistent diagram), then compute statistics on the distribution of all these descriptors, to produce a global summary of the data. Subproblems that arise include how to first compute functional summaries of these descriptors, define distances between descriptors, and clustering and computing histograms of the descriptors. The proposal discusses applications, specifically to road network analysis._x000D_
_x000D_
The PI has had several publications on TDA and statistics, in both theory and applied conferences. TDA is certainly an important toolset_x000D_
with many potential applications. Regarding intellectual merits, though, it is not clear how innovative the proposed techniques are relative to the large body of existing work in TDA._x000D_
_x000D_
_x000D_
_x000D_
In the context of the five review elements, please _x000D_
evaluate the strengths and weaknesses of the proposal with respect to broader impacts._x000D_
_x000D_
The proposed research is interdisciplinary, connecting CS, topology, and statistics. The proposal has an extensive section on education plan, including the writing a children's book (interestingly) on interdisciplinary research, and recruiting and retaining students from underrepresented groups, promoting a sense of belonging._x000D_
_x000D_
_x000D_
Please evaluate the strengths and _x000D_
weaknesses of the proposal with respect to any additional solicitation-specific review criteria, if _x000D_
applicable_x000D_
_x000D_
_x000D_
_x000D_
Summary Statement_x000D_
_x000D_
Good research and education plan, but unclear if significant original techniques will emerge._x000D_
_x000D_
</t>
  </si>
  <si>
    <t xml:space="preserve">In the context of the five review elements, please _x000D_
evaluate the strengths and weaknesses of the proposal with respect to intellectual merit._x000D_
_x000D_
Strengths:_x000D_
_x000D_
The proposal outlines a research plan for designing new data analytic methods. These new methods are based on developing new similarity measures and summarizations that are inspired by both topological data analysis (TDA) and statistics. Traditionally, the TDA approach consists of summarizing the topological structure of some input point set (or, more generally, some subset of a host metric space) via the persistence diagram. This diagram captures information about the topology of the input at all possible scales. The PI proposes to consider the persistence diagram of small "patches" of the input, and then take a statistical summary over all patches. This is an interesting idea. It has the potential to transfer tools and ideas between TDA and statistics, and to lead to new algorithmic and statistical tools._x000D_
_x000D_
The PI has several results in the area of TDA and is well-positioned to conduct the research plan._x000D_
_x000D_
Weaknesses:_x000D_
_x000D_
The proposed method is not compared extensively to prior work. Does the persistence diagram already contain statistical information about all the patches?_x000D_
_x000D_
In the context of the five review elements, please _x000D_
evaluate the strengths and weaknesses of the proposal with respect to broader impacts._x000D_
_x000D_
Strengths:_x000D_
_x000D_
The project aims to study interesting real-world data sets, such as the large-scale structure of the cosmic web. The PI seems to actively pursue application domains where TDA can lead domain experts to new insights._x000D_
_x000D_
The PI has also contacted, and plans to pursue further collaboration with industry, such as Uber. The proposed research plan related to the analysis of road networks seems to be of great relevance in such domains._x000D_
_x000D_
_x000D_
Please evaluate the strengths and _x000D_
weaknesses of the proposal with respect to any additional solicitation-specific review criteria, if _x000D_
applicable_x000D_
_x000D_
The educational component of the proposal is very strong. The PI plans, among other activities, to write a book on interdisciplinary research aimed at a children audience._x000D_
_x000D_
The PI is committed to pursue a leadership role in diversity-centered initiatives in her local community._x000D_
_x000D_
Summary Statement_x000D_
_x000D_
This is an interesting proposal that aims to study a general class of questions in the intersection of TDA and statistics. It has the potential for interesting new methods and tools._x000D_
_x000D_
</t>
  </si>
  <si>
    <t>The proposed project lies in the intersection of computer science, mathematics, and statistics; specifically, in topological data analysis (TDA). The long-term career goal of PI Fasy is to help establish TDA as a fundamental toolset in data science by creating and applying new tools and algorithms that can be easily adopted across different domains. As a step towards this goal, the project's research objectives and activities align to build a toolset for the analysis of heterogeneous data. The approach taken is to view the data as a set of (small- to medium-sized) regions of interest (ROIs). Each ROI is then described by a local descriptor (e.g., the persistent local homology diagram). These descriptors are topological invariants that provide new insights into the structure of data. Moreover, the distribution of descriptors computed from the ROIs is used as a global summary of the data that encapsulates the heterogeneity. _x000D_
_x000D_
Interdisciplinary research is often highly collaborative, and benefits from diversity. In particular, the educational component of this project focuses on the academic development of first-generation college students. Beginning with outreach events to elementary schools in rural and American Indian communities throughout Montana, this project will work towards building the sense of belonging of first-generation students as researchers in interdisciplinary fields. The educational activities will also include writing a children's book loosely based around the PI's own experience as a first-generation college student, and visiting schools (both elementary and colleges) in the greater Big Sky area in order to promote computer science and interdisciplinary research careers.Building upon the expertise of the PI in TDA and statistical methods for TDA, this project introduces a new framework for analyzing large heterogeneous data sets. In many application domains, the information captured by topological descriptors that has only been described qualitatively (and anecdotally) to date. The results of this project are expected to have an impact on domains such as road network analysis, as the methodology developed will enable expert interpretation via conversations centered around particular ROIs chosen from the investigation into pairwise distances between ROIs. In particular, PI Fasy and her research group will work in collaboration with an urban planning expert to bring practical needs of the domain into light when developing new analysis methods. These insights from local topological descriptors will provide a reproducible and quantitative mechanism for capturing the inherently qualitative data.Promoting diversity at all levels is essential for successful interdisciplinary research. The proposed educational activities will promote the sense of belonging of first-generations students as graduate students in STEM, and more generally as future academics in interdisciplinary domains. Increasing the sense of belonging will allow for first-generation students to enter graduate school on an equal playing field with their peers, which will, in turn, bring new perspectives in research collaborations. In addition to diversity of backgrounds, diversity of training is important. Formally trained in mathematics and computer science and with strong collaborations and publication history in statistics, PI Fasy is well-situated to conduct a successful research program at the intersection of these three domains. As a result, this project will produce usable, theoretically grounded, data science tools currently in demand. The success of this proposal will be a major step forward in producing usable and theoretically grounded data science tools that make the structural insights of TDA accessible to domain experts.</t>
  </si>
  <si>
    <t>1751416</t>
  </si>
  <si>
    <t>Sitchinava</t>
  </si>
  <si>
    <t xml:space="preserve"> Panel Summary       
 _x000D_
SUMMARY OF PROPOSED RESEARCH ACTIVITY_x000D_
_x000D_
_x000D_
Description: This proposal develops algorithms, data structures, and lower bounds in the parallel external memory (PEM) model. The proposal makes the case that the PEM model is well suited for studying the simultaneous impact of parallelism and locality of reference.  To date, there exist few algorithmic models that capture both of these important aspects of modern computation. _x000D_
_x000D_
The PI proposes to develop algorithms and data structures in the PEM model.  Lower bounds and experimental evaluation are also a component of the proposed work._x000D_
_x000D_
 _x000D_
_x000D_
INTELLECTUAL MERIT_x000D_
_x000D_
Strengths_x000D_
_x000D_
+ The panel appreciated the effort taken to obtain the right model. The panel also appreciated the comparison with other computational models._x000D_
_x000D_
+ The panel appreciated the justification for the research area._x000D_
_x000D_
+ The PI has a strong track record in this field and a plausible plan of attack. _x000D_
_x000D_
Weaknesses_x000D_
_x000D_
- The proposal would benefit from a more careful job of formalizing each research problem._x000D_
_x000D_
- The proposal would also benefit from a better articulated plan for solving the research problems. _x000D_
_x000D_
- The proposal should make a stronger case about why standard techniques from PRAM algorithms and existing random-sampling-based techniques from computational geometry don't apply. In particular, what are the new insights/techniques that are truly special to the PEM model? _x000D_
_x000D_
_x000D_
_x000D_
_x000D_
BROADER IMPACTS_x000D_
_x000D_
_x000D_
Strengths_x000D_
_x000D_
+ The PEM model is well motivated and has potential to lead to wider adoption of algorithms by practitioners. _x000D_
_x000D_
+ The PI is from a minority-serving institution and has some interesting approaches for increasing diversity. _x000D_
_x000D_
_x000D_
Weaknesses_x000D_
_x000D_
- None discussed._x000D_
 _x000D_
_x000D_
ADDITIONAL REMARKS_x000D_
_x000D_
The research plan is clear and appropriate. _x000D_
_x000D_
The Data Management Plan is above threshold for this project._x000D_
_x000D_
The results of prior support are clearly stated._x000D_
_x000D_
The educational component of the proposal was well thought out and innovative. _x000D_
_x000D_
_x000D_
Suggestions to PI: _x000D_
_x000D_
_x000D_
Do a more careful job of formalizing each research problem, give a more carefully wrought plan for solving each problem, and establish that the new insights/techniques that are truly special to the PEM model. Demonstrate the technical depth of the research. _x000D_
_x000D_
 _x000D_
_x000D_
Justification for Panel Rating: _x000D_
_x000D_
_x000D_
Because of a compelling model and the potential for broad impact coupled with the concerns about the research program, the panel viewed this as a low competitive proposal. 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</si>
  <si>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Locality-Conscious Parallel Algorithms_x000D_
_x000D_
L: 1751416 Sitchinava, Nodari U of Hawaii $  549,999_x000D_
_x000D_
_x000D_
P180207 LC AF CAREER/CRII Panel A (14 panelists; 1 decl confl),_x000B_  on 10/24/2017, recommended as Low Competitive (V,V/G,G,G/F)_x000D_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</si>
  <si>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develops algorithms, data structures, and lower bounds in the parallel external memory (PEM) model. The PI argues (and I agree) that this is a great model in which to study the impact of parallelism and locality of reference. Both are first-order concerns on modern computational platforms. Although practitioners know that they need to consider both locality of reference and parallelism in order to achieve good performance, there is relatively few algorithmic models that consider both. _x000D_
_x000D_
The PEM model was originally proposed (by the PI) for modeling private caches in shared memory multicores, but it is also useful for modeling GPU and flash/SSD performance. The parallel external memory model assumes a large RAM, and many CPUs, each with their own private caches. I/Os are expensive, and you can do one I/O to each cache in parallel. _x000D_
_x000D_
The PI proposes to develop algorithms data structures in the PEM model.  Lower bounds and experimental evaluation are also a component of the proposed work._x000D_
_x000D_
I next describe some aspects of the writing that I really liked as well as suggestions for improvement._x000D_
_x000D_
First of all, I appreciated the explanation about why the work is so important. It's often difficult to step back and justify the proposed research in general terms, and this proposal does a great job.  I also like like the research program. Given a (relatively) new model, it makes sense to try to solve problems in it, especially problems that practitioners will ultimately be interested in._x000D_
_x000D_
I now describe some ways in which this (already very nice) proposal could be improved._x000D_
_x000D_
On one hand, I really like the intuitive way that the research problems are phrased. The problems can be understood even without diving into the PEM formalism. _x000D_
_x000D_
On the other hand, this informal description means the the research problems at first seen less important than they really are. For example, look at the first research problem: "Question 1. Is there [a] difference between multiway merging and multiway distribution in the PEM model?"  I wouldn't want to give up the informality of this question (although the PI should do a better job of explaining what merging and distribution are, since these are buzzwords that are not generally known). However, the research problem is a rather vague and could also benefit from formal supporting sentences. Are we interested in a transformation, a classification of which problems benefit from which technique, lower bounds, etc?  While I understand that the research problems are often deep, this minor tweak (which could probably be accomplished in an hour or two) may make the problems seem more important._x000D_
_x000D_
The research program seems compelling, but I wish the PI would elaborate even more on how he attempts to solve some of the problems. This is particularly important since once you have a model, it's not hard to list a whole bunch of problems that you want to solve in the model. Having said this, the PI has a great track record, I have no doubt that he will make significant progress on the proposed problems._x000D_
_x000D_
_x000D_
_x000D_
In the context of the five review elements, please _x000D_
evaluate the strengths and weaknesses of the proposal with respect to broader impacts._x000D_
_x000D_
This proposal makes an especially strong case about how algorithmic foundations can affect production computing.  That is, the proposal starts from real computational problems, gives a theoretical model that has the potential for solving these problems, and makes a compelling case for research in these models.  The proposed research is core theory that can have relatively immediate impact on other areas._x000D_
_x000D_
The educational and mentoring component is nice and well above bar._x000D_
_x000D_
_x000D_
Please evaluate the strengths and _x000D_
weaknesses of the proposal with respect to any additional solicitation-specific review criteria, if _x000D_
applicable_x000D_
_x000D_
_x000D_
_x000D_
Summary Statement_x000D_
_x000D_
Because of the connection between theory and practice,  the proposed research program, and potential large impact, I view this as a VG proposal._x000D_
_x000D_
</t>
  </si>
  <si>
    <t xml:space="preserve">In the context of the five review elements, please _x000D_
evaluate the strengths and weaknesses of the proposal with respect to intellectual merit._x000D_
_x000D_
The proposed research is about designing algorithms and data structures in the so-called Parallel External Memory (PEM) model that was introduced as part of the PI's PhD dissertation in '08 (also appeared in the PI's paper with Arge, Goodrich, and Nelson in SPAA'08). The model can be viewed as a combination of the standard External Memory model with the PRAM model for parallel computation. The PI plans to address numerous questions about the model, such as the complexity of multiway merging vs. distribution, computational geometry problems such as segment intersection, batched point location, 3D convex hull, data structure problems such as buffer trees, persistence, segment trees, lower bounds, and experimental results._x000D_
_x000D_
The model seems attractive and the proposal well written. The PI is also a solid researcher with many publications on external memory algorithms, data structures, GPU computation, and relevant topics._x000D_
_x000D_
One concern is whether there is sufficient intellectual depth of the proposed problems, i.e., whether the proposal will result in innovative algorithmic techniques, rather than just variations of existing techniques._x000D_
_x000D_
_x000D_
In the context of the five review elements, please _x000D_
evaluate the strengths and weaknesses of the proposal with respect to broader impacts._x000D_
_x000D_
The PEM model is well motivated and has potential to lead to wider adoption of algorithms by practitioners. The education component discusses some interesting ideas about "flipped classrooms"._x000D_
_x000D_
_x000D_
Please evaluate the strengths and _x000D_
weaknesses of the proposal with respect to any additional solicitation-specific review criteria, if _x000D_
applicable_x000D_
_x000D_
_x000D_
_x000D_
Summary Statement_x000D_
_x000D_
A well written proposal, but unclear if substantial new techniques will emerge._x000D_
_x000D_
</t>
  </si>
  <si>
    <t xml:space="preserve">In the context of the five review elements, please _x000D_
evaluate the strengths and weaknesses of the proposal with respect to intellectual merit._x000D_
_x000D_
The PI proposes to develop a theory of PEM (Parallel External Memory) Algorithms. The assumption here is that there are many processors, each operating in parallel, as in a multi-cote architecture. Each core might have a substantial cache, and hence, locality of data accesses is desirable. The PI makes the case that there is sufficient complexity due to parallelism that at this stage of our understanding, the PEM model offers more insight than the more complex parallel cache-oblivious models. The PI proposes a large class of problems of fundamental interest, including the list ranking problem, bfs, and convex hulls, and provides a plausible approach for each problem._x000D_
_x000D_
Given the large importance of parallel architectures, this proposal is timely. The proposed research will also draw connections between the Bulk Synchronous Processing Model and the PEM model. One potential concern is that given the large amount of literature on both the external and cache-oblivious memory models on the one side, and the PRAM models on the other, the intellectual contribution might be limited to synthesizing ideas from both sides. However, the PI anticipates this concerns, and partially answers it by providing a concrete example (red-blue line segment intersection reporting) where the correct answer changes depending on the nuance of the model._x000D_
_x000D_
_x000D_
In the context of the five review elements, please _x000D_
evaluate the strengths and weaknesses of the proposal with respect to broader impacts._x000D_
_x000D_
The PI is developing a strong curriculum in parallel algorithms. He works at a University that serves a large low-income and minority population, and will use REUs as a tool to engage several students in research._x000D_
_x000D_
One weakness (and this may just be a writing issue) is that the PI mentions that he is in contact with several initiatives that will improve education for Hawaiian students, but does not clarify how he intends to engage with them._x000D_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</si>
  <si>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project studies parallel algorithms using Parallel External_x000D_
Memory Model (PEM), which was introduced by the PI (with his_x000D_
thesis advisor) in his dissertation. PEM is a generalization of_x000D_
PRAM and sequential EM model. The PI plans to design PEM algorithms_x000D_
for solving graph and computational geometry problems. The project_x000D_
also considers data structures that explore locality and are_x000D_
suitable for parallel algorithms. The PI plans to obtain lower_x000D_
bound results for PEM model._x000D_
_x000D_
While the PEM model is relatively new, the approaches described in_x000D_
the proposal are extensions of previous parallel algorithms research._x000D_
_x000D_
Within each research area, a set of related problems are discussed._x000D_
The methods for solving them, in some cases, are not clearly specified._x000D_
_x000D_
_x000D_
In the context of the five review elements, please _x000D_
evaluate the strengths and weaknesses of the proposal with respect to broader impacts._x000D_
_x000D_
PEM is more practical than the traditional PRAM, and takes external_x000D_
memory access into cost consideration. It may be easier to implement_x000D_
PEM algorithms on multi-core machines. The PI has done experimental work using this model, and will continue do so in this project._x000D_
_x000D_
The PI works in a minority serving institution. He is active in_x000D_
outreach activities (both for high school and undergraduate students)._x000D_
The PI has and will continue to incorporate parallel algorithms into_x000D_
undergraduate CS education._x000D_
_x000D_
A particular activity, "Parallel algorithms as a flipped classroom",_x000D_
probably does not belong to this category: One can "flip" any class_x000D_
to improve teaching effectiveness. It is not connected to this project_x000D_
in any particular way._x000D_
_x000D_
_x000D_
Please evaluate the strengths and _x000D_
weaknesses of the proposal with respect to any additional solicitation-specific review criteria, if _x000D_
applicable_x000D_
_x000D_
_x000D_
_x000D_
Summary Statement_x000D_
_x000D_
PEM is more practical than the traditional PRAM, and takes external_x000D_
memory access into cost consideration. The PI has done experimental_x000D_
work using this model, and will continue do so in this project._x000D_
Several groups of problems related to parallel algorithms are considered in this project. Within each research objective, a set of related problems are discussed. The methods for solving them, in some cases, are not clearly specified._x000D_
_x000D_
The PI has done good work in this area, and is well qualified for_x000D_
the proposed research._x000D_
_x000D_
The Departmental letter of support did not print with the proposal._x000D_
_x000D_
_x000D_
</t>
  </si>
  <si>
    <t>We propose to study the limits of computation when combining parallelism and locality of reference in algorithms. Parallel algorithms which take advantage of locality of reference result in lower inter-processor communication, which is the bottleneck to the scalability of combinatorial algorithms on modern parallel architectures. In case of multicore architectures with deep memory hierarchies, locality-conscious algorithms translate into cache-efficient implementations, which have been shown to be faster and more scalable than implementations of the classical PRAM algorithms. _x000D_
_x000D_
At a first glance, the two objectives seem to have conflicting requirements: parallelism emphasizes disjoint tasks, while locality of reference emphasizes access to contiguous data. Yet, surprisingly, a few locality-conscious parallel algorithms have already been developed. We propose to provide a comprehensive study of what it takes to develop such algorithms, and in the process develop algorithms, data structures and general algorithmic techniques to solve computational problems while focusing on the requirements of both parallelism and locality of reference. Finally, we will study the limits of such computations, proving lower bounds in the process.The result of the proposed research will be a collection of algorithms and data structures in the parallel external memory (PEM) model, which we will argue is a suitable model to study parallel locality-conscious algorithms. The proposed research will also result in new techniques for proving lower bounds (as well as a collection of concrete lower bound results) for parallel computation in the presence of faster local memories (caches). In addition to saving unnecessary research efforts on trying to find solutions that are provably impossible, lower bound results might provide guidance in the design of future parallel architectures._x000D_
_x000D_
While our work is primarily theoretical in nature, we also plan to implement our algorithms and test them on the latest multicore systems to make sure that empirical evaluations match the theoretical predictions. We will develop and disseminate our implementations as open-source libraries for free use by the research community.Over time, locality-conscious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to be used freely by anyone._x000D_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</si>
  <si>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1755038</t>
  </si>
  <si>
    <t>Majumdar</t>
  </si>
  <si>
    <t>RESIMMO</t>
  </si>
  <si>
    <t xml:space="preserve"> Panel Summary       
 Description:_x000D_
The goal of this project is to develop principled and general techniques for establishing the memory resources required by a robot in order to perform its task. Specifically, this project will investigate: (i) techniques for establishing lower bounds on memory requirements, and (ii) algorithms for creating memory-efficient and task-centric representations for robot tasks. The PI states that this part of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applications._x000D_
_x000D_
_x000D_
Intellectual Merit:_x000D_
Strengths_x000D_
  + Robotic sensing tasks are important and have many applications. Using streaming algorithms and similar memory-constrained algorithms for them makes sense, and is worthwhile._x000D_
_x000D_
  + The PI plans to implement their algorithms in real robotic tests._x000D_
_x000D_
  + Looking at Time-Memory tradeoffs is a good idea, and would be an interesting contribution_x000D_
  + The proposal is cross-disciplinary. It will facilitate flow of ideas from computer science to control theory and vice-versa._x000D_
  + There are adequate resources available to the PI to carry out the proposed activities._x000D_
_x000D_
Weaknesses_x000D_
  - The PI does not compare with what is already known in streaming algorithms and related areas._x000D_
_x000D_
  -  The PI needs to spend more time explaining how the proposed research is novel in terms of problems being solved and techniques required._x000D_
_x000D_
   -It is not clear what contributions in theoretical computer science and algorithms will be possible from this project._x000D_
_x000D_
Broader Impact:_x000D_
Strengths_x000D_
  + The PI plans to make new algorithms for robotic tasks, which is very useful_x000D_
_x000D_
  + K-12 outreach, robotics is good for that_x000D_
_x000D_
  + Undergrad participation, already working with 2 undergrads_x000D_
_x000D_
Data Management Plan:_x000D_
Adequate_x000D_
_x000D_
Suggestions to PI:_x000D_
The proposed research sounds very interesting and important in principle. However, the PI does not have supporting prior work on this topic or on theoretical research in general. Some supporting prior work would make the proposal much more convincing._x000D_
_x000D_
Justification for Panel Rating: _x000D_
PI does not have supporting prior work on algorithmic foundations on this topic. He does have prior work in the robotics area._x000D_
_x000D_
_x000D_
Panel Rating:_x000D_
_ Highly Competitive_x000D_
_ Competitive_x000D_
_ Low Competitive_x000D_
X Not Competitive_x000D_
_x000D_
The summary was read to the panel and the panel concurred that the summary accurately reflects the panel discussion._x000D_
</t>
  </si>
  <si>
    <t>P180307</t>
  </si>
  <si>
    <t xml:space="preserve"> CRII Robotics: Reid</t>
  </si>
  <si>
    <t xml:space="preserve"> Panel Summary       
 The proposed work aims to develop a theory for characterizing the memory complexity of robot perception and control tasks, including finding lower bounds on memory requirements using communication complexity theory and reductions from existing streaming algorithms results. Extensions to streaming algorithms theory will be explored to capture controlled tasks, where the system can take actions that affect the data stream. The algorithms developed will be in the context of perceptual tasks (localization, search, SLAM) for a micro aerial vehicle in simulation and in hardware. _x000D_
_x000D_
_x000D_
INTELLECTUAL MERIT_x000D_
_x000D_
--Strengths_x000D_
- The proposal aims to break new theoretical ground in robotics by building on, and extending, established ideas in streaming algorithms and communication complexity. _x000D_
- The project is well organized and integrates theoretical development with experimental evaluation. _x000D_
- The proposal is very well aligned with the PI's background and long term research agenda. _x000D_
- If successful, this work could have direct implications for a large number of robot perception and control tasks. _x000D_
_x000D_
_x000D_
--Weaknesses_x000D_
- The proposal could be improved by further elaborating on the connection of the proposed theoretical approach to existing perception algorithms (e.g., SLAM) and by laying out the experimental agenda in more detail._x000D_
_x000D_
_x000D_
BROADER IMPACTS, INCLUDING ENHANCING DIVERSITY_x000D_
--Strengths_x000D_
- The question of minimal representations and complexity bounds for robotics tasks is not well understood. Any principled approach to derive such results would significantly impact the field. _x000D_
- The PI plans to involve middle school, high school and undergraduate students through several programs available in his school such as PEEK, PSURE etc. _x000D_
- Efforts will be made to include women and undergraduates in this research.  _x000D_
_x000D_
--Weaknesses_x000D_
- No significant weaknesses identified. _x000D_
_x000D_
_x000D_
_x000D_
ADDITIONAL REVIEW CRITERIA:_x000D_
_x000D_
-- Is the research appropriate for the proposed duration?_x000D_
_x000D_
The research agenda is ambitious for two years. The panel suggests the PI carefully scope the experimental agenda so as to hit all three of the stated research threads. _x000D_
_x000D_
-- Does the project have potential to produce sufficient preliminary results to serve as the basis for future competitive research proposals?_x000D_
_x000D_
Yes, this proposal aims to break new theoretical ground in robotics. The panel suggests that showing concrete results for a specific robotic task will make subsequent proposals competitive. _x000D_
_x000D_
-- Are the activities necessary and critical steps for the PI to achieve research independence?_x000D_
_x000D_
Yes, this would constitute a new research thread for the PI that furthers his longer term agenda of establishing complexity statements for robotics problems and using these insights to inform algorithm design. _x000D_
_x000D_
_x000D_
DEPARTMENT SUPPORT LETTER: _x000D_
_x000D_
The letter verifies the eligibility of the PI. _x000D_
_x000D_
_x000D_
DATA MANAGEMENT PLAN: _x000D_
_x000D_
The data management plan is adequate. _x000D_
_x000D_
_x000D_
POST-DOCTORAL MENTORING PLAN (if applicable): _x000D_
_x000D_
N/A._x000D_
_x000D_
COLLABORATIONS (if applicable): _x000D_
_x000D_
N/A._x000D_
_x000D_
ADDITIONAL SUGGESTIONS: _x000D_
_x000D_
_x000D_
PANEL RECOMMENDATION AND JUSTIFICATION, INCLUDING BRIEF STATEMENT OF KEY STRENGTHS AND/OR CRITICAL WEAKNESSES	_x000D_
_x000D_
The proposal is very well organized and aims to break new theoretical ground by building on insights from communication complexity and streaming algorithms to understand the memory complexity of robotics tasks. In addition to framing robot perception problems in a new light, which may lead to new ways to understand, compare, and design algorithms for robot perception and control tasks, the proposed work aims to extend ideas from streaming algorithms theory to active systems whose behavior can affect the data stream. In addition to theoretical investigations, the proposed work will be grounded in localization, search, and mapping experiments using micro aerial vehicles in simulation and hardware. _x000D_
_x000D_
_x000D_
Ranking (check one)_x000D_
_X_ Highly Competitive_x000D_
__ Competitive_x000D_
__ Low Competitive_x000D_
__ Not Competitive_x000D_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</si>
  <si>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apply streaming algorithms and communication complexity to robotic tasks, in order to form lower bounds on robot memory requirements for various tasks, design new memory-efficient algorithms for robot tasks, and make new computational models for robot tasks (for example instead of streaming algorithms in which you can never go back in a stream, one could choose to go to a previous point in the stream again if desired, essentially forming an array one can access which is too big to store)._x000D_
_x000D_
Strengths:_x000D_
_x000D_
+ Robotic sensing tasks are important and have many applications. Using streaming algorithms and similar memory-constrained algorithms for them makes sense, and is worthwhile._x000D_
_x000D_
+ The PI plans to implement their algorithms in real robotic tests._x000D_
_x000D_
+ Looking at Time-Memory tradeoffs is a good idea, and would be an interesting contribution_x000D_
_x000D_
_x000D_
Weaknesses:_x000D_
_x000D_
- The PI does not compare with what is already known in streaming algorithms and related areas. Is the proposed work to design truly new and innovative streaming algorithms? Or is to only to take existing streaming algorithms, and re-work them for slightly different problems? When proposing new computational models which allow the robot to "backtrack" in the data stream, how is this different from theoretical work on memory-constrained algorithms where the data does not come in a stream, but is given as a large static array or a database? In other words, the PI needs to spend more time explaining how their proposed research is novel in terms of problems being solved and techniques required, and compare with existing algorithmic work, not just work in robotics. It is not clear if the proposed work is a simple extension of existing algorithmic work, or if applying it to robotic tasks would require truly new techniques._x000D_
_x000D_
- For many of the tasks (e.g., looking at time-memory tradeoffs) the PI seems to be mostly proposing to create new models, and does not give much indication of how they plan to analyze these models, or what the issues are with analyzing them._x000D_
_x000D_
_x000D_
Suggestions for Improvement: Providing a more detailed explanation of some preliminary work, and explaining why it is non-trivial and the novel issues that arise in it, would greatly improve this proposal. If space is needed, Section 5 can probably be reduced._x000D_
_x000D_
In the context of the five review elements, please _x000D_
evaluate the strengths and weaknesses of the proposal with respect to broader impacts._x000D_
_x000D_
Strengths:_x000D_
_x000D_
+ The PI plans to make new algorithms for robotic tasks, which is very useful_x000D_
_x000D_
+ K-12 outreach, robotics is good for that_x000D_
_x000D_
+ Undergrad participation, already working with 2 undergrads_x000D_
_x000D_
Please evaluate the strengths and _x000D_
weaknesses of the proposal with respect to any additional solicitation-specific review criteria, if _x000D_
applicable_x000D_
_x000D_
_x000D_
_x000D_
Summary Statement_x000D_
_x000D_
While on an interesting and important topic, this does not feel like research yielding fundamental insights. Providing a more detailed explanation of some preliminary work, and explaining why it is non-trivial and the novel issues that arise in it, would greatly improve this proposal._x000D_
_x000D_
_x000D_
</t>
  </si>
  <si>
    <t xml:space="preserve">In the context of the five review elements, please _x000D_
evaluate the strengths and weaknesses of the proposal with respect to intellectual merit._x000D_
_x000D_
The goal of this project is to develop principled and general techniques for establishing the memory resources required by a robot in order to perform its task. Specifically, this project will investigate: (i) techniques for establishing lower bounds on memory requirements, and (ii) algorithms for creating memory-efficient and task-centric representations for robot tasks.  The PI states that this part of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applications._x000D_
_x000D_
The proposed research sounds very interesting and important in principle. However, the PI does not have supporting prior work on this topic or on theoretical research in general. Some supporting prior work would make the proposal much more convincing._x000D_
_x000D_
_x000D_
In the context of the five review elements, please _x000D_
evaluate the strengths and weaknesses of the proposal with respect to broader impacts._x000D_
_x000D_
In addition to the strong broader impact of the research itself, the PI plans to engage in several outreach activities, for example to partner with the Princeton Engineering Education for Kids program to organize outreach events for K-12 students where students design LEGO robots that perform basic versions of the tasks discussed in the proposal. Furthermore, the PI plans to actively engage undergraduate students in the simulation and hardware implementation needed for the proposed research._x000D_
_x000D_
Please evaluate the strengths and _x000D_
weaknesses of the proposal with respect to any additional solicitation-specific review criteria, if _x000D_
applicable_x000D_
_x000D_
_x000D_
_x000D_
Summary Statement_x000D_
_x000D_
The goal of this project is to develop principled and general techniques for establishing the memory resources required by a robot in order to perform its task.  _x000D_
_x000D_
The PI does not have supporting prior work on this topic or on theoretical research in general, making it hard to evaluate the nature of the results that are likely to be outcome of this project, if funded._x000D_
_x000D_
</t>
  </si>
  <si>
    <t>XR1007255</t>
  </si>
  <si>
    <t>Clark</t>
  </si>
  <si>
    <t>clark@hmc.edu</t>
  </si>
  <si>
    <t xml:space="preserve">In the context of the five review elements, please _x000D_
evaluate the strengths and weaknesses of the proposal with respect to intellectual merit._x000D_
_x000D_
The research proposed aims to provide new tools for evaluating memory and run-time complexity in robotic systems. The work is motivated by the need to evaluate the applicability of micro scale vehicles embedded with microprocessors to different application tasks. The PI uses a micro air vehicle (MAV) exploration task as a motivating example, and while much of the work will be theoretical in nature, the PI aims to evaluate the theory on an undergraduate student built MAV._x000D_
_x000D_
_x000D_
--Strengths:_x000D_
The PI does a good job motivating the work, both with respect to its relevance to small scale robotic systems, and with respect to it being an unsolved problem with much to gain if solutions are found. The PI proposes to leverage work from other research communities (e.g. work in streaming theory), and demonstrate its potential usefulness as a starting point for determining computational complexity with single and multi-robot systems (i.e. that are subject to communication constraints.)_x000D_
_x000D_
The PI has a strong background and academic preparation that combines engineering and computer science, an appropriate combination for the proposed work._x000D_
_x000D_
_x000D_
--Weaknesses:_x000D_
Some of the starting points neglect how noise affects the system. The problem of checking off if a landmark has been visited is not easy when the correspondence is hard, (due to noisy data). As well, the quality of data in general is not mentioned here, and will likely have a large effect on how much data truly needs to be sensed, stored, and communicated._x000D_
_x000D_
_x000D_
_x000D_
In the context of the five review elements, please _x000D_
evaluate the strengths and weaknesses of the proposal with respect to broader impacts._x000D_
_x000D_
--Strengths:_x000D_
This work could have a large impact on a the field of robotics and embedded systems in general which doesn't always consider such issues. The outreach work with PEEK seems beneficial, although it is unclear how strong the collaboration between the PI and PEAK will be._x000D_
_x000D_
The reader appreciates the PI's intentions to work with PWICS and increase participation from underrepresented student groups._x000D_
_x000D_
_x000D_
_x000D_
--Weaknesses:_x000D_
More work on increasing participation of traditionally underrepresented students is encouraged,_x000D_
_x000D_
_x000D_
Please evaluate the strengths and _x000D_
weaknesses of the proposal with respect to any additional solicitation-specific review criteria, if _x000D_
applicable_x000D_
_x000D_
Adequacy of Data Management Plan:_x000D_
A few more details on the size/format of sensor data would be appreciated. Also, the use of Github is positive for version control and backup. Using an open source approach to data dissemination is also appreciated by the reader._x000D_
_x000D_
Is the research appropriate for the proposed duration?_x000D_
While it is unclear as to whether the PI will be able to rely on a MAV being developed by undergraduates within the 2 year timeframe, the PI has selected a manageable problem that seems in scope. _x000D_
_x000D_
_x000D_
Does the project have potential to produce sufficient preliminary results to serve as the basis for future competitive research proposals?_x000D_
The reader believes that the PI will produce results within the two year time frame that can form the basis of a future proposal. The preliminary ideas seem solid, with many options for exploration and development of formal theorems._x000D_
_x000D_
Are the activities necessary and critical steps for the PI to achieve research independence?_x000D_
The PI spends a page describing how the proposed work fits within the goal to develop 'A Complexity Theory for Robotics'. This is highly appropriate, relevant, and indicates a strong vision._x000D_
_x000D_
Strength of Department Letter_x000D_
The letter of support is adequate but could do more to indicate the department's dedication to the PI's research in terms of providing resources, mentoring, and ability to teach a subject that resonates with the proposal._x000D_
_x000D_
_x000D_
Summary Statement_x000D_
_x000D_
The proposal does a good job demonstrating paths to develop new theory that can find its way to a real world application. The project seems to be a logical step in building towards the PI's vision of establishing 'Complexity Theory for Robotics'. Some more attention should be made to the quality and types of data that may affect the provable bounds the PI is attempting to develop._x000D_
_x000D_
</t>
  </si>
  <si>
    <t xml:space="preserve">In the context of the five review elements, please _x000D_
evaluate the strengths and weaknesses of the proposal with respect to intellectual merit._x000D_
_x000D_
Strengths:_x000D_
The PI proposes to leverage data streaming algorithms for robotics applications.  The project investigates both the lower bounds on space and communication complexity as well as scalable algorithms._x000D_
_x000D_
The proposal is really cross-disciplinary._x000D_
It will facilitate flow of ideas from computer science to control theory and vice-versa._x000D_
_x000D_
The PI proposes to apply the theory developed for algorithms on search and rescue tasks with MAVs._x000D_
_x000D_
The PI is well-qualified to conduct the proposed activity._x000D_
There are adequate resources available to the PI to carry out the proposed activities._x000D_
_x000D_
Weaknesses:_x000D_
_x000D_
1. The proposal does not identify which problems are fundamentally different in robotics and how are they different from the applications studied in theoretical computer science (except in the context of navigation where robots can backtrack)._x000D_
_x000D_
2. The proposal gives an overview of techniques in sketches and communication complexity, but does not identify new insights by the PI that will lead to transformative concepts. _x000D_
_x000D_
3. The proposal does not describe any preliminary work done in proving lower bounds for memory._x000D_
_x000D_
_x000D_
In the context of the five review elements, please _x000D_
evaluate the strengths and weaknesses of the proposal with respect to broader impacts._x000D_
_x000D_
Strengths:_x000D_
The PI has proposed to interact with K-12 outreach program at Princeton. He is co-advising undergraduates._x000D_
_x000D_
The project has potential to impact not just the theory of streaming algorithms but also the area of robotics._x000D_
_x000D_
Please evaluate the strengths and _x000D_
weaknesses of the proposal with respect to any additional solicitation-specific review criteria, if _x000D_
applicable_x000D_
_x000D_
_x000D_
_x000D_
Summary Statement_x000D_
_x000D_
This is a good cross-disciplinary proposal._x000D_
_x000D_
</t>
  </si>
  <si>
    <t>PW0906523</t>
  </si>
  <si>
    <t>Kress-Gazit</t>
  </si>
  <si>
    <t>hadaskg@cornell.edu</t>
  </si>
  <si>
    <t xml:space="preserve">In the context of the five review elements, please _x000D_
evaluate the strengths and weaknesses of the proposal with respect to intellectual merit._x000D_
_x000D_
A brief statement of what the proposal is about:_x000D_
This proposal aims to develop theory and algorithms that reason about memory resources needed by a robot to perform different perceptual tasks. The theory includes finding lower bounds on memory requirements for a task, through reductions from streaming algorithms with known memory lower bounds and communication complexity, and reasoning about memory bounds for robotics tasks that are "active", that is the stream of information is influenced by the actions of the robot. The algorithms developed will be in the context of perceptual tasks for a micro aerial vehicle and will be demonstrated in simulation and in hardware.  _x000D_
_x000D_
--Strengths:_x000D_
This is an ambitious proposal that looks at memory requirements for different robotics perceptual task and thus will pave the way for defining, in a principled way, the (minimal) representations needed by a robot for a task.  _x000D_
This project is well thought out. Focusing on a few tasks, the PI will develop a general theory and specific algorithms, and will demonstrate the results in simulation and hardware. _x000D_
The insight connecting robotic tasks and the required (minimal) representation with streaming algorithms and communication complexity is interesting and will result in a fresh look at an important problem._x000D_
_x000D_
--Weaknesses:_x000D_
The proposal focuses on tasks that are extremely well studied in estimation theory and robotics (localization, SLAMà) but there is no mention of how the project fits into that landscape. Would the lower bounds inform the dimension of the state needed in the filter? Define the state representation?  Would the algorithms developed in this project replace filtering or will they leverage well known filtering techniques?_x000D_
The proposal mentions tasks multiple times but does not discuss the space of tasks, nor defines what a task is in this context. From the detailed aim description, it reads as if the approach is for perceptual tasks. It would have been good to see a paragraph describing how these approaches might, in the future, be used for other types of tasks that require more decision making._x000D_
_x000D_
_x000D_
In the context of the five review elements, please _x000D_
evaluate the strengths and weaknesses of the proposal with respect to broader impacts._x000D_
_x000D_
--Strengths:_x000D_
The question of appropriate representations of robot and environment state suitable for a task is not well understood. Any principled approach to construct such representations would have significant impact on robotics and CPS in general._x000D_
The K-12 outreach looks good._x000D_
_x000D_
--Weaknesses:_x000D_
Similar to what I wrote in the IM section, the connection to estimation theory and filtering is unclear therefore the risk here is that these results will not impact the way people think about representations. _x000D_
_x000D_
_x000D_
Adequacy of Data Management Plan:_x000D_
Open source code and data will be archived on Princeton's  github site with public access. PI has track record in releasing open source code. _x000D_
_x000D_
Adequacy of Postdoctoral Mentoring Plan (if applicable)_x000D_
N/A_x000D_
_x000D_
_x000D_
Please evaluate the strengths and _x000D_
weaknesses of the proposal with respect to any additional solicitation-specific review criteria, if _x000D_
applicable_x000D_
_x000D_
Is the research appropriate for the proposed duration?_x000D_
The research aims are very ambitious for one student for two years. If the PI focuses on one very specific task, for example the coverage problem, he and his student might be able to get to all three aims._x000D_
_x000D_
_x000D_
Does the project have potential to produce sufficient preliminary results to serve as the basis for future competitive research proposals?_x000D_
Yes. The goals and vision of the project are very ambitious and exciting but not substantiated yet. Showing concrete results for a specific robotic task, demonstrated on an actual hardware system, will make a follow on full proposal competitive. _x000D_
_x000D_
_x000D_
Are the activities necessary and critical steps for the PI to achieve research independence?_x000D_
The PI describes his overall vision and this project fits well with the initial steps toward realizing the vision.  _x000D_
_x000D_
_x000D_
Strength of Department Letter:_x000D_
Letter certifies the PI is eligible for the CRII program._x000D_
_x000D_
_x000D_
Summary Statement_x000D_
_x000D_
Justification of your rating, including a brief statement of the proposal's key strengths and/or critical weaknesses_x000D_
This proposal addresses the important and exciting problem of principled reasoning about appropriate representations for robot tasks. While some questions marks remain, especially the connection to the rich literature of estimation, this proposal may pave the way to a fresh look at this problem. _x000D_
_x000D_
_x000D_
</t>
  </si>
  <si>
    <t>PH1007107</t>
  </si>
  <si>
    <t>Kuindersma</t>
  </si>
  <si>
    <t>scottk@seas.harvard.edu</t>
  </si>
  <si>
    <t xml:space="preserve">In the context of the five review elements, please _x000D_
evaluate the strengths and weaknesses of the proposal with respect to intellectual merit._x000D_
_x000D_
The proposed work aims to harness and extend results from the streaming algorithms literature to derive new approaches for establishing memory requirements for robotics tasks. This work is motivated by robotics applications with constrained memory resources (e.g., small scale MAVs), where the system must maintain a parsimonious representation of the problem (i.e. a 'sketch') that is sufficient to achieve the task. In addition to developing new efficient algorithms for search and rescue tasks, the proposed work aims to use insights from communication complexity to develop a formal framework in which to rank the difficulty of robot tasks. _x000D_
_x000D_
--Strengths:_x000D_
_x000D_
- The proposed work is theoretically well-motivated, novel, and the PI has the right background to successfully carry it out. _x000D_
- The work would fit well into the PI's long-term research agenda. _x000D_
- If successful, this work would lead a new set of theoretical tools to compare and solve a broad set of robotics tasks. _x000D_
- The PI has ample resources available to carry out the proposed work. _x000D_
_x000D_
--Weaknesses:_x000D_
_x000D_
- The PI is proposing to cover a lot of ground in two years. For example, in the timeline year 0.5-1.5 will involve carrying out 3 research threads simultaneously. This may prove difficult given the limited size of the grant. _x000D_
- The experimental agenda is lacking in detail. What experiments will be done on the physical testbeds? Will the proposed algorithms allow more difficult/memory-intensive problems to be solved on these systems?_x000D_
_x000D_
_x000D_
In the context of the five review elements, please _x000D_
evaluate the strengths and weaknesses of the proposal with respect to broader impacts._x000D_
_x000D_
--Strengths:_x000D_
_x000D_
- This work would have implications for a wide variety of robotic and embedded systems. _x000D_
- The PI will make use of an existing K-12 outreach program at Princeton that introduces students to robotics concepts using LEGO Mindstorms kits. _x000D_
- Efforts will be made to include women and undergraduates in this research. _x000D_
_x000D_
--Weaknesses:_x000D_
_x000D_
- No significant weaknesses identified._x000D_
_x000D_
Please evaluate the strengths and _x000D_
weaknesses of the proposal with respect to any additional solicitation-specific review criteria, if _x000D_
applicable_x000D_
_x000D_
Is the research appropriate for the proposed duration?_x000D_
_x000D_
- The proposed research timeline is aggressive, but achievable._x000D_
_x000D_
_x000D_
Does the project have potential to produce sufficient preliminary results to serve as the basis for future competitive research proposals?_x000D_
_x000D_
Yes._x000D_
_x000D_
_x000D_
Are the activities necessary and critical steps for the PI to achieve research independence?_x000D_
_x000D_
Yes, this would constitute a new research thread for the PI that furthers his longer term agenda of establishing complexity statements for robotics problems and using these theoretical insights to inform algorithm design._x000D_
_x000D_
_x000D_
Strength of Department Letter_x000D_
_x000D_
The department letter is satisfactory._x000D_
_x000D_
Summary Statement_x000D_
_x000D_
The proposal is very well written and aims to break new theoretical ground by building on insights from communication complexity and streaming algorithms to understand the storage complexity of robotics tasks. If successful, this work could have impact on a wide variety of systems. The primary weaknesses of the proposal are the lack of detail in the experimental agenda (e.g., what specific tasks will be solved, hypotheses, evaluation methodology?) and a relatively ambitious research timeline. _x000D_
_x000D_
_x000D_
</t>
  </si>
  <si>
    <t>HH1007103</t>
  </si>
  <si>
    <t>Rathinam</t>
  </si>
  <si>
    <t>srathinam@tamu.edu</t>
  </si>
  <si>
    <t xml:space="preserve">In the context of the five review elements, please _x000D_
evaluate the strengths and weaknesses of the proposal with respect to intellectual merit._x000D_
_x000D_
The proposal is about developing fundamental tradeoffs between memory requirements and the amount of time required to accomplish robotics tasks. The work mainly wants to use the results from streaming algorithms theory to answer the fundamental questions._x000D_
_x000D_
--Strengths:_x000D_
The proposal is well written and the proposed approach is explained clearly._x000D_
_x000D_
--Weaknesses:_x000D_
The main drawback of this proposed work lies in the relation between the theoretical problem the PI wants to solve and the actual sensing problem a robot encounters in practice. In a practical application, a robot collects huge amount of data with errors\outliers and a lot of work has to be spent in extracting useful information from this data. Identifying landmarks and labelling them is not easy. The problem of representing this processed data may not directly reduce to the theoretical problem the PI wants to solve. The PI has to further choose a concrete example and a sensor and show how the data collection process reduces to the theoretical problem as proposed in the project._x000D_
_x000D_
Also, the order, O(.), of the computations of some of the algorithms is mentioned. It is important to note that this is a theoretical result and depends on the value of n. For example, even though there are polynomial time algorithms for solving linear programs, we still use implementations of simplex method (that are not polynomial time) in practice._x000D_
_x000D_
In the context of the five review elements, please _x000D_
evaluate the strengths and weaknesses of the proposal with respect to broader impacts._x000D_
_x000D_
--Strengths:_x000D_
The PI plans to involve middle school, high school and undergraduate students through several programs available in his school such as PEEK, PSURE etc. Women and under-represented students will also be involved in small robotic projects advised by the PI._x000D_
_x000D_
--Weaknesses:_x000D_
None._x000D_
_x000D_
Adequacy of Data Management Plan:_x000D_
The PI will publish all the code in github and will make it open source. The data management plan seems adequate._x000D_
_x000D_
Please evaluate the strengths and _x000D_
weaknesses of the proposal with respect to any additional solicitation-specific review criteria, if _x000D_
applicable_x000D_
_x000D_
Is the research appropriate for the proposed duration?_x000D_
Yes._x000D_
_x000D_
_x000D_
Does the project have potential to produce sufficient preliminary results to serve as the basis for future competitive research proposals?_x000D_
Yes._x000D_
_x000D_
Are the activities necessary and critical steps for the PI to achieve research independence?_x000D_
Yes._x000D_
_x000D_
_x000D_
Strength of Department Letter:_x000D_
The letter verifies the eligibility of the PI._x000D_
_x000D_
Summary Statement_x000D_
_x000D_
The proposal deals with tradeoffs between memory requirements and the completion time of the tasks. The theoretical aspects of the algorithms as such is interesting. It is not clear how the problems considered applies to robots in a practical setting._x000D_
_x000D_
</t>
  </si>
  <si>
    <t>What is the minimal representation a robot must create of its environment in order to achieve its task? Are there fundamental tradeoffs between how memory-efficient the representation is and how efficiently the robot can accomplish the task? Unfortunately, even a basic understanding of such fundamental questions concerning the memory requirements for robots is beyond our current grasp. The vast majority of strategies resort either to entirely reactive and memoryless approaches (e.g., reactive obstacle avoidance controllers) or memory-inefficient approaches that build and store accurate geometric representations (e.g., a map of the environment). Motivated by the need for micro aerial vehicles (MAVs) with highly rich perceptual inputs (e.g., vision or laser scans) to conduct long-duration search and rescue missions using limited computational resources, our goal is to develop principled and general techniques for establishing the memory resources required by a robot in order to perform its task. Specifically, this CRII project will investigate: (i) techniques for establishing lower bounds on memory requirements, and (ii) algorithms for creating memory-efficient and task-centric representations for robot tasks. Taken together, these results will form the necessary and critical steps for the PI to pursue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applications.The key insight of this project is to leverage and extend ideas from the theory of streaming algorithms and communication complexity. Originally developed by the theoretical computer science community, these areas have seen a recent explosion in interest due to their ability to elegantly handle and reason about massive data sets in applications such as machine learning, networking, and database search. We establish a connection between streaming problems and robot perception by viewing a robot's sensory inputs as constituting the data stream. This analogy allows us to leverage the powerful techniques for proving lower bounds on memory requirements and also the vast suite of memory-efficient algorithms from the streaming algorithms literature. While the streaming model provides an important starting point, it does not capture a robot's ability to actively influence the appearance of elements in the stream with its actions. We will extend the standard streaming model and also propose models based on communication complexity theory that provide the right abstractions for capturing the memory resources required for robot tasks. We will apply the resulting tools to MAVs with limited computation performing various tasks such as search, exploration, and navigation in search-and-rescue contexts. The proposed project thus brings together a diverse range of ideas in order to propose new models, prove new theorems, develop new algorithms, and enable new applications.This project aims to contribute to the fundamental science of memory-efficient representations for robotics. As such, our goals are well aligned with the NSF RI program's broader goals of enabling and understanding intelligent behavior that addresses progressively richer environments (e.g., large-scale environments such as cities), larger-scale data (e.g., high spatial and temporal resolution sensory inputs), more diverse computing platforms (e.g., lightweight platforms on MAVs), and more sophisticated computation approaches (e.g., streaming algorithms). Beyond robotics, we expect that our advances will be broadly applicable towards the control of large-scale cyberphysical systems (e.g., Smart Cities), where extremely rich sensory data makes memory a precious resource. This project also provides a natural avenue for outreach; specifically, we will partner with the Princeton Engineering Education for Kids program to organize outreach events for K-12 students where students design LEGO robots that perform basic versions of the tasks considered here. Further, the simulation and hardware implementation for this project will be largely driven through undergraduate research participation.</t>
  </si>
  <si>
    <t>1755471</t>
  </si>
  <si>
    <t>Tong</t>
  </si>
  <si>
    <t xml:space="preserve"> Panel Summary       
 Description: This proposal intends to study differential privacy together with smoothed complexity. Specifically, the main ideas are as follows: (1) Designing specific models of realistic noise for various applications, and then analyzing the smoothed complexity of various algorithms under these new noise models, (2) Noting that differential privacy adds artificial noise, but if there is already noise inherent in the system, then there is no need to add as much noise, which could result in better algorithms, (3) Using insights from smoothed complexity to create efficient algorithms which have differential privacy guarantees, especially for linear programming and similar problems._x000D_
_x000D_
_x000D_
Intellectual Merit:_x000D_
_x000D_
Strengths:_x000D_
+ The high-level directions in this proposal seem promising. Indeed it seems reasonable to use the already-existing noise to form differential privacy guarantees, and this would not be an easy result since the "already-present" noise can be of very different form than the noise usually added by differential-privacy algorithms. Using the insights from Linear Programming having good smoothed complexity in order to design differentially private LP-solvers is also worth a try. _x000D_
_x000D_
+ The problems being proposed are about right for the time-frame. _x000D_
_x000D_
Weaknesses_x000D_
_x000D_
- The PI does not give much detail about the specific problems they intend to study, their ideas on how to approach them, any preliminary work, or why this PI specifically is qualified to work on such problems. _x000D_
_x000D_
- One issue with using "existing noise" to form differential privacy guarantees is that then they will not be guarantees. What if the input turned out to be less noisy than expected? Then the differential privacy guarantees would no longer hold, which seems unacceptable. _x000D_
_x000D_
Broader Impact:_x000D_
_x000D_
The proposed research will be conducted with both undergraduate and graduate students, which will be exposed to the area of efficient algorithm design and solving privacy issues in our real world. The outcomes of this project could be incorporated into both undergraduate and graduate courses. The PI will host a workshop on the design of practical privacy-preserving mechanisms. _x000D_
_x000D_
Strengths:_x000D_
_x000D_
+ Graduate courses, privacy is a hot and useful field _x000D_
_x000D_
+ Graduate and undergraduate students _x000D_
_x000D_
+ More efficient differential privacy algorithms would certainly be useful _x000D_
_x000D_
+ Advising and training at a minority serving institution will enable outreach to under represented groups._x000D_
_x000D_
Weaknesses_x000D_
_x000D_
- It is difficult to tie results to specific broader impacts as there is insufficient detail about the type / form of research results that will be obtained._x000D_
_x000D_
Solicitation-specific criteria: CRII specific criteria are not addressed directly._x000D_
_x000D_
Data Management Plan: Adequate._x000D_
_x000D_
Suggestions to PI: There is insufficient detail on the methods of attack for the work.  While we found the proposal interesting there is not enough supporting publications or enough intuition on how the problems will be attacked._x000D_
_x000D_
Justification for Panel Rating:  An interesting high level idea but insufficient prior work on this topic and insufficient details about what type of results will be obtained._x000D_
_x000D_
Panel Rating:_x000D_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</si>
  <si>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(LC) for proposal with low review scores_x000D_
_x000D_
CRII: AF: Practical Privacy-preserving Mechanisms under Differential Privacy and Smoothed Analysis_x000D_
_x000D_
L: 1755471 Tong, Weitian Ga. Southern Univ. R&amp;S Fdn $  162,689_x000D_
_x000D_
_x000D_
P180209 LC AF CAREER/CRII Panel B (12 panelists),_x000B_  on 11/21/2017, recommended as Low Competitive (G,G/F,F)_x000D_
Std competition rank 5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</si>
  <si>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intends to study differential privacy together with smoothed complexity. Specifically, the main ideas are as follows: (1) Designing specific models of realistic noise for various applications, and then analyzing the smoothed complexity of various algorithms under these new noise models, (2) Noting that differential privacy adds artificial noise, but if there is already noise inherent in the system, then there is no need to add as much noise, which could result in better algorithms, (3) Using insights from smooth complexity to create efficient algorithms which have differential privacy guarantees, especially for linear programming and similar problems._x000D_
_x000D_
Strengths:_x000D_
_x000D_
+ The high-level directions in this proposal seem promising. Indeed it seems reasonable to use the already-existing noise to form differential privacy guarantees, and this would not be an easy result since the "already-present" noise can be of very different form than the noise usually added by differential-privacy algorithms. Using the insights from Linear Programming having good smoothed complexity in order to design differentially private LP-solvers is also worth a try._x000D_
_x000D_
+ The problems being proposed are about right for the timeframe._x000D_
_x000D_
Weaknesses:_x000D_
_x000D_
- One issue with using "existing noise" to form differential privacy guarantees is that then they will not be guarantees. What if the input turned out to be less noisy than expected? Then the differential privacy guarantees would no longer hold, which seems unacceptable._x000D_
_x000D_
- The PI does not give much detail about the specific problems they intend to study, their ideas on how to approach them, any preliminary work, or why this PI specifically is qualified to work on such problems._x000D_
_x000D_
_x000D_
_x000D_
In the context of the five review elements, please _x000D_
evaluate the strengths and weaknesses of the proposal with respect to broader impacts._x000D_
_x000D_
Strengths:_x000D_
_x000D_
+ Graduate courses, privacy is a hot and useful field_x000D_
_x000D_
+ Graduate and undergraduate students_x000D_
_x000D_
+ More efficient differential privacy algorithms would certainly be useful_x000D_
_x000D_
Please evaluate the strengths and _x000D_
weaknesses of the proposal with respect to any additional solicitation-specific review criteria, if _x000D_
applicable_x000D_
_x000D_
_x000D_
_x000D_
Summary Statement_x000D_
_x000D_
A proposal on an interesting topic with some nice ideas, but the PI does not give much detail about the specific problems they intend to study, their ideas on how to approach them, any preliminary work, or why this PI specifically is qualified to work on such problems._x000D_
_x000D_
_x000D_
</t>
  </si>
  <si>
    <t xml:space="preserve">In the context of the five review elements, please _x000D_
evaluate the strengths and weaknesses of the proposal with respect to intellectual merit._x000D_
_x000D_
This proposal aims to investigate the development of differential private algorithms under the  smoothed analysis model. This model assumes that the input instances are subject to certain random perturbations before the actual computation takes place --- this is reasonable as input instances usually subject to some random uncertainty of low magnitude, for example due to  measurement errors. This project will initiate the research of combining differential privacy and smoothed analysis, and try to design efficient privacy-preserving algorithms with acceptable service quality in a variety of applications._x000D_
_x000D_
The PI identifies four specific research directions:_x000D_
(i) depicting the natural noise of different data under the smoothed analysis model; _x000D_
(ii) utilizing the natural noise to avoid overprotecting query results, which in turn improves service utility; _x000D_
(iii) investigating big high-dimensional data and employing the smoothed analysis model to design computationally efficient algorithms while preserving consumers' privacy; _x000D_
(iv) applying the techniques to integer/linear programming and tensor decomposition, which are two powerful tools to model and solve_x000D_
plenty of problems in real application._x000D_
_x000D_
Both the specific directions identified by the PI and and the high level idea of the research  is very  interesting in principle. However, the PI does not have supporting prior work on this topic and does not provide sufficient details about what type of results (algorithms, theorems) he will aim to obtain. Some supporting prior work and/or  and a concrete plan of attack would make the proposal much more convincing._x000D_
_x000D_
In the context of the five review elements, please _x000D_
evaluate the strengths and weaknesses of the proposal with respect to broader impacts._x000D_
_x000D_
The proposed research will be conducted with both undergraduate and graduate students, which will be exposed to to the area of efficient algorithm design and solving privacy issues in our real world.  The outcomes of this project could be incorporated into both undergraduate and graduate courses.  The PI will host a workshop on the design of practical privacy-preserving mechanisms. _x000D_
_x000D_
_x000D_
Please evaluate the strengths and _x000D_
weaknesses of the proposal with respect to any additional solicitation-specific review criteria, if _x000D_
applicable_x000D_
_x000D_
_x000D_
_x000D_
Summary Statement_x000D_
_x000D_
This proposal aims to investigate the development of differential private algorithms under the  smoothed analysis model._x000D_
_x000D_
The proposed direction is very  interesting and timely. However, the PI does not have supporting prior work on this topic and does not provide sufficient details about what type of results (algorithms, theorems) he will aim to obtain._x000D_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</si>
  <si>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addresses interesting problems at the intersection of big data, algorithms and privacy.  The PI has identified three interesting questions that cross theory and practice and has outlined an ambitious research plan to address these issues._x000D_
_x000D_
2. To what extent do the proposed activities suggest and explore creative, original, or potentially transformative concepts?_x000D_
_x000D_
The three main thrusts of the proposal, describing input data noise, avoiding over protection, and designing computationally efficient algorithms under privacy guarantees are interesting and creative.  The second and third one, especially, have the potential to be transformative._x000D_
_x000D_
3. Is the plan for carrying out the proposed activities well-reasoned, well-organized, and based on a sound rationale? Does the plan incorporate a mechanism to assess success?_x000D_
_x000D_
The plan in Section 4 is well reasoned and the PI has established a reasonable plan.  The main issue that I see currently is that no datasets for Part 1 are clearly identified.  Additionally there is not a good explanation of the methods that will be potentially employed for each of the main areas suggested to study.  It would be good to understand the areas or data that would be used as it would help ground the work in the next sections.  the concern is that failure in part 1 will disconnect the work in parts 2 and 3 from real world application._x000D_
_x000D_
4. How well qualified is the individual, team, or institution to conduct the proposed activities?_x000D_
_x000D_
The PI is well qualified and has a track record of high quality publications in the fields for which the proposal is central to.  One concern is a lack of some kind of implementation or code sharing plan to ensure that the results are available to as many people as possible._x000D_
_x000D_
5. Are there adequate resources available to the PI (either at the home institution or through collaborations) to carry out the proposed activities?_x000D_
_x000D_
The PI has requested adequate resources to perform the tasks in the proposal.  The university has access to additional resources necessary to aid success._x000D_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questions in the proposal could have broad and transformative impact across a number of disciplines and real world applications.  Big data and privacy preserving algorithms may have wide application in bio-sciences and recommender systems to name a few areas.  Calling these areas out with particular datasets would strengthen the proposals._x000D_
_x000D_
2. To what extent do the proposed activities suggest and explore creative, original, or potentially transformative concepts?_x000D_
_x000D_
The ideas and research thrusts in the proposal are good and original.  the teaching plan include developing course materials for general use within the confines of the ideas outlined in the proposals -- this would be novel and help bring attention to the areas._x000D_
_x000D_
3. Is the plan for carrying out the proposed activities well-reasoned, well-organized, and based on a sound rationale? Does the plan incorporate a mechanism to assess success?_x000D_
_x000D_
The plan for broader impacts is well defined and has clear metrics for success._x000D_
_x000D_
4. How well qualified is the individual, team, or institution to conduct the proposed activities?_x000D_
_x000D_
In addition to the research the institution serves traditionally undeserved populations which puts the PI and the research program in a particularly strong position to have broad impact in education as well as the research application itself._x000D_
_x000D_
5. Are there adequate resources available to the PI (either at the home institution or through collaborations) to carry out the proposed activities?_x000D_
_x000D_
There are adequate resources available between the proposal and the university to address the broader impacts._x000D_
_x000D_
_x000D_
Please evaluate the strengths and _x000D_
weaknesses of the proposal with respect to any additional solicitation-specific review criteria, if _x000D_
applicable_x000D_
_x000D_
CRII specific issues are not directly addressed._x000D_
_x000D_
Summary Statement_x000D_
_x000D_
An interesting and well structured proposal that identifies good questions at the intersection of big data, privacy preserving analytics, and theoretical computer science / algorithms.  The proposal would be strengthened by calling out specific application areas and datasets but overall the questions are of high quality and well formulated with potential for broad impacts within CS and beyond._x000D_
_x000D_
_x000D_
</t>
  </si>
  <si>
    <t>The operation of emerging large-scale monitoring and control system, such as smart grid, intelligent transportation, and health care system, relies heavily on the growing volume of data continuously provided by and about the users. Usually, the original data contains sensitive information about the participants. How to mine these sensitive big data sets to deliver welfare enhancing goods to our society while avoiding the leakage of participants' privacy is becoming an urgent problem. Differential privacy is a framework for providing a strong privacy guarantee by injecting an appropriate amount of noise into data sets. However, it is reported to provide poor utility or service quality on numerical databases with possible missing values or error items. Besides, computationally efficient privacy-preserving algorithms haven't been proposed for many essential problems, such as linear programming, which is only known to be privately solvable. The PI will investigate the differential privacy under a realistic algorithm analysis and design model, the smoothed analysis model. The main idea of this model is to mimic the real-world instances by considering the natural noise of the input instance. This is reasonable as input instances usually subject to some random uncertainty of low magnitude, due to the measurement or computation imprecision. Smoothed analysis helps us to look deep into the problem and the insight gained from the results could inspire us with new ideas in algorithm design for real applications, which in turn could produce more practical algorithms. This project will initiate the research of combining differential privacy and smoothed analysis, and try to design efficient privacy-preserving algorithms with acceptable service quality in a variety of applications.This project aims at developing more computationally efficient and strong privacy-preserving algorithms or mechanisms by bringing differential privacy closer to reality. The project initiates the study of seamlessly integrating the smoothed analysis and differential privacy. The specific research thrusts include (i) depicting the natural noise of different data under the smoothed analysis model; (ii) utilizing the natural noise to avoid overprotecting query results, which in turn improves service utility; (iii) investigating big high-dimensional data and employing the smoothed analysis model to design computationally efficient algorithms while preserving consumers' privacy; (iv) applying the techniques to integer/linear programming and tensor decomposition, which are two powerful tools to model and solve plenty of problems in real application.The outcomes of this project can provide valuable materials and resources for the private data analysis society. In particular, the methods and ideas developed in this project have broad impacts on designing efficient privacy-preserving algorithms in private data analysis, and can even initiate a brand-new research field of privacy-preserving algorithms design. Besides, the solutions from this project will dramatically improve the usability of pervasive applications that adopt differential privacy as their protection criterion, which will stimulate the wide development and adoption of many other applications. The proposed research is also a starting point in the integration of research and education with the intent of attracting both undergraduate and graduate students to the area of efficient algorithm design and solving privacy issues in our real world. Both undergraduate and graduate students, especially the female and minority students, are encouraged to participate in the project to gain research experiences of algorithm design and privacy issues. Thus, the outcomes of this project can be incorporated into both undergraduate and graduate courses. Furthermore, practical benefits may be utilized by the general public since the practical algorithms are designed for the problems in our daily lives. The PI will host a workshop on the design of practical privacy-preserving mechanisms. The research results and education modules will be published in conferences, journals, and on the Internet.</t>
  </si>
  <si>
    <t>1755481</t>
  </si>
  <si>
    <t xml:space="preserve"> Panel Summary       
  SUMMARY OF PROPOSED RESEARCH ACTIVITY_x000D_
_x000D_
_x000D_
The PI proposes to develop efficient algorithms for computing maximum edge-weight cliques in a weighted graph. In particular, he plans to develop new branch-and-bound exact algorithms as well as heuristics. He plans to do implementation of the algorithm and compare with implementation with commercial solvers. He also proposes to evaluate them empirically on real data sets arising in molecular biology such protein-protein interaction and gene expression data. _x000D_
_x000D_
INTELLECTUAL MERIT_x000D_
Strengths_x000D_
Solving max clique and max-edge weighted clique problems are important problems in both theory and practice. Any new insights on these classes of problems will be a significant advance._x000D_
Weaknesses_x000D_
The proposal lacks originality and plans to implement are straightforward variations._x000D_
_x000D_
BROADER IMPACTS_x000D_
_x000D_
Strengths_x000D_
Development of new algorithms for clique problems can have significant impact in various applications including biological applications studied by the PI. Moreover, PI aims to train students at the university. _x000D_
_x000D_
Weaknesses_x000D_
_x000D_
The algorithms are simple extensions of previous work and will not have much broader impact._x000D_
 _x000D_
_x000D_
ADDITIONAL REMARKS_x000D_
_x000D_
Research plan:_x000D_
_x000D_
PI gives a detailed plan. _x000D_
_x000D_
_x000D_
Data Management Plan:_x000D_
Adequate._x000D_
_x000D_
Results of prior support:  _x000D_
None._x000D_
 _x000D_
_x000D_
Suggestions to PI: _x000D_
The max-clique problem is hard in practice as well as theory. PI could identify significantly new approaches from previous work that aim to attack the problem either theoretically or in practice. For example, if PI can identify the relevant graph structure for biological data in consideration, then PI can aim to develop algorithms (either in theory or practice) that aim to solve the problem for the graphs satisfying these identified property._x000D_
_x000D_
Justification for Panel Rating: _x000D_
_x000D_
The panel expected more novelty from the proposal._x000D_
_x000D_
_x000D_
Panel Rating: _x000D_
_x000D_
_ Highly Competitive_x000D_
_x000D_
_ Competitive_x000D_
_x000D_
_ Low Competitive_x000D_
_x000D_
X_ Not Competitive_x000D_
_x000D_
The summary was read by/to the panel and the panel concurred that the summary accurately reflects the panel discussion._x000D_
_x000D_
_x000D_
_x000D_
 _x000D_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</si>
  <si>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 AF: fast maximum edge-weight clique solvers and their applications_x000D_
_x000D_
L: 1755481 Wang, Kai Ga. Southern Univ. R&amp;S Fdn $  168,126_x000D_
_x000D_
_x000D_
P180207 NC AF CAREER/CRII Panel A (14 panelists),_x000B_  on 10/24/2017, recommended as Not Competitive (G/F,F,F,F)_x000D_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</si>
  <si>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PI proposes to develop efficient algorithms for computing maximum edge-weight cliques in a weighted graph. In particular, he plans to develop new branch-and-bound exact algorithms as well as heuristics. He also proposes to evaluate them empirically on real data sets arising in molecular biology such protein-protein interaction and gene expression data._x000D_
_x000D_
Although finding  edge-weighted cliques is a useful problem, the proposed research is unlikely to make theoretical advances on this problem, as this is not the goal of the proposal. There is much work on finding large cliques in biological data. The proposed work should be compared with those methods; there is hardly any discussion on this line of work._x000D_
_x000D_
The project plan section is terse and it's hard to evaluate the significance of the proposed work._x000D_
_x000D_
The PI has done some work in this area, so he is likely to make progress on the proposed research._x000D_
_x000D_
In the context of the five review elements, please _x000D_
evaluate the strengths and weaknesses of the proposal with respect to broader impacts._x000D_
_x000D_
The broader impact section of the proposal is adequate for a CRII proposal, though it mostly focuses on student training._x000D_
_x000D_
Please evaluate the strengths and _x000D_
weaknesses of the proposal with respect to any additional solicitation-specific review criteria, if _x000D_
applicable_x000D_
_x000D_
_x000D_
_x000D_
Summary Statement_x000D_
_x000D_
This is an applied proposal on computing maximum edge-weight cliques in a weighted graph.  The project plan section is short and vague and it's hard to evaluate the originality of the proposed research. Also, it's not clear whether CCF is the right division for this proposal._x000D_
_x000D_
</t>
  </si>
  <si>
    <t xml:space="preserve">In the context of the five review elements, please _x000D_
evaluate the strengths and weaknesses of the proposal with respect to intellectual merit._x000D_
_x000D_
The proposal studies a graph-theoretic problem: "Maximum Edge-Weight_x000D_
Clique Problems (MEWCP, and its variations) and their applications._x000D_
_x000D_
The step-by-step research plan is clear and the activities for_x000D_
each step is detailed. These are good._x000D_
_x000D_
The scope of the project is narrow. It seems that the first_x000D_
research goal "Design of Exact Algorithms" has been done already_x000D_
(which is pretty). The remaining parts of the project is_x000D_
to design heuristic algorithm and experimenting these algorithms_x000D_
on graphs from real world applications. The PI should specify_x000D_
detailed goals of the heuristic algorithm design stage. (Are there_x000D_
specific performance goals to be achieved? etc)_x000D_
_x000D_
The PI should also describe how this project fits into his_x000D_
long term research agenda._x000D_
_x000D_
In the context of the five review elements, please _x000D_
evaluate the strengths and weaknesses of the proposal with respect to broader impacts._x000D_
_x000D_
The PI mentioned that these problems have real world applications._x000D_
But the proposal didn't make a convincing case. In the section_x000D_
"Modeling of Real World Problems as MEWCP Problems", the PI discusses_x000D_
the metrics to be used and the graphs to be tested. It would be better_x000D_
to mention what a MEWC in these graphs represents in the applications._x000D_
_x000D_
The "Education Plan" details student training, specifically tied to_x000D_
the stages of project stages. It is better if PI also describes how such training and experience benefit students in terms of their long term career goals._x000D_
_x000D_
Please evaluate the strengths and _x000D_
weaknesses of the proposal with respect to any additional solicitation-specific review criteria, if _x000D_
applicable_x000D_
_x000D_
_x000D_
_x000D_
Summary Statement_x000D_
_x000D_
The project focuses on a group of related problems. The step-by-step_x000D_
research plan is specific and detailed. However, the scope of_x000D_
the project is narrow._x000D_
_x000D_
Broader Impacts is limited to student training (mostly associated with_x000D_
program development and experiment). The proposal will be stronger if_x000D_
the PI can demonstrate such activities will also enhance their research capability. It will be better if the PI also describes applications of MEWCP, and how it affects other fields in CS._x000D_
_x000D_
_x000D_
</t>
  </si>
  <si>
    <t xml:space="preserve">In the context of the five review elements, please _x000D_
evaluate the strengths and weaknesses of the proposal with respect to intellectual merit._x000D_
_x000D_
_x000D_
This proposal looks at the max edge-weighted clique problem.  Strong impossibility results for the max clique problem indicate there is little hope of an efficient algorithm for this generalization.  Instead, the PI proposes studying an exact inefficient algorithm and heuristics.  The proposed approach is fairly straight-forward, and so I don't expect these goals to be transformative.  Next, the PI suggests evaluating these algorithms on real-world data.  There is a description of the data, but no preliminary results suggesting these algorithms will make any headway on this data.  Also, while the PI claims that this problem is important in practice, and is proposing to test the algorithms on real data, I did not understand why the solutions are useful in the application domains.  What, in biology, corresponds to the max-edge-weighted clique problem?_x000D_
_x000D_
In the context of the five review elements, please _x000D_
evaluate the strengths and weaknesses of the proposal with respect to broader impacts._x000D_
_x000D_
The main broader impact of the proposal is to give students practical training.  By designing and implementing algorithms, and using existing solvers, the students will be better equipped to pursue successful careers in industry.  This is certainly a good broader impact.  I would have appreciated more discussion of how the PI would make sure to reach under-represented minorities in this effort._x000D_
_x000D_
Please evaluate the strengths and _x000D_
weaknesses of the proposal with respect to any additional solicitation-specific review criteria, if _x000D_
applicable_x000D_
_x000D_
_x000D_
_x000D_
Summary Statement_x000D_
_x000D_
The proposal is a good effort, but needs some work both motivating the research agenda and expanding it to include more transformative and innovative research ideas._x000D_
_x000D_
</t>
  </si>
  <si>
    <t xml:space="preserve">In the context of the five review elements, please _x000D_
evaluate the strengths and weaknesses of the proposal with respect to intellectual merit._x000D_
_x000D_
PI proposes to develop new methodologies for weighted clique problem by designing exact and heuristic algorithms and implementing on data from real world problems. _x000D_
The proposal lacks originality in the directions proposed and has potential of low impact even if successful._x000D_
_x000D_
PI should decide to focus on the theoretical algorithms or their impact on data from real work (biological data). The latter can benefit from developing algorithms that incorporate features of the data._x000D_
_x000D_
In the context of the five review elements, please _x000D_
evaluate the strengths and weaknesses of the proposal with respect to broader impacts._x000D_
_x000D_
PI aims to involve students in the research proposed._x000D_
_x000D_
Please evaluate the strengths and _x000D_
weaknesses of the proposal with respect to any additional solicitation-specific review criteria, if _x000D_
applicable_x000D_
_x000D_
_x000D_
_x000D_
Summary Statement_x000D_
_x000D_
The intellectual merit proposed is limited._x000D_
_x000D_
</t>
  </si>
  <si>
    <t>1755548</t>
  </si>
  <si>
    <t>Zhou</t>
  </si>
  <si>
    <t xml:space="preserve"> Panel Summary       
 Description: This proposal investigates two research directions in multi-armed bandit (MAB) problems: _x000D_
_x000D_
(1) Efficient MAB algorithms that are sensitive to data: Prior MAB algorithms have focused on proving near-optimal sample complexity for MAB problems (e.g., identifying the top arm) in terms of the quality gaps (difference between mean reward of the top arm and the other arms). This proposal wants to devise even more efficient algorithms that are sensitive to the variances of the rewards of the respective arms. _x000D_
(2) Design efficient algorithms for the Bayesian MAB problems: Prior work have proposed dynamic programming algorithms that take exponential time. This research proposes to design polynomial time algorithms. Further, it proposes _x000D_
deep reinforcement learning algorithms that can do well in practice. _x000D_
_x000D_
_x000D_
Intellectual Merit: _x000D_
Strengths_x000D_
  + The proposal has clear directions (especially the first direction) and is technically well-written. Both directions propose problems that are important and whose solutions will improve state of the art. _x000D_
+ The PI has done good prior research in this area and is capable of making progress to address the problems proposed. _x000D_
+ Multi-arm bandits is a crowded and challenging area and the panel appreciates the research proposed._x000D_
_x000D_
Weaknesses_x000D_
- The proposal can be written better, especially with regard to English. _x000D_
- The technical difficulty of the approaches proposed is not well-fleshed out. _x000D_
- The PI, somewhat surprisingly, does not talk about his recent ICML paper on MAB that looks very related. The concern is if there is  relation to the problems proposed in the first research direction._x000D_
_x000D_
Broader Impact: _x000D_
Strengths_x000D_
  + MAB problems are important with wide applications and any theoretical or practical improvements to existing algorithms will be very useful. _x000D_
 + The educational component is nicely laid out: it includes curriculum development, outreach events to high school students, co-organizing workshops (e.g., mid-west Theory Day) _x000D_
  + Outreach for high school students._x000D_
Weaknesses_x000D_
  - None._x000D_
  _x000D_
_x000D_
Solicitation-specific criteria: _x000D_
The proposal does not explicitly mention how this project will help in future career goals of the PI. _x000D_
_x000D_
Data Management Plan: _x000D_
Adequate._x000D_
_x000D_
Suggestions to PI: _x000D_
Please mention how this project will help in your future goals and career as it is part of the solicitation criteria. It will be  good to improve the writing._x000D_
_x000D_
Justification for Panel Rating:  This proposal addresses multi-arm bandit (MAB) problems, an important class of problems with wide applications. It addresses two research directions which are well-motivated and important. Progress made in addressing these will improve the state of the art in MAB literature. _x000D_
The proposal could have been written better._x000D_
The educational component is good. 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</si>
  <si>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goal of this proposal is to provide new data dependent guarantees and algorithms for multi-armed bandit (MAB) problems. The PI identifies two main research directions:_x000D_
_x000D_
(1) Novel data-dependent algorithms that enjoy better sample complexity on easy data. Past research on this topic was focused on  bandit algorithms that exploit quality gaps between arms. This proposal aims to design algorithms that are sensitive to and exploit the variances of the rewards of the respective arms. _x000D_
_x000D_
(2) Learning optimal Bayesian bandit policies from simulation data. Past research was focused on dynamic programming algorithms that take exponential time. This proposal aims design polynomial time algorithms. It also proposes using  deep reinforcement learning to provide more practical algorithms. _x000D_
_x000D_
The proposed work is very interesting and the PI outlines good possible approaches for attacking them. _x000D_
_x000D_
_x000D_
In the context of the five review elements, please _x000D_
evaluate the strengths and weaknesses of the proposal with respect to broader impacts._x000D_
_x000D_
_x000D_
The educational component is nicely laid out: it includes curriculum development, outreach events to high school students, co-organizing workshops (e.g., Mid-West Theory Day)_x000D_
_x000D_
_x000D_
Please evaluate the strengths and _x000D_
weaknesses of the proposal with respect to any additional solicitation-specific review criteria, if _x000D_
applicable_x000D_
_x000D_
_x000D_
_x000D_
Summary Statement_x000D_
_x000D_
_x000D_
This proposal aims to provide new data dependent results for multi-arm bandit problems, an important class of problems with wide range of applications. It is well written and interesting._x000D_
_x000D_
_x000D_
</t>
  </si>
  <si>
    <t xml:space="preserve">In the context of the five review elements, please _x000D_
evaluate the strengths and weaknesses of the proposal with respect to intellectual merit._x000D_
_x000D_
This proposal aims to develop MAB algorithms that are data dependent. It has two direction:_x000D_
1. Variance-sensitive MAB: The PI aims to develop algorithms with good sample complexity when the variances of the arms are small. The sample complexity now depends on the variance of arms. This can potentially allow an algorithm to  perform much better when the data are 'e-asy.'_x000D_
2. Develop polynomial-time approximate algorithms for Bayesian MAB and learn approximate policies from simulation data. The latter will adopt a Q-learning framework to design a practically efficient algorithm. _x000D_
_x000D_
+The two research directions are interesting. _x000D_
+The PI is qualified to carry out this research. (Publications in the area, preliminary results.)_x000D_
- The mid-term proposed research questions for the first direction could be quite technically challenging and the PI didn't provide enough information on how to tackle them. _x000D_
_x000D_
_x000D_
In the context of the five review elements, please _x000D_
evaluate the strengths and weaknesses of the proposal with respect to broader impacts._x000D_
_x000D_
+ Curriculum development, including a course on theoretical tools for optimization. _x000D_
+ Work with a high school student and will do more outreach to high school students.  _x000D_
+ Organize theory day_x000D_
_x000D_
_x000D_
Please evaluate the strengths and _x000D_
weaknesses of the proposal with respect to any additional solicitation-specific review criteria, if _x000D_
applicable_x000D_
_x000D_
_x000D_
_x000D_
Summary Statement_x000D_
_x000D_
A nice proposal with interesting research directions. _x000D_
_x000D_
_x000D_
</t>
  </si>
  <si>
    <t xml:space="preserve">In the context of the five review elements, please _x000D_
evaluate the strengths and weaknesses of the proposal with respect to intellectual merit._x000D_
_x000D_
This proposal investigates two research directions in multi-armed bandit (MAB) problems:_x000D_
_x000D_
(1) Efficient MAB algorithms that are sensitive to data: Prior MAB algorithms have focused on proving near-optimal sample complexity for MAB problems (e.g., identifying the top arm) in terms of the quality gaps (difference between mean reward of the top arm and the other arms). This proposal wants to devise even more efficient algorithms that are sensitive to the variances of the rewards of the respective arms. _x000D_
_x000D_
(2)  Design efficient algorithms for the Bayesian MAB problems:  Prior work have proposed dynamic programming algorithms that take exponential time. This research proposes to design polynomial time algorithms. Further, it proposes_x000D_
deep reinforcement learning algorithms that can do well in practice._x000D_
_x000D_
Strengths:_x000D_
_x000D_
1.	The proposal has clear directions and technically well-written. Especially, the first research direction of finding variance-sensitive algorithms is well-explained with short-term and mid-term goals, each with concrete open problems and possible approaches to tackle them. They look credible and reasonable. Both directions propose problems that are important  and whose solutions will improve state of the art._x000D_
In particular, having algorithms that are variance sensitive can improve over prior MAB algorithms that only look at quality gaps (when the variances are small)._x000D_
_x000D_
2.	The PI has done prior research in this area and is capable of making good progress to address the problems proposed._x000D_
_x000D_
Weaknesses:_x000D_
1.  The technical difficulty of the approaches proposed is not clear, or at least not well-fleshed out.      For example, Section 2.1 describes a fairly-straightforward variance-sensitive algorithm for solving the 2-arm case. Proving this is stated as conjecture. What is the difficulty in this? What is the difficulty in extending this to the multi-arm case? What are the difficulties in proving lower bounds? Lower bounds proposed look essentially tight and seem hard to show. It might be good to elaborate a bit more on this. Also the novelty of turning a DP algorithm into a PTAS is not clear. Why is this difficult?_x000D_
_x000D_
2.	The PI, somewhat surprisingly, does not talk about his recent ICML paper on MAB that looks very related. _x000D_
_x000D_
3.	The proposal at some places is slightly hard to read, can do better with English grammar._x000D_
_x000D_
_x000D_
_x000D_
In the context of the five review elements, please _x000D_
evaluate the strengths and weaknesses of the proposal with respect to broader impacts._x000D_
_x000D_
Strengths:_x000D_
_x000D_
1.	MAB problems are important with wide applications and any theoretical or practical improvements to existing algorithms will be very useful._x000D_
2.	The educational plan is good._x000D_
_x000D_
Weaknesses: _x000D_
_x000D_
None._x000D_
_x000D_
_x000D_
Please evaluate the strengths and _x000D_
weaknesses of the proposal with respect to any additional solicitation-specific review criteria, if _x000D_
applicable_x000D_
_x000D_
The proposal does not mention how this project will help in future career goals of the PI._x000D_
_x000D_
Summary Statement_x000D_
_x000D_
This proposal addresses multi-arm bandit (MAB) problems, an important class of problems with wide applications. In particular, it addresses two research directions which are well-motivated and important. Progress made in addressing these will improve the state of the art in MAB literature._x000D_
_x000D_
</t>
  </si>
  <si>
    <t xml:space="preserve">In the context of the five review elements, please _x000D_
evaluate the strengths and weaknesses of the proposal with respect to intellectual merit._x000D_
_x000D_
It was very hard for me to evaluate this proposal, because I do not know enough about multi-armed bandits. From what I read, the proposal did not seem very strong, but I also have not read any of the other CRII proposals._x000D_
_x000D_
In the context of the five review elements, please _x000D_
evaluate the strengths and weaknesses of the proposal with respect to broader impacts._x000D_
_x000D_
This proposal has adequate broad impact._x000D_
_x000D_
Please evaluate the strengths and _x000D_
weaknesses of the proposal with respect to any additional solicitation-specific review criteria, if _x000D_
applicable_x000D_
_x000D_
_x000D_
_x000D_
Summary Statement_x000D_
_x000D_
I will wait to see other reviews before I make up my mind about this proposal._x000D_
_x000D_
</t>
  </si>
  <si>
    <t>Multi-armed bandit (MAB) problems are most basic instances of decision making with limited information and address the fundamental trade-off between exploration and exploitation in sequential experiments which abstracts many practical settings. Bandit problems find wide applications in clinical trials, online advertisement, recommendation systems, routing, optimization, reinforcement learning, and many more._x000D_
_x000D_
The goal of this proposed research is to initiate a principled study of data oriented multi-arm bandit algorithms to advance both bandit theory and practice. To this end, in the proposal we outline two novel directions with concrete research questions for the first two years supported by this grant._x000D_
_x000D_
1.Novel data-dependent algorithms. The paradigm of data-dependent algorithms for MAB originates from the idea ``to learn faster from easy data''. While the overwhelming majority of past research studied bandit algorithms those are dependent on quality gaps, we propose to design novel MAB algorithms to explore more characteristics of data and improve sample complexity using this information. More concretely, we propose the notion of variance-sensitive bandit algorithms, and to develop such algorithms those are practically efficient with theoretical guarantee._x000D_
_x000D_
2. Learning optimal Bayesian bandit policies from simulation data._x000D_
While only exponential-time dynamic programming algorithms are known for the optimal Bayesian bandit policies, we propose to design algorithms to arbitrarily well approximate the optimal policy in polynomial time. To make our theoretical algorithm practically effective, we also propose to leverage the recent advances in deep reinforcement learning and design a neural network-based algorithm to learn the almost optimal policy from simulation data.Our proposal to study variance-sensitive bandit algorithms will not only enrich the popular concept of data-dependent algorithms, but also develop technical tools to address new exploration versus exploitation challenges, extend the bandit theory, and benefit the practice of related fields such as simulation optimization._x000D_
_x000D_
Our proposed method for the Bayesian bandit problems will be the first in literature that leads to polynomial-time algorithms with arbitrarily good approximation guarantee. Our proposed learning-from-simulation-data algorithm will also novelly bridge theoretical algorithms and empirically powerful deep reinforcement learning techniques.The proposed research directions address the MAB problems with a wide range of objectives. Any improvement we would make towards these directions could have immediate impacts in application areas where bandit algorithms are already in use (e.g. clinical trials, simulation optimization, and many more mentioned at the very beginning of this proposal)._x000D_
_x000D_
Our planned research lies at the intersection of theoretical computer science, machine learning, and operations research.  This proposal includes a plan on disseminating our research results to the broader community, as well as promoting education and outreach activities on computational theory, stochastic optimization and decision science.</t>
  </si>
  <si>
    <t>1755619</t>
  </si>
  <si>
    <t xml:space="preserve"> Panel Summary       
 Description: Market equilibrium computation is one of the classic computational questions from Economics. It is useful for understanding market outcomes, but is also useful as a subroutine for non-market settings, such as for fair division of goods. Using convex programming and similar techniques, market equilibrium is known to be poly-time computable for many important settings. The main goal of this proposal is, however, to form *strongly* poly-time algorithms for market settings which would only depend on the number of participants and the number of goods; this is a very long-standing open question. In particular, the PI wants to develop strongly polynomial algorithms for linear exchange markets, and for Fisher markets with utility and earning caps._x000D_
_x000D_
_x000D_
Intellectual Merit:_x000D_
_x000D_
Strengths_x000D_
+ Forming strongly-polynomial time algorithms for market equilibrium computation is a worthwhile goal, and in fact is a long-standing open question. Such efficient algorithms would be useful in many settings. While the questions themselves are not extremely novel, the approaches proposed for solving them are novel._x000D_
_x000D_
+ The PI is very well-qualified. For example, the PI was one of the people who formed the currently most efficient algorithm for computing market equilibrium for Linear Exchange Markets. The PI has a large amount of preliminary work in the area, published in top venues. Moreover, the PI is collaborating with other experts in the area._x000D_
_x000D_
+ The PI proposes detailed and well-considered plans for how to tackle these important problems; it is likely that even if these plans do not work out, some very nice insights would be obtained. This also makes it likely that many of these questions will be resolved by the PI in a relatively short time-frame, as is appropriate for this type of proposal._x000D_
_x000D_
+ If the PI is able to form strongly-polynomial algorithms for computing market equilibrium, this could be potentially transformative for market equilibrium research, as it would solve a long-standing open problem._x000D_
_x000D_
_x000D_
Weaknesses_x000D_
-	none  _x000D_
_x000D_
Broader Impact:_x000D_
_x000D_
Strengths_x000D_
+ The problems studied have broad impact in multiple areas including economics, networking, algorithms etc. _x000D_
_x000D_
+ Several PhD students (one female) and undergrads will contribute to this project. The PI has a long record of mentoring undergrads. _x000D_
_x000D_
+ The PI has won awards for teaching, and will design courses related to this project. The support will positively influence development of curriculum at UIUC._x000D_
_x000D_
+ The PI plans to organize tutorials for a more general theory audience._x000D_
  _x000D_
Weaknesses_x000D_
- The educational and outreach plan is relatively standard._x000D_
_x000D_
Solicitation-specific criteria: The PI has already done some amazing work in market equilibrium computation. If the PI is able to obtain new results on efficient algorithms for general market equilibrium problems, this will form a great foundation for their future research career, and would make them extremely competitive in their field. Obtaining such results due to this proposal being funded would mark the PI as one of the absolute top in their subfield._x000D_
_x000D_
Data Management Plan: adequate_x000D_
_x000D_
What is bold, exciting, high risk/reward, or potentially transformative? Forming strongly poly-time algorithms for exchange markets is exciting and high-risk high-reward, as this is a long-standing open question and would yield great insights into market equilibrium. That said, the PI is definitely the correct person to tackle this question._x000D_
_x000D_
Suggestions to PI: Perhaps talk more about the potential impact this work would have on other areas of research._x000D_
_x000D_
Justification for Panel Rating:  The panel was positive and enthusiastic about this proposal. The PI is proposing to work on important and useful open problems. The PI is very qualified, and has a nice plan on how to approach these problems. This work is likely to lead to a nice research program, and the PI is working with a female graduate student who will be supported by this award._x000D_
_x000D_
Panel Rating:_x000D_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</si>
  <si>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Market equilibrium computation is one of the classic computational questions from Economics. It is useful for understanding market outcomes, but is also useful as a subroutine for non-market settings, such as for fair division of goods. Using convex programming and similar techniques, market equilibrium is known to be poly-time computable for many important settings. The main goal of this proposal is, however, to form *strongly* poly-time algorithms for market settings which would only depend on the number of participants and the number of goods; this is a very long-standing open question._x000D_
_x000D_
Strengths:_x000D_
_x000D_
+ Forming strongly-polynomial time algorithms for market equilibrium computation is a worthwhile goal, and in fact is a long-standing open question. Such efficient algorithms would be useful in many settings._x000D_
_x000D_
+ Forming such an efficient algorithm for linear-exchange markets would be impressive. The PI is well-qualified (they formed the currently best algorithm for this problem). The PI proposes a relatively concrete plan for how to tackle this important problem; it is likely that even if this plan does not work out, some very nice insights would be obtained._x000D_
_x000D_
+ Strongly poly-time algorithms are already known for Fisher markets, but the PI will consider important generalizations._x000D_
_x000D_
+ The PI has extremely detailed and well-considered plans on how to tackle each research direction. This makes it possible (although certainly not guaranteed) that many of these questions will be solved in a relatively short time-frame._x000D_
_x000D_
In the context of the five review elements, please _x000D_
evaluate the strengths and weaknesses of the proposal with respect to broader impacts._x000D_
_x000D_
Strengths:_x000D_
_x000D_
+ This work may have impact in more general Optimization and Economics._x000D_
_x000D_
+ PhD students (female) and undergrads will contribute to this project. The PI has a long record of mentoring undergrads._x000D_
_x000D_
+ The PI has won awards for teaching, and will design courses related to this project_x000D_
_x000D_
Please evaluate the strengths and _x000D_
weaknesses of the proposal with respect to any additional solicitation-specific review criteria, if _x000D_
applicable_x000D_
_x000D_
_x000D_
_x000D_
Summary Statement_x000D_
_x000D_
A qualified PI, working on important and useful open problems, with concrete plans for how to tackle them, and likely to lead to a nice research program._x000D_
_x000D_
_x000D_
</t>
  </si>
  <si>
    <t xml:space="preserve">In the context of the five review elements, please _x000D_
evaluate the strengths and weaknesses of the proposal with respect to intellectual merit._x000D_
_x000D_
This proposal aims to investigate the possibility of designing strongly polynomial time algorithms for several market equilibrium problems. This is an important topic in algorithmic game theory.   Market equilibrium is known to be poly-time computable for many important settings (via convex programming). The main goal of this proposal is to provide strongly poly-time algorithms for market settings which would only depend on the number of participants and the number of goods. Strongly poly-time algorithms are already known for certain types of markets (Fisher markets), but the PI will consider important generalizations of these markets as well as other types of markets, e.g., linear exchange markets. The PI provides a reasonably detailed plan to attack these specific questions. _x000D_
_x000D_
_x000D_
Pros_x000D_
The proposed research is interesting. _x000D_
The PI is highly qualified to perform the proposed research._x000D_
_x000D_
Cons_x000D_
The PI does say that this work will likely develop new algorithmic techniques to break the barrier of obtaining strongly polynomial algorithms for a number of classical network flow problems and that it will have significant positive impact on the applications of both markets and network flows such as scheduling, auctions, mechanism design, cloud computing, transportation, etc. It would have been good to see more details in these directions._x000D_
_x000D_
In the context of the five review elements, please _x000D_
evaluate the strengths and weaknesses of the proposal with respect to broader impacts._x000D_
_x000D_
The broader impact component is short and contains standard parts: (1) potential impact in multiple areas including economics, networking, algorithms etc; (2) PI has mentored students and has been teaching courses in algorithmic game theory_x000D_
_x000D_
Please evaluate the strengths and _x000D_
weaknesses of the proposal with respect to any additional solicitation-specific review criteria, if _x000D_
applicable_x000D_
_x000D_
_x000D_
_x000D_
Summary Statement_x000D_
_x000D_
This proposal aims to investigate the possibility of designing strongly polynomial time algorithms for several market equilibrium problems. _x000D_
A good proposal on an interesting topic._x000D_
_x000D_
</t>
  </si>
  <si>
    <t xml:space="preserve">In the context of the five review elements, please _x000D_
evaluate the strengths and weaknesses of the proposal with respect to intellectual merit._x000D_
_x000D_
The PI has identified important open problems in the area. These problems are fundamental for various resource allocation problems._x000D_
Specifically, PI wants to develop strongly polynomial algorithm for linear exchange markets. He also considers generalization of these markets when there are utility caps._x000D_
He has also identified various approaches based on network-flows that may solve these problems._x000D_
_x000D_
THe PI has made many important contributions to the_x000D_
area and is uniquely qualified to work on these important problems._x000D_
He is collaborating with other experts in the area (such as Laszlo Vegh) increasing the chances of success._x000D_
_x000D_
The proposal is very thorough and is very well-written._x000D_
_x000D_
_x000D_
_x000D_
In the context of the five review elements, please _x000D_
evaluate the strengths and weaknesses of the proposal with respect to broader impacts._x000D_
_x000D_
The problems have broad impact in multiple areas including economics, networking, algorithms etc._x000D_
_x000D_
The PI teaches courses in algorithmic game theory and the support will positively influence development of curriculum at UIUC._x000D_
_x000D_
The PI has identified a female Ph.D. student to work on this topic._x000D_
_x000D_
_x000D_
Please evaluate the strengths and _x000D_
weaknesses of the proposal with respect to any additional solicitation-specific review criteria, if _x000D_
applicable_x000D_
_x000D_
_x000D_
_x000D_
Summary Statement_x000D_
_x000D_
The proposal is outstanding with broad impact to the community of algorithms, economics and game theory._x000D_
_x000D_
</t>
  </si>
  <si>
    <t>Market equilibrium is a central solution concept in economics with applications in a variety of domains. Exchange and Fisher are the two most fundamental and extensively studied market models, for which many novel algorithmic techniques have been developed. Due to their connections with network flows, some of these algorithms also led to breakthrough results on the flow problems. Recent work on fair division of scarce resources crucially uses various extensions of the Fisher model for which connections with flow problems have been obtained. We propose to study these markets and the corresponding network flow problems for which designing strongly polynomial algorithms remain important open questions. In particular, the main thrusts of the proposed work are:_x000D_
_x000D_
- Obtain a strongly polynomial algorithm for the linear exchange markets which reduce to a class of convex non-separable minimum cost flow problems. This is a long-standing open question in equilibrium computation._x000D_
- Models relevant for recent applications are the linear Fisher markets with utility and/or earning caps. For these, equilibrium computation reduces to either concave generalized flow or convex separable minimum cost flow problems. The objective is to obtain strongly polynomial algorithms for these._x000D_
- Obtain a constant-factor approximation algorithm for allocating indivisible items to agents that maximize the Nash social welfare when agents are asymmetric and have additive valuations. A relaxation of this problem is closely related to linear Fisher markets.The proposed problems are of fundamental importance in algorithmic game theory, network flows, and fair division. The first objective, in fact, aims to settle a long-standing open problem. New algorithmic techniques/tools and structural insights need to be developed to solve them, which could further lead to significant insights into designing strongly polynomial time algorithms for concave generalized flows, minimum cost generalized flows, and certain special cases of linear programming, all of which have defied efforts for many decades.The impact of the proposed work is two fold: firstly it will give provably fast algorithms for important market models with applications to fair division, and secondly, it will develop new algorithmic techniques to break the barrier of obtaining strongly polynomial algorithms for a number of classical network flow problems. Additionally, it will have significant positive impact on the applications of both markets and network flows such as scheduling, auctions, mechanism design, cloud computing, transportation, etc._x000D_
_x000D_
The PI and co-authors plan to disseminate the results through conferences, workshops, and tutorials. The PI plans to engage two PhD students, one full-time and one half-time, and also an undergraduate student on this project to get the designed algorithms implemented and tested for their practical efficiency. The new algorithmic techniques developed in this project will be incorporated into a graduate course on Games and Markets that the PI teaches. All the educational and implementation material will be made freely available online.</t>
  </si>
  <si>
    <t>1755702</t>
  </si>
  <si>
    <t>Charkhgard</t>
  </si>
  <si>
    <t xml:space="preserve"> Panel Summary       
 SUMMARY OF PROPOSED RESEARCH ACTIVITY_x000D_
_x000D_
Description:_x000D_
_x000D_
The PI studies multi-objective and multiplicative optimization. He notes that there is little theory and few practical tools dealing with these problems. Fast and accurate tools for these problems based on theory might help them become more widely used in practice. _x000D_
_x000D_
The PI will develop this theory, studying when multiple objectives can be combined and when the polytope can be cut._x000D_
_x000D_
INTELLECTUAL MERIT_x000D_
_x000D_
Strengths_x000D_
_x000D_
+ The proposal discusses reasonably interesting problems._x000D_
+ There is a well-explained approach._x000D_
+ The idea to use multi-objective optimization for multiplicative objective optimization is creative._x000D_
+ The PI genuinely cares about links to practice._x000D_
_x000D_
Weaknesses_x000D_
_x000D_
- The property of being universally co-ideal seems to be very strong. It would thus be useful to have a discussion of what problems in practice give rise to objectives having this property._x000D_
- It would be more convincing if the PI included additional approaches, rather than relying so heavily on the concept of universally co-ideal.  _x000D_
- The PI could include an indication of the long-term potential/future research directions enabled by this proposal._x000D_
- The PI should be more ambitious in the research goals. _x000D_
_x000D_
BROADER IMPACTS_x000D_
_x000D_
Strengths_x000D_
_x000D_
+ The PI mentions mentoring, curriculum development, and dissemination plans._x000D_
+ The PI indicates the problems have connections to industry._x000D_
_x000D_
Weaknesses_x000D_
_x000D_
- The PI could make connections to industries to help transfer the technologies developed in this proposal._x000D_
- The PI could mention more explicit ideas around any one of the indicated broader impacts, and/or suggest other broader impacts like public outreach or diversity efforts._x000D_
_x000D_
ADDITIONAL REMARKS_x000D_
_x000D_
Research plan: _x000D_
_x000D_
* The research plan has two streams, both of which seem tractable._x000D_
_x000D_
Data Management Plan: _x000D_
_x000D_
* There is an adequate data management plan._x000D_
_x000D_
Justification for Panel Rating: _x000D_
_x000D_
* The PI demonstrates the ability to set up a research agenda by clearly defining an area and questions in that area.  However, the PI should be more ambitious and have a larger diversity of problems and approaches. _x000D_
_x000D_
Panel Rating: _x000D_
_x000D_
_ Highly Competitive_x000D_
_ Competitive_x000D_
X Low Competitive_x000D_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</si>
  <si>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(LC) for proposal with low review scores_x000D_
_x000D_
CRII: AF: Theory and Algorithms for Two Classes of Optimization Problems: Multi-objective Binary Linear Programs and Single-objective Maximum Multiplicative Programs_x000D_
_x000D_
L: 1755702 Charkhgard, Hadi U of South Florida $  172,682_x000D_
_x000D_
_x000D_
P180207 LC AF CAREER/CRII Panel A (14 panelists),_x000B_  on 10/24/2017, recommended as Low Competitive (G,G,G)_x000D_
Std competition rank 4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</si>
  <si>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studies multi-objective and multiplicative optimization.  _x000D_
_x000D_
The PI notes that many optimization problems involve tradeoffs between various objectives, and the optimizer may wish to find the Pareto frontier in order to contemplate these tradeoffs.  Off-the-shelf optimization tools are quite effective at single-objective optimization, but have little to offer in the way of multi-objective optimization.  The PI proposes some techniques for the multi-objective case, including looking for universally co-ideal objectives and valid inequalities.  _x000D_
_x000D_
The PI then suggests extending these techniques to solve multiplicative objectives such as those used in economic applications.  As the variables in these problems are all positive, existing solutions solve them via linear programming by maximizing the log of the objective.  The PI claims in numerical simulations, his techniques outperform this approach with 2 variables.  He proposes to extend it to multiple variables._x000D_
_x000D_
The proposed research seems tractable, and the PI has the expertise to solve the problems he poses.  _x000D_
_x000D_
I was not entirely convinced of the intellectual merit of multi-objective optimization.  I would have appreciated a convincing case of where quickly solving multi-objective optimization is crucial to an application.  There is a bulleted list of potential applications, but picking one of these and delving into the details would have been instructive.  It  also seems that one can trace out a Pareto frontier by optimizing different weighted sums of the objectives; I wonder how the proposed solutions compare to that.  _x000D_
_x000D_
As for the multiplicative objective, I would have liked to hear more about the speedup over the sum-of-logs solution, as well as a discussion of how that might scale to p&gt;2.  Seems like both solutions would be very fast for p=2._x000D_
_x000D_
In the context of the five review elements, please _x000D_
evaluate the strengths and weaknesses of the proposal with respect to broader impacts._x000D_
_x000D_
The broader impacts include student mentoring, curriculum development, and dissemination via publication at journals/conferences.  There is not much or creativity detail here._x000D_
_x000D_
Please evaluate the strengths and _x000D_
weaknesses of the proposal with respect to any additional solicitation-specific review criteria, if _x000D_
applicable_x000D_
_x000D_
None._x000D_
_x000D_
Summary Statement_x000D_
_x000D_
Okay to fund as a starter grant, but not a high priority._x000D_
_x000D_
</t>
  </si>
  <si>
    <t xml:space="preserve">In the context of the five review elements, please _x000D_
evaluate the strengths and weaknesses of the proposal with respect to intellectual merit._x000D_
_x000D_
This proposal focuses on the design of new algorithms for multi-objective linear optimization problems. Such problems arise in many real world scenario but there is lack of methods for solving them that would be as efficient methods as the methods we have for solving traditional, single-objective linear optimization problems, i.e., LPs._x000D_
_x000D_
The PI outlines two research directions:_x000D_
_x000D_
* A method for reducing the number of objectives whenever some subset of them satisfies a property of being universally co-ideal. Checking if given set of objectives is universally co-ideal is (weakly) NP-hard. However, the PI wants to investigate if working with an approximate version of this notion (that can be computed via approximate solving of certain knapsack instances) would still be useful. He also wants to use this notion to come up with a way for generating valid inequalities (for cutting planes algorithm). _x000D_
_x000D_
* Developing efficient algorithm for solving maximum multiplicative programs, which arise in a number of game theory contexts._x000D_
_x000D_
_x000D_
In general, this proposal touches on an important and broadly applicable topic. After all, multi-objective optimization is a very convenient tool (as long as it can be solved quickly). Also, the second research direction seems interesting and worth pursuing. _x000D_
_x000D_
The first research direction, however, could use more motivation. In particular, the property of being universally co-ideal seems pretty strong. Why do we expect interesting multi-objective optimization problems to have objectives that exhibit this property?  _x000D_
_x000D_
Also, the claim that "the ideas presented in this project are completely new and has never discussed in the literature" is somewhat hard to believe. (The sentence is not grammatical too.)_x000D_
_x000D_
In the context of the five review elements, please _x000D_
evaluate the strengths and weaknesses of the proposal with respect to broader impacts._x000D_
_x000D_
The broader impacts are fairly boilerplate. But the PI seems to be interested in having his theoretical ideas have practical impact too, which is definitely a plus._x000D_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</si>
  <si>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PI proposes two directions of research on multi-objective optimization problems. The first direction involves developing fast methods by reducing the objectives by finding dependencies in them. Also, the paper aims to find fast algorithms for generating valid inequalities.  _x000D_
_x000D_
The second direction involve solving a class of polynomial optimization problem using multi-objective linear programming. This class includes problems like computing market equilibrium and other related problems. The direction proposed in interesting. _x000D_
_x000D_
The proposal aims to make solid effort in developing new algorithmic methodologies of multi-objective problems relevant theoretically as well as practically._x000D_
_x000D_
For both parts of the proposal, the PI can be more ambitious in the questions being asked. The first part as stated is an incremental extension of the previous work by PI. PI should ask questions that go significantly beyond the work already done. _x000D_
_x000D_
Second part of the proposal is more interesting and asks questions that go well beyond the previous work of PI. The PI can build on this part and ask few more concrete questions to make the proposal stronger._x000D_
_x000D_
In the context of the five review elements, please _x000D_
evaluate the strengths and weaknesses of the proposal with respect to broader impacts._x000D_
_x000D_
PI aims to incorporate the findings in the curriculum. Due to wide applicability of multi-objective optimization problems, broader impact of the research work can be significantly more than he PI has aimed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proposal is interesting and original but not ambitious enough. The broader impact of the proposal as envisioned by the PI is narrow._x000D_
_x000D_
</t>
  </si>
  <si>
    <t>Multi-objective optimization has been experiencing a resurgence of interest in the last decade. This is due, in part, to the ever increasing adoption of optimization-based decision support tools in industry.  Since most real-world problems involve multiple, often conflicting, goals, the desire for multi-objective optimization decision support tools is not surprising. The development of effective, and relatively easy to use, evolutionary algorithms for multi-objective optimization is another contributing factor. Finally, the availability of cheap computing power has played a role._x000D_
In light of the above, this project has two main goals. The first one is motivated by the fact that the speed and power of existing commercial single-objective optimization solvers such as CPLEX or Gurobi are partly because of the significant theoretical and algorithmic advances on developing enhancement techniques during the last few decades. Unfortunately, this topic has received less attention in the field of multi-objective optimization. Consequently, since many engineering or management problems can be formulated as multi-objective binary linear programs, the first goal of this project is to develop theoretical and algorithmic foundations for some enhancement techniques, including reducing the number of objectives and generating valid inequalities, for this class of optimization problems. It is worth mentioning that the findings of this project may result in the development of new technologies that may be incorporated into commercial multi-objective optimization solvers in the future._x000D_
The second goal is to show that the impact of advances on multi-objective optimization techniques goes beyond the field of multi-objective optimization. In fact the attempt is to show that such advances may result in the development of more effective approaches for solving many single-objective optimization problems. In order to do so, this project seeks to show that how a well-known class of single-objective convex (nonlinear) optimization problems with a significant number of applications in game theory (and also statistical estimation and geometry), the so-called maximum multiplicative programs, can be solved by developing a multi-objective linear programming based algorithm in polynomial time. Since such an algorithm solves a maximum multiplicative program by just solving a number of single-objective linear programs, the findings of this project may result in the development of new technologies that is significantly faster than existing commercial (single-objective) convex programming solvers. Also, such an algorithm has potential to be embedded in a branch-and-bound algorithm to solve instances with integer decision variables. So, the enhancement techniques developed in the first part of the project can be customized and employed in the corresponding branch-and-bound algorithm.The ideas presented in this project are completely new and has never discussed in the literature. Consequently, the proposed work has potential not only to make significant theoretical and algorithmic contributions in the field of multi-objective binary linear programming but also it may result in the development of novel and more efficient approaches for solving maximum multiplicative programs. The PI has extensive experience in the field of multi-objective optimization, and has published several papers in highly-ranked journals about it. In fact the proposed research is based on two of the recent papers of the PI. Consequently, there are many initial theoretical and computational results supporting the proposed work. Finally, the PI has access to enough facilities to meet the necessary computing needs.Since most real-world problems involve multiple (often conflicting) goals, the proposed effort will have broader impact and applicability across many sectors, i.e., airline, transportation, healthcare, mining, finance, etc. Namely, improving the ability to solve multi-objective optimization problems will provide critical decision making support for these sectors, and the related prototype implementations will advance the state-of-the-art. Another clear benefit of the proposed effort is that it will result in the development of new technologies for solving maximum multiplicative programs. Another key saliency of the proposed research effort is that the results of the project can be readily incorporated into graduate courses in optimization. Finally, the effort will also contribute to student research training, and the related findings will be widely disseminated in leading research journals and conferences.</t>
  </si>
  <si>
    <t>1755791</t>
  </si>
  <si>
    <t>Goswami</t>
  </si>
  <si>
    <t xml:space="preserve"> Panel Summary       
  SUMMARY OF PROPOSED RESEARCH ACTIVITY_x000D_
_x000D_
Description :_x000D_
_x000D_
This proposal aims to develop the theory and applications of so-called "similarity filters", which were recently introduced in a SODA'17 paper by the PI with Pagh, Silvestri, and Sivertsen. These filters must return "true" ALWAYS if a query point is within distance r of a point in a corpus, and must return "false" whp if the point is further away than cr. This is a natural combination of Nearest Neighbor Search with Bloom Filters.  _x000D_
_x000D_
INTELLECTUAL MERIT_x000D_
_x000D_
Strengths_x000D_
_x000D_
+ The problem is important, and the suggested techniques (eg. vector signatures) are elegant and modular._x000D_
+ The panel commented favorably on the indexability problem._x000D_
+ If this effort is successful, these could prove incredibly useful in many data analysis tasks._x000D_
_x000D_
Weaknesses_x000D_
_x000D_
- There is a risk that the problems the PI is proposing are impossible to solve, specially the low query time_x000D_
_x000D_
BROADER IMPACTS_x000D_
_x000D_
Strengths_x000D_
_x000D_
+ Applications of similarity search are ubiquitous, and these data structures may potentially have practical significance, like LSH and Bloom filters._x000D_
+ The PI has developed a course in modern approximation algorithms and is now developing one on applications of hashing._x000D_
+ The PI works at a College with large fractions of minority and low-income students, and is currently mentoring a high school student in Bloom filters._x000D_
_x000D_
Weaknesses_x000D_
_x000D_
- None discussed _x000D_
_x000D_
CAREER SOLICITATION-SPECIFIC REMARKS:_x000D_
_x000D_
Letter of institutional commitment._x000D_
_x000D_
There is a strong letter of institutional commitment from Dr. Zhigang Xiang, Chair Department of Computer Science at Queens College, CUNY._x000D_
_x000D_
Integration of research and education:_x000D_
_x000D_
The PI has developed a course in modern approximation algorithms, and is developing one that will focus on hashing and related randomized algorithms. This suggests a strong integration in the research and education components. The PI already has two undergraduate students involved in this project. The PI is also mentoring a minority student from The Bronx High School of Science, who is doing a project Bloom filters and similarity filters. _x000D_
_x000D_
ADDITIONAL REMARKS_x000D_
_x000D_
Research plan: The length and funds requested are appropriate for this project._x000D_
_x000D_
Collaboration plan: The PI will collaborate with Rasmus Pagh, who has provided a letter. This is likely to be a productive collaboration, and beneficial for the proposed research._x000D_
_x000D_
Data Management Plan: The project does not include any private data, and all code, papers, and synthetic data will be made available on the project web-site. The project may also use existing publicly available data sets._x000D_
_x000D_
Results of prior support:  N/A_x000D_
_x000D_
 _x000D_
_x000D_
Suggestions to PI:_x000D_
_x000D_
The PI might consider developing the idea of indexability to a broader class of hashing techniques_x000D_
 _x000D_
_x000D_
Justification for Panel Rating:_x000D_
_x000D_
The panel found the distance similarity filter to be an important primitive, with many possible applications. The PI's previous work shows existence of these filters, and the new algorithmic problems are well motivated. The education program is well integrated with research._x000D_
_x000D_
Panel Rating:_x000D_
_x000D_
X Highly Competitive_x000D_
_x000D_
_ Competitive_x000D_
_x000D_
_ Low Competitive_x000D_
_x000D_
_ Not Competitive_x000D_
_x000D_
The summary was read by/to the panel and the panel concurred that the summary accurately reflects the panel discussion._x000D_
</t>
  </si>
  <si>
    <t>Abstr</t>
  </si>
  <si>
    <t>rshah</t>
  </si>
  <si>
    <t>Analysing and organising the massive amount of data collected everyday is one of the biggest challenges faced by computer scientists. This impacts almost every field of modern human life, such as health care, military applications, smart cities, transportation, networks, etc. To quickly analyse and organise such huge amounts of data, one needs to develop space and time efficient algorithms, that accelerate the search for information while minimising memory requirements. This project aims to develop space-efficient similarity filters, which quickly filter out queries that have very little similarity from the records existing in the database. This has applications in security, databases, machine learning, file systems, vision, pattern recognition, compression and networks. Apart from the targeted impact of these applications to society, this project also aims at producing the next generation of researchers and promoting under-represented groups in science and technology. Minority undergraduate and high school students will be involved in this project. Queens College, CUNY is a diverse institution, representing a wide range of ethnic minorities and has 28% Hispanic students. In an effort to engage more undergraduate students and women in research (Queens College has roughly 56% female students), the PI plans to offer a new course that develops an understanding of approximate membership and similarity search data structures in the setting of big data._x000D_
_x000D_
_x000D_
Similarity searching is a fundamental problem in this context, where a massive data of records needs to be organised so as to answer quickly queries of the form: given a record, is it similar to some record in the data? Similarity search, modeled as near(est) neighbor search (NNS) is an important and well-studied problem with numerous applications: Given a set P of n points lying in some d-dimensional metric space, the goal is to preprocess P so as to return for a given query point q the point p in P that is closest to q. Exact versions of this problem are hard to solve, and all solutions to the approximate version of the problem require superlinear (more than nd) space. This space usage is prohibitive for many big data settings, where not just n, but d could be huge (e.g., the number of pixels in an image). This project is aimed at developing the theory and applications of Similarity Filters, which are decision (yes/no) based data structures. Given a query q, a (c, r)-similarity filter always returns yes if q is within a distance r of some input point, and returns no with a small error probability (thus some false positives are allowed) if all input points are at least cr away from the query. In recent work by the PI, it was shown that such filters can be built with sublinear (asymptotically less than nd) space. The PI proposes two tasks: 1) to understand the approximation factor-space-query tradeoff for similarity filters, developing tight upper and lower bounds, especially in the sublinear space regime, and 2) to develop I/O efficient Similarity Filters and nearest neighbor data structures, akin to quotient or cascade filters for the approximate membership problem (where the in-RAM Bloom Filter is the standard data structure, used in many networking applications). The overarching goal is to use similarity filters on RAM in conjunction with a disk-based data structure: faraway queries will be filtered quickly, and nearby queries will have their neighbor(s) returned following a slower but cache friendly search. The availability of such a two-layered space-and-time-efficient data structure will greatly boost the scope of applications when the amount of data is massive, especially in databases, networks, security and machine learning.</t>
  </si>
  <si>
    <t xml:space="preserve">In the context of the five review elements, please _x000D_
evaluate the strengths and weaknesses of the proposal with respect to intellectual merit._x000D_
_x000D_
This proposal aims to develop the theory and applications of so-called "similarity filters", which were recently introduced in a SODA'17 paper by the PI with Pagh, Silvestri, and Sivertsen. These filters address the problem of approximate near neighbor search in high dimensional space, like locality sensitive hashing, but with the allowance of false positives (but not false negatives), the goal is to achieve sublinear (o(nd)) space, like Bloom filters did for membership queries. Much of the PI's plans is about improving and extending the results of the SODA paper, e.g., from Hamming space to Euclidean or other spaces, from internal memory to I/O efficient methods, and obtaining conditional lower bounds. Many open problems for future work are listed._x000D_
_x000D_
The PI is an experienced researcher in data structures, having co-authored multiple papers on various topics (3 SODA papers, 1 FOCS paper, and more)._x000D_
_x000D_
_x000D_
In the context of the five review elements, please _x000D_
evaluate the strengths and weaknesses of the proposal with respect to broader impacts._x000D_
_x000D_
Applications of similarity search are ubiquitous, and these data structures may potentially have practical significance, like LSH and Bloom filters. The education and outreach parts of the proposal are brief._x000D_
_x000D_
_x000D_
Please evaluate the strengths and _x000D_
weaknesses of the proposal with respect to any additional solicitation-specific review criteria, if _x000D_
applicable_x000D_
_x000D_
_x000D_
_x000D_
Summary Statement_x000D_
_x000D_
Interesting concept, and a reasonable 2-year research plan._x000D_
_x000D_
_x000D_
</t>
  </si>
  <si>
    <t xml:space="preserve">In the context of the five review elements, please _x000D_
evaluate the strengths and weaknesses of the proposal with respect to intellectual merit._x000D_
_x000D_
_x000D_
The PI proposes to study distance sensitive Bloom filters, which must return 'true' ALWAYS if a query point is within distance r of a point in a corpus, and must return 'false' who if the point is further away than cr. This is a natural combination of Nearest Neighbor Search with Bloom Filters. The problem is important, and the suggested techniques are elegant and modular ù the PI has previously (with co-authors) designed a vector signature that allows progress on this problem. The main difficulty with previous work is that it works primarily on the Hamming cube, and the query time is large (even though the space usage is sublinear). The PI intends to tackle this and several other related problems. The PI also wants to come up with solutions that are scalable in the sense that they act like an index._x000D_
_x000D_
In the context of the five review elements, please _x000D_
evaluate the strengths and weaknesses of the proposal with respect to broader impacts._x000D_
_x000D_
The PI is developing a strong education plan, including a course in modern approximation algorithms. He works at a College with large fractions of minority and low-income students, and the PI is currently mentoring a high school student in Bloom filters. So the broad impact is quite good._x000D_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</si>
  <si>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PI proposes to develop query and cache efficient similarity filters.  If this effort is successful, these could prove incredibly useful in many data analysis tasks.  The PI has a strong background to work in this area, and has established some preliminary results.  It is a very good proposal._x000D_
_x000D_
_x000D_
In the context of the five review elements, please _x000D_
evaluate the strengths and weaknesses of the proposal with respect to broader impacts._x000D_
_x000D_
The PI proposes further curriculum development  mentoring high school students and undergraduates, and the development of a summer school on material related to the research._x000D_
_x000D_
Please evaluate the strengths and _x000D_
weaknesses of the proposal with respect to any additional solicitation-specific review criteria, if _x000D_
applicable_x000D_
_x000D_
_x000D_
_x000D_
Summary Statement_x000D_
_x000D_
The research, if successful, could have high impact.  The PI is well-qualified to take on these research proposals, and the broader impacts are strong.  This is a very good proposal._x000D_
_x000D_
_x000D_
</t>
  </si>
  <si>
    <t>1755801</t>
  </si>
  <si>
    <t>Zhao</t>
  </si>
  <si>
    <t>WWONG</t>
  </si>
  <si>
    <t xml:space="preserve"> Panel Summary       
 Description: _x000D_
The project proposes to work on new nonconvex optimization for data mining and knowledge discovery on large-scale scientific data. The project is motivated by three scientific applications (genomic data analysis, brain image data analysis, and social media data analysis).  _x000D_
_x000D_
There are two main directions, (1) to develop a new area of model-based nonconvex optimization using knowledge of statistical data generation to avoid worst case convergence rate, and (2) to improve the efficiency of well-known nonconvex optimization problems. The proposal will study learning sparse representation, and learning low rank representation with the above two goals. _x000D_
_x000D_
From the perspective of optimization, the global solutions of nonconvex minimization problems are generally intractable to obtain. Hence the goal is to converge to a unique local solution with desirable statistical properties in polynomial time. Moreover, cost per iteration needs to be low. Both of these can be achieved if data satisfies certain model assumptions. The project proposes to develop new model-based coordinate optimization framework, Newton-type coordinate optimization with better iteration complexity and new non-convex loss functions that are efficient to handle etc. _x000D_
_x000D_
For low rank representation learning, instead of considering a convex relaxation and then solving the relaxed problem, the project proposes to reformulate the underlying problem as a factorization minimization problem which will help in efficiency. _x000D_
_x000D_
Intellectual Merit: _x000D_
Strengths _x000D_
+ Studying nonconvex optimization is a very important topic._x000D_
+ The PI is well-qualified to conduct the aforementioned research._x000D_
+ The empirical approaches are well laid out._x000D_
_x000D_
Weaknesses _x000D_
- The PI does not propose any specific research direction to pursue in the application areas, say, genomic data analysis._x000D_
_x000D_
-From a theoretical perspective, the proposal is somewhat lacking. For example, the project wants to focus on low-rank representation learning by designing algorithms that avoid to compute, say, the SVD of a large matrix at each step. However, no concrete approach is provided to achieve that. Some problems are also considered notoriously difficult problems in TCS, and again no plausible approach was given._x000D_
_x000D_
_x000D_
Broader Impact: _x000D_
Strengths _x000D_
_x000D_
+ The broader impacts of the proposed research could be significant. He has significant prior applied work (including a second author Nature paper)._x000D_
_x000D_
Weakness_x000D_
- The PI fails to discuss in more detail future applied research directions. _x000D_
_x000D_
Data Management Plan: Adequate _x000D_
_x000D_
Suggestions to PI: _x000D_
_x000D_
The proposal could be significantly strengthened by a more detailed description of the applications and the collaborations that the PI has in place in order to get access to real data. The theoretical part of the proposal also needs to be discussed in more details in order to understand the type of contributions that the PI hopes to make. It does not explicitly address how this fits into the PIs longer term research goals. _x000D_
_x000D_
_x000D_
_x000D_
Justification for Panel Rating: _x000D_
_x000D_
The theoretical questions in the proposal are not well developed and the proposal was considered to be not a strong fit for Algorithmic Foundations._x000D_
_x000D_
_x000D_
_x000D_
Panel Rating: _x000D_
_ Highly Competitive _x000D_
_ Competitive _x000D_
X Low Competitive _x000D_
_ Not Competitive _x000D_
_x000D_
The summary was read to the panel and the panel concurred that the summary accurately reflects the panel discussion. 
</t>
  </si>
  <si>
    <t>P180190</t>
  </si>
  <si>
    <t xml:space="preserve"> CRII- Weng-keen</t>
  </si>
  <si>
    <t xml:space="preserve"> Panel Summary       
  The proposal seeks to develop new algorithms for nonconvex optimization models arising from statistical estimation problems and to leverage geometric properties that hold with high probability. The nonconvexity arises from sparsity- and low-rank-inducing regularization. The proposal seeks to combine insights both from inferential and computational understanding of the problem and to leverage properties guaranteed by random designs so to guarantee a combination of statistical and computational guarantees, whereas some other work may focus on one and not the other. The tools employed include homotopy methods and active set approaches. The PI is motivated by three scientific applications (genomic data analysis, brain image data analysis, and social media data analysis). _x000D_
_x000D_
INTELLECTUAL MERIT_x000D_
_x000D_
--Strengths_x000D_
+ The research is notable for combining optimization algorithmic approaches with statistical inferential approaches to successfully attack some very hard problems._x000D_
+ The research work has many domain-specific scientific applications. _x000D_
+ The problems are very well motivated._x000D_
+ If successful, this project could result in the efficient and scalable nonconvex optimization algorithms for large scale data analysis. _x000D_
+ Aim B raises some very novel ideas on how to address symmetries when using stochastic optimization._x000D_
+ The PI has a record of successful work in nonconvex optimization, and is qualified to conduct the proposed activity. _x000D_
+ The research tasks outlined are appropriate. _x000D_
_x000D_
--Weaknesses_x000D_
- Some of the proposed work in Aim A appears consists mostly of perturbations around existing work of the PI rather than developing a groundbreaking "new area" in nonconvex optimization promised in the beginning._x000D_
- The proposal does not say what metrics will be used for assessing success, nor is there a plan for empirical validation of the technique. _x000D_
- It is not clear why the applications mentioned will specifically benefit from the innovations in the proposal. In particular, looking at the Nature paper mentioned, the connections to the developments in the proposal are not clear at all._x000D_
- The number of references cited is very large but at the same time uninformative, being not all completely relevant and making it very hard to follow the contextualization of the work in the existing literature. In addition, the reference numbering is wrong, e.g., Nature paper is cited as 416, but it is 414 in the reference._x000D_
_x000D_
BROADER IMPACTS, INCLUDING ENHANCING DIVERSITY_x000D_
--Strengths_x000D_
+ The ability to solve non-convex optimization problems efficiently is important in many applications, including the bio-medical ones highlighted in this proposal._x000D_
+ The research will produce software that can be used to solve large estimation problems in practice. _x000D_
+ The PI has a history of open source contributions._x000D_
+ PI will incorporate application domain data into courses. _x000D_
+ The PI has some prior history of working with practitioners on important problems._x000D_
_x000D_
--Weaknesses_x000D_
- It is not clear how the advances from the research, which are mostly theoretical, will actually have significant impact on the applications or how the PI will evaluate success in these cases._x000D_
- In particular, the role in the Nature paper is not clear as is the relevance of the research proposed._x000D_
- There is nothing to corroborate the collaborations planned as part of the research._x000D_
- There is nothing to corroborate access to the application data. Medical data, in particular, is painstaking to obtain access to and it may not be possible for the PI to get access to this data within the duration of the project._x000D_
- There is no specific educational plan on how to incorporate undergraduate students into the research or how to do any sort of outreach to minority students. _x000D_
_x000D_
ADDITIONAL REVIEW CRITERIA:_x000D_
_x000D_
-- Is the research appropriate for the proposed duration?_x000D_
Mostly appropriate, but it is definitely not clear that the research will start a "new area" within the proposed duration and with the research proposed._x000D_
_x000D_
-- Does the project have potential to produce sufficient preliminary results to serve as the basis for future competitive research proposals?_x000D_
Some of the research consists only of tweaks to existing methods which may not produce preliminary result for future, new research. The rest, however, does propose new ideas on how to address symmetries and on using momentum, and this could very well generate the results that could support a future proposal expanding on these ideas. Moreover, investigation into the application in different domains could generate strong results on the relevance of the research to applications, but unfortunately it is only mentioned in passing with no concrete details._x000D_
_x000D_
-- Are the activities necessary and critical steps for the PI to achieve research independence?_x000D_
Only in part. Again, some research activities involve heuristic tweaks to existing work of the PI done under the supervision of an advisor, and this work will not necessarily lead to research independence. The work on more novel ideas as presented in Aim B could certainly lead to research independence. On the negative side, the PI would need to demonstrate the usefulness of the proposed research to build up this research program but this is not sufficiently fleshed out in the proposal. While it is clear there is strong potential since the PI has participated in application-driven collaborations, there is nothing specific tied to the present proposal or any letters of collaboration._x000D_
_x000D_
DEPARTMENT SUPPORT LETTER: _x000D_
The letter only verified eligibility but it does not sufficiently describe the support that the department will provide to ensure that the project will be successful. In particular, there is no mention of the necessary mentoring._x000D_
_x000D_
DATA MANAGEMENT PLAN:_x000D_
Mostly adequate. However, the plan does not explain how the sensitive medical data (brain imaging and genomics) will be handled in an appropriate way._x000D_
_x000D_
POST-DOCTORAL MENTORING PLAN (if applicable): _x000D_
N/A_x000D_
_x000D_
COLLABORATIONS (if applicable): _x000D_
No letters provided to support the collaborations planned._x000D_
_x000D_
ADDITIONAL SUGGESTIONS: _x000D_
The PI would do well to better demonstrate the practical relevance of the research products to the applications used to motivate the research. Moreover, the PI should better demonstrate the they have access to the data necessary to conduct the planned research as well as corroborate the planned collaborations. The PI would do well to make the references cited more focused and relevant to the proposal. The PI should also be more clear and concrete on their education plan and also explain how they will increase the participation of groups underrepresented in CISE._x000D_
_x000D_
PANEL RECOMMENDATION AND JUSTIFICATION, INCLUDING BRIEF STATEMENT OF KEY STRENGTHS AND/OR CRITICAL WEAKNESSES	_x000D_
_x000D_
The project tackles some very important problems and is notable for combining statistical analysis with computational analysis, in particular using the randomness of the design to ensure both statistical and computational guarantees for the methods proposed. The project proposes some truly new ideas in the realm of low-rank learning but also some merely incremental ideas in the realm of sparse learning. The applications that motivate the research are very important as are the corresponding optimization problems addressed. But on the negative side it is not sufficiently clear what the impact of the research products will actually be on these applications. In addition, the proposal does not do a sufficiently good job of positioning itself clearly in the state of the art today. The project could have wide ranging impacts, especially since a software package will be a product on the project. The PI has a strong track record both in the research area and in application-driven collaborations. However, there is no documentation corroborating the collaborations or access to the sensitive data needed to conduct the research._x000D_
_x000D_
Ranking (check one)_x000D_
__ Highly Competitive_x000D_
_X_ Competitive_x000D_
__ Low Competitive_x000D_
__ Not Competitive_x000D_
_x000D_
The summary was read by the panel, and the panel concurred that the summary accurately reflects the panel discussion._x000D_
_x000D_
  _x000D_
</t>
  </si>
  <si>
    <t>D</t>
  </si>
  <si>
    <t xml:space="preserve">In the context of the five review elements, please _x000D_
evaluate the strengths and weaknesses of the proposal with respect to intellectual merit._x000D_
_x000D_
_x000D_
_x000D_
In the context of the five review elements, please _x000D_
evaluate the strengths and weaknesses of the proposal with respect to broader impacts._x000D_
_x000D_
_x000D_
_x000D_
Please evaluate the strengths and _x000D_
weaknesses of the proposal with respect to any additional solicitation-specific review criteria, if _x000D_
applicable_x000D_
_x000D_
_x000D_
_x000D_
Summary Statement_x000D_
_x000D_
A nice proposal with interesting research directions._x000D_
_x000D_
</t>
  </si>
  <si>
    <t xml:space="preserve">In the context of the five review elements, please _x000D_
evaluate the strengths and weaknesses of the proposal with respect to intellectual merit._x000D_
_x000D_
The PI proposes to work on model-based non-convex optimization for data mining and knowledge discovery on large-scale scientific data. The PI is motivated by three scientific applications (genomic data analysis, brain image data analysis, and social media data analysis). In the first domain, the PI actually has a Nature paper (as a second author), so it's obvious that he has significant relevant background and contributions in the domain. However, the proposal does not describe any specific research direction that the PI proposes to pursue in, say, genomic data analysis; the proposal could be significantly strengthened by a more detailed description of the applications and the collaborations that the PI has in place in order to get access to real data._x000D_
_x000D_
From a theoretical perspective, the proposal is somewhat lacking. For example, the PI wants to focus on low-rank representation learning, by designing algorithms that avoid to compute, say, the SVD of a large matrix at each step. He wants to take into account statistical model properties in order to prove that worst-case case instances for the underlying problems do not arise. The PI does not offer a concrete lamppost explaining how he will do that: e.g., the proposed research B in page 9 talks about leveraging the weak convergence of discrete_x000D_
Markov chains to their continuous time limits, hoping to use such tools to understand the convergence of optimization algorithms. These are notoriously difficult problems in TCS and without further details I don't see why there is any hope for progress in this domain._x000D_
_x000D_
In the context of the five review elements, please _x000D_
evaluate the strengths and weaknesses of the proposal with respect to broader impacts._x000D_
_x000D_
The broader impacts of the proposed research could be significant, but the PI fails to discuss in more detail future applied research directions. He has significant prior applied work (including a second author Nature paper), but future plans are lacking._x000D_
_x000D_
Please evaluate the strengths and _x000D_
weaknesses of the proposal with respect to any additional solicitation-specific review criteria, if _x000D_
applicable_x000D_
_x000D_
See discussion above._x000D_
_x000D_
Summary Statement_x000D_
_x000D_
A good proposal, which could be improved by better outlining connections to practical applications and real data. The theoretical part of the proposal also needs to be discussed in more details in order to understand the type of contributions that the PI hopes to make._x000D_
_x000D_
</t>
  </si>
  <si>
    <t>QY1007388</t>
  </si>
  <si>
    <t>Ji</t>
  </si>
  <si>
    <t>sji@cs.gsu.edu</t>
  </si>
  <si>
    <t xml:space="preserve">In the context of the five review elements, please _x000D_
evaluate the strengths and weaknesses of the proposal with respect to intellectual merit._x000D_
_x000D_
Summary:_x000D_
_x000D_
This proposal aims to develop new nonconvex optimization frameworks to address the convergence and scalability issues of large scale machine learning problems, such as nonconvex sparse learning and nonconvex low rank representation learning._x000D_
_x000D_
Strengths:_x000D_
+ Aim A: model-based coordinate optimization for nonconvex sparse learning is new, and could potentially covers a wide range of problems and algorithms._x000D_
+ Aim B: nonconvex stochastic optimization is a highly valuable and challenging research area, and could potentially advance many ML/DL applications._x000D_
+ The research tasks outlined are appropriate._x000D_
+ The PI has a record of successful work in nonconvex optimization, and is qualified to conduct the proposed activity. _x000D_
_x000D_
Weaknesses:_x000D_
- The proposal refers to over 400 papers. It's hard for the reviewer to follow all of them. It might be better to cite the most relevant and seminal ones._x000D_
- The proposal does not say what metrics will be used for assessing success, nor is there a plan for empirical validation of the technique._x000D_
_x000D_
_x000D_
In the context of the five review elements, please _x000D_
evaluate the strengths and weaknesses of the proposal with respect to broader impacts._x000D_
_x000D_
Strengths:_x000D_
+ If successful, this project could result in the efficient and scalable nonconvex optimization algorithms for large scale data analysis._x000D_
+ The innovations in nonconvex stochastic optimization have potential applications in many other fields, including deep learning._x000D_
+ Software will be released as open source._x000D_
_x000D_
Weaknesses:_x000D_
- No specific execution plan (resource and timelines) on how the proposed research will be conducted._x000D_
- No specific educational plan on how to incorporate undergraduate students and minority students into the research. _x000D_
_x000D_
_x000D_
Please evaluate the strengths and _x000D_
weaknesses of the proposal with respect to any additional solicitation-specific review criteria, if _x000D_
applicable_x000D_
_x000D_
_x000D_
_x000D_
Summary Statement_x000D_
_x000D_
I think this is a good project. Nonconvex optimization is emerging as one of the most important and challenging problems in ML and DL research nowadays, and the PI has a record of successful work in related areas. Although the PI's previous work is a good indication of potential success of the proposed work, limited preliminary work (without data support) is a concern._x000D_
_x000D_
</t>
  </si>
  <si>
    <t>PC1007389</t>
  </si>
  <si>
    <t>Kallus</t>
  </si>
  <si>
    <t>kallus@cornell.edu</t>
  </si>
  <si>
    <t xml:space="preserve">In the context of the five review elements, please _x000D_
evaluate the strengths and weaknesses of the proposal with respect to intellectual merit._x000D_
_x000D_
A brief statement of what the proposal is about:_x000D_
* The proposal seeks to develop new algorithms for nonconvex optimization models arising from statistical estimation problems and to leverage geometric properties that hold with high probability._x000D_
_x000D_
--Strengths:_x000D_
* The research is notable for combining optimization algorithmic approaches with statistical inferential approaches to successfully attack some very hard problems._x000D_
* The PI seems to have a good track record of working in this area._x000D_
* The research work has many domain-specific scientific applications._x000D_
* Developed algorithm can solve important statistical problems and be certified with both computational and statistical guarantees._x000D_
_x000D_
--Weaknesses:_x000D_
* Some of the research seems like small perturbations to the existing work by the PI, just adding dressing to work that was already completed. _x000D_
_x000D_
_x000D_
In the context of the five review elements, please _x000D_
evaluate the strengths and weaknesses of the proposal with respect to broader impacts._x000D_
_x000D_
--Strengths:_x000D_
* Research will produce software that can be used to solve large estimation problems in practice._x000D_
* Will incorporate application domain data into courses._x000D_
_x000D_
--Weaknesses:_x000D_
* No letters of collaboration to corroborate the collaboration with medical scientists._x000D_
* No letters of collaboration to corroborate access to the data needed to conduct the domain-specific applications._x000D_
* The project does nothing to improve outreach to groups underrepresented in CISE._x000D_
_x000D_
_x000D_
Please evaluate the strengths and _x000D_
weaknesses of the proposal with respect to any additional solicitation-specific review criteria, if _x000D_
applicable_x000D_
_x000D_
Is the research appropriate for the proposed duration?_x000D_
* Appropriate_x000D_
_x000D_
Does the project have potential to produce sufficient preliminary results to serve as the basis for future competitive research proposals?_x000D_
* Yes._x000D_
_x000D_
Are the activities necessary and critical steps for the PI to achieve research independence?_x000D_
* Yes._x000D_
_x000D_
Strength of Department Letter_x000D_
* Generic. Nothing specific about the PI's achievements or abilities._x000D_
_x000D_
_x000D_
_x000D_
Summary Statement_x000D_
_x000D_
The proposal combines statistical and computational thinking in a novel way to address difficult nonconvex estimation problems that are important in several application domains. The proposal is well developed, well documented, and well researched. There is sufficient preliminary results and a successful track record to suggest the proposal will be successful. The project, however, could do more to ensure that the research will improve education and outreach to underrepresented groups._x000D_
_x000D_
_x000D_
</t>
  </si>
  <si>
    <t xml:space="preserve">In the context of the five review elements, please _x000D_
evaluate the strengths and weaknesses of the proposal with respect to intellectual merit._x000D_
_x000D_
In this proposal the PI suggests studying Multi-Armed Bandits towards understanding how to tune performance based on the variance of the experts and the gap between the best experts on the rest. _x000D_
_x000D_
It was very hard for me to evaluate this proposal, because I do not know enough about multi-armed bandits. From what I read, the proposal did not seem very strong, but I also have not read any of the other CRII proposals._x000D_
_x000D_
In the context of the five review elements, please _x000D_
evaluate the strengths and weaknesses of the proposal with respect to broader impacts._x000D_
_x000D_
This proposal contains ideas for integrating education with the goals of the proposal._x000D_
_x000D_
Please evaluate the strengths and _x000D_
weaknesses of the proposal with respect to any additional solicitation-specific review criteria, if _x000D_
applicable_x000D_
_x000D_
_x000D_
_x000D_
Summary Statement_x000D_
_x000D_
This proposal meets the requirements for CRII funding._x000D_
_x000D_
</t>
  </si>
  <si>
    <t>XP0898285</t>
  </si>
  <si>
    <t>Roy-Chowdhury</t>
  </si>
  <si>
    <t>amitrc@ee.ucr.edu</t>
  </si>
  <si>
    <t xml:space="preserve">In the context of the five review elements, please _x000D_
evaluate the strengths and weaknesses of the proposal with respect to intellectual merit._x000D_
_x000D_
The proposal aims to develop novel non-convex optimization frameworks to address challenges in data mining and knowledge discovery. Applications in genomic data analysis and brain imaging are considered. _x000D_
_x000D_
Strengths: The need for efficient non-convex optimization methods is clear given the amount and complexity of data that is being collected. The proposal correctly identifies this to be a relevant problem. Certain specific approaches are also highlighted. The application domains of brain imaging and genomic data analysis are relevant. The PI has strong publications in top venues._x000D_
_x000D_
Weaknesses: The proposal suffers from a lack of clarity as to what it will achieve. A claim is made that a "new area" of model-based non-convex optimization will be developed. However, for both aims the specific approaches outlined are heuristics that would allow one to overcome some limitations that currently hinder performance. As one example, the screening rules mentioned in A.3 are a simple pre-processing step. This is true for each of the subaims. Overall, the proposal fails to provide a clear idea of what its contributions will be._x000D_
_x000D_
In the context of the five review elements, please _x000D_
evaluate the strengths and weaknesses of the proposal with respect to broader impacts._x000D_
_x000D_
Strengths: _x000D_
The ability to solve non-convex optimization problems efficiently is important in many applications, including the bio-medical ones highlighted in this proposal. The PI has collaborations with other researchers that will enable this. Some integration of the research into the courses is also mentioned. _x000D_
_x000D_
Weaknesses:_x000D_
No specific approaches for applying the methods, or convincing results on existing data, are mentioned. This raises concerns about how the proposed method will proposed methods will be applied, and indeed their applicability in the first place. The integration with education is also minimally described._x000D_
_x000D_
Adequacy of Data Management Plan: I found this lacking. Although brain imaging and genomic data is mentioned, the DMP does not state how these will be handled. Maybe they are already addressed by the collaborators, but it would be good to know how the PI will handle the data._x000D_
_x000D_
_x000D_
Adequacy of Postdoctoral Mentoring Plan (if applicable): N/A_x000D_
_x000D_
_x000D_
_x000D_
Please evaluate the strengths and _x000D_
weaknesses of the proposal with respect to any additional solicitation-specific review criteria, if _x000D_
applicable_x000D_
_x000D_
Is the research appropriate for the proposed duration?_x000D_
Given the weaknesses in the technical merit mentioned above, it is not clear to me. The claim to start a "new area" withing the limits of this grant seem exaggerated. _x000D_
_x000D_
_x000D_
Does the project have potential to produce sufficient preliminary results to serve as the basis for future competitive research proposals?_x000D_
Unsure. There may be some theoretical insights. Applicability in different domains is only mentioned with no details. _x000D_
_x000D_
Are the activities necessary and critical steps for the PI to achieve research independence?_x000D_
The PI needs to extend beyond the scope outlined here and demonstrate the usefulness of the approaches. Theoretically, it is not evident to me that the contributions are unique enough to stand out on their own, without being tied to an application. _x000D_
_x000D_
_x000D_
Strength of Department Letter: The letter does not mention what kind of support the department will provide, nor is there any mention of mentoring._x000D_
_x000D_
Summary Statement_x000D_
_x000D_
The proposal addresses an important problem of non-convex optimization. However, it is seriously lacking is multiple aspects. The methods claimed as novel theory are essentially heuristics to overcome some shortcomings of existing methods. Although applications are mentioned, there are no details, and no letters of support provided that would prove that the PI has access to the kind of data needed to succeed in the research._x000D_
_x000D_
</t>
  </si>
  <si>
    <t xml:space="preserve">In the context of the five review elements, please _x000D_
evaluate the strengths and weaknesses of the proposal with respect to intellectual merit._x000D_
_x000D_
The objective of the proposal is to develop new nonconvex optimization frameworks for various machine learning tasks. _x000D_
_x000D_
There are two main directions, (1) to develop a new area of model-based nonconvex optimization using knowledge of statistical data generation to avoid worst case convergence rate, and (2) to improve the efficiency of well-known nonconvex optimization problems. _x000D_
_x000D_
PI will study nonconvex optimization for learning sparse representation, and learning low rank representation with the goal of (1) and (2). PI proposes several new ideas based on PI's prior works. From the perspective of optimization, the global solutions of nonconvex minimization problems are generally intractable to obtain, and hence the goal is to converge to unique local solution with desirable statistical properties in polynomial time. Moreover, cost per iteration needs to be low. Both of these can be achieved if data satisfies certain model assumptions. The PI proposes to develop new model-based coordinate optimization framework , newton-type coordinate optimization with better iteration complexity, new loss functions that are efficient to handle etc. For low rank representation learning that are mostly formed as low rank matrix or tensor optimization problems. For these problems, standard approach is to consider a convex relaxation and then solve the relaxed problem. PI proposes new way to gain scalability and efficiency by reformulating the underlying problem as a factorization minimization problem. _x000D_
_x000D_
Summary of strength and weakness: The proposal is on an important topic of machine learning and the PI has solid background there. However, I am not quite sure how this proposal fits into AF._x000D_
_x000D_
In the context of the five review elements, please _x000D_
evaluate the strengths and weaknesses of the proposal with respect to broader impacts._x000D_
_x000D_
PI is involved in various interdisciplinary activities, specifically he has active collaboration with biomedical researchers and this research can be have direct impact there.  The algorithms from this research will be implemented and softwares will be released._x000D_
_x000D_
Please evaluate the strengths and _x000D_
weaknesses of the proposal with respect to any additional solicitation-specific review criteria, if _x000D_
applicable_x000D_
_x000D_
_x000D_
_x000D_
Summary Statement_x000D_
_x000D_
It is a good proposal on a very important topic but AF may not be the appropriate division for it._x000D_
_x000D_
</t>
  </si>
  <si>
    <t>HZ1007762</t>
  </si>
  <si>
    <t>Scheinberg</t>
  </si>
  <si>
    <t>katyas@lehigh.edu</t>
  </si>
  <si>
    <t xml:space="preserve">In the context of the five review elements, please _x000D_
evaluate the strengths and weaknesses of the proposal with respect to intellectual merit._x000D_
_x000D_
This proposal describes several settings of nonconvex optimization arising in machine learning that the PI intends to address. Specifically, there are two parts to the proposal. The first part addressed large scale problems for sparse learning with possibly nonconvex penalty functions to induce sparsity, and the second part _x000D_
addresses nonconvex specially structured problems such as low rank matrix factorization. _x000D_
_x000D_
The earlier part of the proposal describes the aims in very general terms and gives a somewhat misleading impression that very general and transformative methodologies will be proposed. The "current" optimization methods that are described are mainly optimization methods developed in the last decade or so for convex problems. However, nonconvex optimization has very long history with many methods. While these methods do not always apply directly to the new ML settings, in the last several years there has been a surge of work in that area as well by adapting these classical methods in appropriate ways. _x000D_
_x000D_
Once the PI gets to describing the proposed methods and ideas - they turn out to be fairly specific and based on his prior work. The first type of problems are addressed by coordinate optimization schemes with active set selection. I have some concerns about this part of the proposal. I assume that the only type of nonconvexity the PI considers here is a nonconvex (separable) penalty, because otherwise the coordinate approach is unlikely to work. However, such problems have been addressed before by many authors, and I am not sure how novel the proposed algorithms are in comparison. Similarly, proximal Newton methods based on coordinate optimization have been proposed and analyzed in depths, ans so have been active set methods of various kinds. The active set method described in Aim A.3 seems to be one of the classical methods, however, it needs careful consideration and implementation and is not guaranteed to work without full scan of coordinates. _x000D_
Finally, linear convergence rates under milder assumptions than strong convexity is also a well researched topics with multiple new results._x000D_
_x000D_
I find Aim B to be somewhat more novel compared to the existing work, if I understood it correctly. It appears that the PI has identified some  modification for the matrix factorization problem which leads to good properties for optimization. The plan to develop these ideas further and turn them into efficient algorithms. It is unclear to me if this work can go beyond low rank matrix representation. _x000D_
_x000D_
The number of citations is on the one hand extremely long and on the other hand is not as informative and as relevant to the proposal as would be desirable. _x000D_
_x000D_
_x000D_
_x000D_
In the context of the five review elements, please _x000D_
evaluate the strengths and weaknesses of the proposal with respect to broader impacts._x000D_
_x000D_
The broader impacts of this research seem to be overstated in the introduction. The PI lists several important applications of the ML models that he is planning to address, however, it is unclear why some of the advances, which are mainly theoretical, will have a significant impact on these applications. On the other hand, the PI has some prior history of working with practitioners on important problems (he cites a publication in Nature magazine, but it is unclear what his role was in this work). _x000D_
His prior history of open source software is an advantage, as long as the software is being used._x000D_
_x000D_
Please evaluate the strengths and _x000D_
weaknesses of the proposal with respect to any additional solicitation-specific review criteria, if _x000D_
applicable_x000D_
_x000D_
_x000D_
_x000D_
Summary Statement_x000D_
_x000D_
This proposal contains good ideas and specific methods, but does not do a very good job of positioning these ideas clearly in the current state-of-the-art._x000D_
_x000D_
</t>
  </si>
  <si>
    <t xml:space="preserve">In the context of the five review elements, please _x000D_
evaluate the strengths and weaknesses of the proposal with respect to intellectual merit._x000D_
_x000D_
This proposal will begin work on a more systematic approach to non-convex optimization in the sparse and law rank regimes.  _x000D_
_x000D_
In the first thrust, we consider a sparse regime.  Prior work from the PI shows that things can be greatly sped up by maintaining a list of important coordinates.  The proposed research will build on this by exploiting geometric properties such as restricted strong convexity, restricted strong smoothness, and restricted self-concordance.  (The proposal does not specifically state how rife these properties are in real-life instances).  The first approach will use newton-typo methods.  Then they will be generalized to non-smooth loss functions.  Finally, the algorithms will screen based on KKT-conditions.  The evaluation of this section is largely empirical.  _x000D_
_x000D_
The second thrust is to study low rank solutions.  The proposed solution is non-convex and found to have many saddle points, however, all the local minimum are global minimum.  The goal then is to quickly escape from the saddle points.  The proposed solutions are to better model the situation as a stochastic differential equation.  Using this to more rigorously analyze momentum models, and finally extend these results to cases with additional constraints.  It is not clear how this approach relates to prior work, e.g. citation 342.  _x000D_
_x000D_
The proposal studies interesting questions.  The empirical approaches are well laid out.  The theoretical approaches are a little vague, especially as it relates to previous research.  _x000D_
_x000D_
The PI is qualified and has access to adequate resources.  _x000D_
_x000D_
_x000D_
In the context of the five review elements, please _x000D_
evaluate the strengths and weaknesses of the proposal with respect to broader impacts._x000D_
_x000D_
This proposal, if successful with have applications to non-convex optimization, which is widely used in machine learning applications.  The research will produce software that is disseminated.  Additionally, the PI will incorporate the research into two of his courses._x000D_
_x000D_
Please evaluate the strengths and _x000D_
weaknesses of the proposal with respect to any additional solicitation-specific review criteria, if _x000D_
applicable_x000D_
_x000D_
Unfortunately, the proposal makes no effort to explicitly show how this proposal will help to generate the ideas to propel her career forward.  It is not hard to guess an outline of what this might be, but details would be very helpful._x000D_
_x000D_
Summary Statement_x000D_
_x000D_
The proposal is well-scoped.  The proposal studies interesting questions.  The empirical approaches are well laid out.  The theoretical approaches are a little vague, especially as it relates to previous research.  It does not explicitly address how this fits into the PIs longer term research goals._x000D_
_x000D_
</t>
  </si>
  <si>
    <t>The objective of this proposal is to develop new nonconvex optimization frameworks to address the challenges of data mining and  knowledge discovery on large-scale scientific data. To break several crucial bottlenecks {in applying} optimization techniques {to} modern representation learning problems, this project will develop (i) {a new area named model-based nonconvex optimization}, which leverages sophisticated statistical thinking in modern optimization and naturally bridges research from different areas{, such as} machine learning, optimization, statistics and stochastic analysis; (ii) {novel nonconvex optimization frameworks and theories}, {leading to more} efficient and scalable algorithms with strong theoretical guarantees that {would} help scientists solve various representation learning problems in {many} sophisticated data analysis.This proposal is built upon earlier works of the PI, which leverage statistical thinking in modern optimization to attack nonconvex problems in machine learning. Due to the availability of massive data, nonconvex optimization has become more and more important in machine learning over the past decade. The proposed research aims to strengthen classic optimization to open up new possibilities for cutting-edge nonconvex optimization problems in representation learning. Moreover, the proposed research will not only focuses on deeper theoretical understanding of the_x000D_
challenging issues in nonconvex optimization, but also develop new algorithmic frameworks leading to more efficient and scalable representation learning. The proposed research is promising in leading to innovation not only in theory, but also in practical applications.We see three main aspects in which the proposed research will have broad impacts. (1) We see an urgent need for powerful optimization algorithms to handle massive datasets. However, the usage of large-scale optimization techniques is currently limited --- we still lack adequate methodology, theory, and computational techniques. By simultaneously addressing all these aspects, this project is expected to deliver useful nonconvex optimization algorithms that benefit all relevant scientific areas; (2) The deliverables of this project include easy-to-use software for representation learning.  Such software directly helps scientists to explore and analyze complex datasets. (3) The PI is collaborating with biomedical researchers and medical imaging scientists from Georgia Tech and University of Pennsylvania on analyzing scientific data. These collaborations will ensure the more direct impact of this project to the targeted scientific communities. Moreover, the PI will offer classes to teach modern nonconvex optimization techniques for analyzing massive data at Georgia Tech.</t>
  </si>
  <si>
    <t>1755847</t>
  </si>
  <si>
    <t>Sun</t>
  </si>
  <si>
    <t xml:space="preserve"> Panel Summary       
 _x000D_
SUMMARY OF PROPOSED RESEARCH ACTIVITY_x000D_
_x000D_
The proposed research focuses on obtaining better bounds on the rate of convergence of various algorithms for constrained optimization. Specifically, the focus is on coordinate descent, and more generally, block coordinate descent, and alternating direction method of multipliers._x000D_
_x000D_
INTELLECTUAL MERIT_x000D_
_x000D_
Strengths_x000D_
_x000D_
+ The methods that the proposal seeks to study are used in practice, and there are many open questions related to their rate of convergence._x000D_
_x000D_
+ The PI has obtained in a prior work some results on the performance of ADMM with randomly permuted update order. This seems to provide justification of similar heuristics in practice. This suggests that the PI is likely to obtain similar interesting results in the future._x000D_
_x000D_
+ The proposal provides a good starting set of problems for a researcher in the beginning of their career. Given the richness of the problems, it seems likely that the PI will arrive at a more refined set of problems, which can form the basis for a fruitful future research agenda._x000D_
_x000D_
Weaknesses_x000D_
_x000D_
- Some of problems are not described in great detail. Their addition seems to be more of an afterthought._x000D_
_x000D_
_x000D_
BROADER IMPACTS_x000D_
_x000D_
Overall, the broader impacts seem adequate._x000D_
_x000D_
Strengths_x000D_
_x000D_
+ The PI plans to implement his algorithms and release code as open source._x000D_
_x000D_
+ The PI plans to incorporate his research findings in new course. He is also invested in undergraduate teaching._x000D_
_x000D_
_x000D_
ADDITIONAL REMARKS_x000D_
_x000D_
Research plan: Adequate_x000D_
_x000D_
Collaboration plan: Adequate_x000D_
_x000D_
Data Management Plan: Adequate_x000D_
_x000D_
Results of prior support:  Clearly stated_x000D_
_x000D_
 _x000D_
_x000D_
Suggestions to PI: The proposal can be improved by adding more details on some of the problems. For example, what is the plan of attack, and how precisely does it differ for the specific problem?_x000D_
 _x000D_
_x000D_
Justification for Panel Rating: The panel concluded that the problems discussed are interesting both in theory and in practice. The PI is well-positioned to address these problems. This is a good starting set of problems for a researcher at the beginning of their career._x000D_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</si>
  <si>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In this project, the PI proposes to contribute to the broad field of constrained optimization, more specifically large-scale problems. He proposes to design faster algorithms based on the block-decomposition technique. _x000D_
_x000D_
Intellectual merit:_x000D_
Strengths:_x000D_
Improvements to constrained optimization for large-scale problems are very much needed, all the more as the increase in big data applications. The PI proposes to focus on block-decomposition algorithms and shows that he has already conducted preliminary studies on this topic, which support his proposal. _x000D_
In particular, he proposes to conduct a study of convergence of some common algorithms and to design new algorithms for currently important applications such as neural networks._x000D_
This PI is qualified to conduct this work, and if successful, this project will result in an increased understanding of the use of common algorithms and propose algorithms that draw on this understanding. The proposed work is important as it would shed light on features of commonly used algorithms and would provide better guidance about which algorithm to use for constrained optimization.  In short, such studies are very needed._x000D_
The proposal is well organized and clear.  _x000D_
_x000D_
Weaknesses_x000D_
In the proposal, the PI mentions time complexity, although not always. It is not clear though how large the problems he plans to tackle are. This should be addressed, or at least explicitly mentioned, as the goal of the project is to address large-scale problems. _x000D_
When going over his preliminary results (p.5), the PI presents an approach that he tested for square invertible matrices and he proceeds by mentioning that it is easily extended to other types of matrices. It feels a little rushed. It would be good to mention what results he obtained for such different matrices.  _x000D_
The PI proposes to study convergence of common algorithms. He then proceeds to propose to apply his proposed algorithms to common engineering applications. He will use the techniques he will have studied and proposed on problems that fit the categories he will have considered. However, he also proposes to work on other types of problems and therefore has to make some adjustments to the work he presented earlier. This part (p. 9 and 10) seems disconnected and a sort of a 'catch-all' section. It does not appear to be aligned with the rest of the work, or, if anything, a much longer-term task._x000D_
_x000D_
This problem is reinforced by the fact that there is no timeline for the proposed work so it is hard to assess the feasibility of the proposed project in terms of time, particular the last part on applications. _x000D_
_x000D_
There is no explicit mention of an assessment plan. _x000D_
_x000D_
_x000D_
In the context of the five review elements, please _x000D_
evaluate the strengths and weaknesses of the proposal with respect to broader impacts._x000D_
_x000D_
Broader impact:_x000D_
Strengths_x000D_
If this project is successful, the PI plans to make his methods available as open-source packages and expects that they would influence the design of popular commercial software packages. _x000D_
He also plans to work with female students, 2 of whom he has already identified._x000D_
Finally, he plans to integrate his findings in a graduate course as central material and projects, and in an undergraduate course as a course project. He already teaches these two courses._x000D_
_x000D_
Weaknesses_x000D_
It is not clear how the PI plans to make his open-source packages available. 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an interesting project, well prepared. However, the proposal has some shortcomings (mainly disconnected activities, lack of timeline and assessment plan)._x000D_
_x000D_
</t>
  </si>
  <si>
    <t xml:space="preserve">In the context of the five review elements, please _x000D_
evaluate the strengths and weaknesses of the proposal with respect to intellectual merit._x000D_
_x000D_
This proposal aims to develop theoretical understanding of the impact of various variable cycling rules on the convergence performance of block coordinate gradient descent method and the alternating direction method of multipliers (ADMM). These algorithms are widely used in large scale optimization._x000D_
_x000D_
The PI has strong background in this context and outlines a research plan that combines numerical simulations with theoretical analysis in an interesting way. _x000D_
_x000D_
Overall, this research plan might lead to solid results on an important topic._x000D_
_x000D_
In the context of the five review elements, please _x000D_
evaluate the strengths and weaknesses of the proposal with respect to broader impacts._x000D_
_x000D_
The broader impacts are fairly rudimentary but adequate._x000D_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</si>
  <si>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Strengths:_x000D_
_x000D_
The proposal considers algorithmic questions related to constrain optimization, centered around variants of the gradient descend method. This is a popular method in practice, and has received a lot of attention both in theory and in practice._x000D_
_x000D_
The set of problems considered forms a cohesive and rich plan of attack for the problem. Therefore, it seem plausible that at least one of these venues could be successful._x000D_
_x000D_
Given his past research results, the PI is an expert on this kind of problems, and is therefore well-positioned to conduct the research plan._x000D_
_x000D_
The PI has chosen a set of interesting applications to specific optimization problems, to apply the new methodologies: linear programming, sparsity optimization, and problems motivated from machine learning applications. This is a diverse set of problems that represents a large class of computational tasks._x000D_
_x000D_
Weaknesses:_x000D_
_x000D_
Given the technical nature of some of the problems, it is difficult for a non-expert to evaluate some of the suggested approaches._x000D_
_x000D_
_x000D_
In the context of the five review elements, please _x000D_
evaluate the strengths and weaknesses of the proposal with respect to broader impacts._x000D_
_x000D_
Strengths:_x000D_
_x000D_
The problems considered have direct applications to machine learning, engineering, and scientific computing. It is reasonable to assume that any new algorithms obtained would be of interest in practical domains._x000D_
_x000D_
Furthermore, new insights on the analysis of various natural heuristics could be of interest in the design of algorithms._x000D_
_x000D_
Please evaluate the strengths and _x000D_
weaknesses of the proposal with respect to any additional solicitation-specific review criteria, if _x000D_
applicable_x000D_
_x000D_
Strengths:_x000D_
_x000D_
The set of problems considered is focused enough so that progress can be made within the specified time frame. At the same time, the research agenda, if successful, could set the foundation for future developments in optimization._x000D_
_x000D_
Summary Statement_x000D_
_x000D_
Overall, this is a good proposal. It considers an important set of problems and outlines a reasonable plan for attaching them._x000D_
_x000D_
</t>
  </si>
  <si>
    <t>Constrained optimization problems occur frequently in a wide span of fields, such as machine learning, statistics, signal processing and operation research. Most classical algorithms for constrained optimization are not scalable. For unconstrained optimization, a popular technique is to decompose the large problems into smaller subproblems. However, it is tricky to apply this technique to constrained optimization problems. For instance, directly combining cyclic coordinate descent and dual ascent does not guarantee convergence. Interestingly, we recently found that some simple modification may resolve this divergence issue._x000D_
_x000D_
This project aims to design faster algorithms based on the block decomposition technique for large-scale constrained optimization problems. Following the preliminary results, we will further explore the convergence issues of a few algorithms for solving linearly constrained problems. We will also design new algorithms for some important applications such as neural networks and overlapping group Lasso.The proposed research will substantially advance our understanding of the computational aspects of constrained optimization. Preliminary studies suggest that the interaction of the block decomposition technique and the constraints will lead to some surprising phenomenon and intriguing research questions. Some fundamental questions will be studied in the project, including the convergence rate of randomly permuted algorithms for solving linear systems, and the convergence of ADMM variants for nonnegative least squares and linear programming. This investigation represents a timely direction for research on big data optimization. The insights gained from the study will provide useful guidance for the design of efficient algorithms for constrained optimization problems. The project is interdisciplinary, and draws connections between optimization, numerical algebra and machine learning. The project will not only benefit from research advances in these fields but also contribute new tools and methodology to these fields as well.The proposed research will lead to new computational methods and open source packages that can be readily used in a large collection of big data applications. This project will increase participation of underrepresented groups. The PI is mentoring a few female students who will work on the topic of the proposed research. If this project is funded, the PI will continue to actively involve underrepresented groups in the research and encourage them to pursue the career in science and engineering. The PI teaches courses on linear programming and large-scale optimization for machine learning, and the theoretical questions and algorithms studied in this project will be included in the course material and assignments.</t>
  </si>
  <si>
    <t>1755881</t>
  </si>
  <si>
    <t>San</t>
  </si>
  <si>
    <t xml:space="preserve"> Panel Summary       
  SUMMARY OF PROPOSED RESEARCH ACTIVITY_x000D_
_x000D_
Description : _x000D_
In this proposal, the PI proposes to enhance the accuracy and performance of simulations of nonlinear multi-physics multi-scale systems. In particular, he plans to address the problem of closure, which happens when small-scale effects (e.g., turbulences) must be simulated within a scale that is too large to allow modeling them directly. The PI claims that his work, if successful, would solve a long-standing problem about closure modeling in problems that need to be simulated at different scales. To address this problem, the PI proposes to use a range of techniques, mainly centered on the use of machine learning, to support blind deconvolution architectures and Krylov subspace algorithms. _x000D_
_x000D_
INTELLECTUAL MERIT_x000D_
_x000D_
Strengths_x000D_
+ The problem that the PI proposes to address is important._x000D_
+ The PI has experience in the broad research area he plans to address._x000D_
+ The PI is an expert in fluid mechanics, a domain area that would benefit from the success of his proposed work._x000D_
_x000D_
Weaknesses_x000D_
- Although the PI has a bold plan to attack a long-standing problem, the panel feels that such an endeavor calls for clearer evidence that (1) the proposed approach is truly novel -- the panel suggests a more thorough review of the state of the art, and (2) it is likely to be successful._x000D_
- The motivation of the research area in general and of the problem in particular is short and therefore weak. Spending more proposal space on it would make the PI's proposal clearer and stronger._x000D_
- The panel suggests using less jargon and defining terms used in the proposal, all the more when the proposed research is so broad._x000D_
- The PI proposes to use Machine Learning: it is not clear what resources he would need for training and how large such training data should be. _x000D_
- The likelihood that a model obtained through machine learning would be satisfactory (i.e., better than the current ones) is not discussed._x000D_
- It is not clear what the contribution to algorithmic foundations would be._x000D_
_x000D_
BROADER IMPACTS_x000D_
_x000D_
Strengths_x000D_
+ Contributions to fluid dynamics can have a significant impact on many applications, e.g., weather simulation, climate models simulation._x000D_
+ The PI proposes to involve students from under-represented minorities through his institution OK-LSAMP program._x000D_
+ The PI proposes to engage students in research via an app-building activity._x000D_
_x000D_
Weaknesses_x000D_
-  The PI's mention of collaborations should be more specific._x000D_
 _x000D_
ADDITIONAL REMARKS_x000D_
_x000D_
Data Management Plan: was deemed adequate by the panelists. _x000D_
_x000D_
Suggestions to PI: The panel suggests that the PI strengthen his proposal by: (1) exposing a more thorough state of the art, acknowledging, in particular, the existing large body of work in his area of interest, including machine learning efforts, (2) presenting evidence of the likelihood of success of his proposed work, and (3) clearly describing the algorithmic contribution he expects as a result of his proposed work._x000D_
_x000D_
Justification for Panel Rating: Despite the importance of the proposed work, the PI failed to convince that his work is novel enough and promising enough that it has potential to succeed, and if it were to succeed, that it would contribute to enriching the body of knowledge of algorithmic foundations._x000D_
_x000D_
Panel Rating: _x000D_
_ Highly Competitive_x000D_
_ Competitive_x000D_
_ Low Competitive_x000D_
X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</si>
  <si>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 AF: Generalized Deconvolution Algorithms for Coarse-Grained Simulations of Nonlinear Multiscale Systems_x000D_
_x000D_
L: 1755881 San, Omer Oklahoma State University $  170,144_x000D_
_x000D_
_x000D_
P180207 NC AF CAREER/CRII Panel A (14 panelists),_x000B_  on 10/24/2017, recommended as Not Competitive (E/V,G,F)_x000D_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</si>
  <si>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project explores computational approaches for simulation of nonlinear multiscale systems. The issue is how to make efficient simulations when phenomena need to be simulated at many different scales. The PI proposes a new approach to this problem. The PI claims that his approach has a chance at making significant progress on a problem that has stymied researchers for over 50 years. The PI will uses techniques ranging from blind deconvolution architectures, iterative image deblurring and denoising techniques, Krylov subspace methods, machine learning algorithms, computational discretization and partitioning (in parallel computing environments)  applicable heuristics-free turbulence parameterization for simulations. _x000D_
_x000D_
I have some suggestions for improving the proposal._x000D_
_x000D_
First, devote a little more proposal real estate trying  to "sell the area."  Panelists often come from many different areas, and so spending time describing the importance of research area can increase the probability of getting funded, I believe._x000D_
_x000D_
This proposal uses too much jargon, especially for a program that is as broad as this one.  I recommend trying to write with less jargon and to define more terms._x000D_
_x000D_
The proposal also makes broad claims, some of which I found unconvincing. In particular, I was not convinced that this approach would solve problems that have been around for over five decades. Perhaps a specialist would be convinced by the arguments, but I don't think so._x000D_
_x000D_
_x000D_
In the context of the five review elements, please _x000D_
evaluate the strengths and weaknesses of the proposal with respect to broader impacts._x000D_
_x000D_
The PI is working on important problems.  The proposed work, if successful has the potential for a profound impact on simulations, such as climate models. _x000D_
_x000D_
_x000D_
Please evaluate the strengths and _x000D_
weaknesses of the proposal with respect to any additional solicitation-specific review criteria, if _x000D_
applicable_x000D_
_x000D_
_x000D_
_x000D_
Summary Statement_x000D_
_x000D_
This proposal addresses some of the most important problems in fluid simulation. The proposal does have some issues about presentation._x000D_
_x000D_
</t>
  </si>
  <si>
    <t xml:space="preserve">In the context of the five review elements, please _x000D_
evaluate the strengths and weaknesses of the proposal with respect to intellectual merit._x000D_
_x000D_
A very nice proposal, very ambitious, which has the potential to make a significant contribution to nonlinear multi-scale systems simulations._x000D_
_x000D_
Intellectual merit:_x000D_
Strengths:_x000D_
+ The PI has experience in the field of the proposed work._x000D_
+ The proposal is well written._x000D_
+ The work is clearly laid out, with a plan of work, including plans for testing the new algorithms._x000D_
+ This is a very relevant proposal, well on point and possibly transformative._x000D_
+ The PI has conducted preliminary studies to support his proposal._x000D_
_x000D_
Weaknesses_x000D_
- Overly ambitious? Facing such large challenges involve risks and it would be good to add a few 'plan B' options._x000D_
- The PI expects a significant increase in the accuracy and efficiency of simulations. What will these simulations results be compared to? What is the expected improvement?_x000D_
_x000D_
_x000D_
In the context of the five review elements, please _x000D_
evaluate the strengths and weaknesses of the proposal with respect to broader impacts._x000D_
_x000D_
Strengths_x000D_
+  The PI has experience mentoring URM students. He will leverage OK-LSAMP to keep recruiting underrepresented students._x000D_
+ Very creative app-building activity to engage students._x000D_
+ Overall, the success of this project clearly has the potential to benefit society by allowing to conduct more accurate simulations, in particular simulations of climate models._x000D_
_x000D_
Weaknesses_x000D_
- It would be nice to provide pointers for possible collaborations that the PI may want to pursue as a result of his work on the proposed project._x000D_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a very ambitious and risky proposal worth exploring. A very well written and well thought-out proposal with all elements necessary to assess its potential._x000D_
_x000D_
</t>
  </si>
  <si>
    <t xml:space="preserve">In the context of the five review elements, please _x000D_
evaluate the strengths and weaknesses of the proposal with respect to intellectual merit._x000D_
_x000D_
The proposal concerns the accurate modeling and simulation of fluids. The closure problem, in turbulence modeling, is the problem of accurate representing the effects of local fluctuations in simulations whose scale is too large to model those fluctuations directly._x000D_
Reading the proposal from a very uninformed point of view, it appears to be proposing to replace principled but inaccurate models for the closure problem by the results of machine learning algorithms._x000D_
_x000D_
The PI is an expert in fluid mechanics, with no computer science publications._x000D_
_x000D_
In the context of the five review elements, please _x000D_
evaluate the strengths and weaknesses of the proposal with respect to broader impacts._x000D_
_x000D_
Fluid dynamics is of great practical importance (for instance in weather simulation)._x000D_
The proposal also includes the usual education aspects._x000D_
_x000D_
Please evaluate the strengths and _x000D_
weaknesses of the proposal with respect to any additional solicitation-specific review criteria, if _x000D_
applicable_x000D_
_x000D_
_x000D_
_x000D_
Summary Statement_x000D_
_x000D_
The proposal has too little material on provable guarantees on the resources needed by the proposed algorithm to be a good fit for algorithmic foundations. And exceptional claims require exceptional evidence: computational fluid dynamics is a big industry and the idea that replacing closure problem formulas by machine learning requires both stronger evidence and a more careful literature review of past work that has tried the same idea._x000D_
_x000D_
</t>
  </si>
  <si>
    <t>Multiscale phenomena are ubiquitous, and pose significant challenges for modeling and computation in many dynamical systems. Nonlinear interactions between large-scale and small-scale dynamics are often responsible for many important features, including instability, bifurcations, chaos, intermittency, transition and turbulence. For many scientific and engineering applications, however, the range of scales to be represented in a simulation is determined by a computational grid. The computational expense required to obtain such a fully-resolved simulation can be extremely prohibitive in many realistic systems. Therefore, the state-of-the-art approaches utilize coarse-grained equations on substantially smaller degrees of freedom to reduce the required memory and computation time. Such an approach, however, often comes with a compromise in accuracy. The origin of errors intrinsic to any coarse-grained simulation is known as the closure problem and can be traced back to the nonlinear interactions between the resolved and truncated scales and their associated subgrid-scale dynamics. To overcome this computational barrier, this project aims to develop novel approximate deconvolution algorithms for accurate coarse-grained simulations of time-dependent partial differential equations in the framework of Krylov subspace methods. A particular effort will be devoted to the development of massively scalable parallel algorithms and fast iterative methods, machine learning enabled blind deconvolution approaches, and a robust generalized deconvolution framework, with the objective of demonstrating their potential for application to highly challenging turbulent geophysical flows.The objective of this proposal is to develop a research initiation and education program contributing to a firm unified algorithmic foundation for the closure problem of coarse-grained simulations of nonlinear multiscale dynamical systems that arise in science and engineering. The main innovation is a generalized deconvolution framework, which will provide proper knowledge about the subgrid-scale dynamics of complex discrete systems. For many realistic applications, the state-of-the-art simulation tools are either affordable but unreliable, or equivalently, they are reliable but unaffordable depending on their level of sophistication. This innovative research addresses this dilemma and will be crucial in establishing physics-based modeling and simulation guidelines, and specific heuristic-free parameterization protocols for the development of accurate and efficient computational tools for nonlinear partial differential equations (PDEs), which is of paramount importance in applications at numerous multiscale and multiphysics problems. Therefore, this project will transform the state-of-the-art computational algorithms by offering a new Krylov subspace iterative framework and an efficient inverse filtering procedure for accurate modeling of subgrid-scale dynamics of coarse approximations of the true solution. The core of the proposed approach then consists of designing a truly predictive concurrent generalized deconvolution approach for recovering unresolved data to tackle closure challenges in such complex systems.The project will develop a new generalized closure modeling framework that will not only significantly improve the prediction of spatiotemporal systems and allow accurate numerical solution of nonlinear PDEs, but will also offer new guidelines in broader inverse problems including applications to integral equations, signal processing, model order reduction, 4D var, unscented transformation and trajectory optimization. The broader impact of the project includes the integration of students into research activities. Special efforts will be made to advertise available positions to graduate and undergraduate students from underrepresented backgrounds. The integrated learning modules and mini-apps will be created to inspire younger students about fascinating aspects of mathematical modeling, object oriented programming, high performance computing, and climate research. Research results will be disseminated to the global community of researchers via research articles published in academic journals, and conference presentations. Research results will be disseminated to the global community of researchers via research articles published in academic journals, and conference presentations.</t>
  </si>
  <si>
    <t>1755885</t>
  </si>
  <si>
    <t>Hosseini</t>
  </si>
  <si>
    <t xml:space="preserve"> Panel Summary       
 Description:_x000D_
This proposal looks at one-sided matching problems in which the agents being matched have preferences over who they are matched with, and act in their own self-interest. It focuses on a setting where agent preferences change over time (according to some random process), and the online setting where the items agents can be matched with change over time. The goal is to form efficient, fair, and truthful matching mechanisms._x000D_
_x000D_
_x000D_
Intellectual Merit:_x000D_
Strengths_x000D_
  + The matching problems have wide applicability. The PI has identified some important problems in this area._x000D_
_x000D_
  + The PI is well-qualified to study these topics, and has preliminary work in the area._x000D_
_x000D_
  + The proposed research on online settings and existence of EF1 (envyfree up to one item) in these settings seems promising. _x000D_
_x000D_
Weaknesses_x000D_
_x000D_
   - The PI does not give enough details about the proposed research, and neither the preliminary work nor other discussion give an indication about how the PI plans to proceed in order to solve the problems they are proposing._x000D_
_x000D_
  - There is no evaluation plan for the project._x000D_
_x000D_
_x000D_
Broader Impact:_x000D_
Strengths_x000D_
  + The PI has identified a domain (course registration at RIT) where he can apply his algorithms.   _x000D_
_x000D_
  + Mentoring graduate and undergraduate students; the PI has a history of working with undergrads and organizing seminars._x000D_
_x000D_
  + Interactive workshops and improving CS education and its accessibility._x000D_
_x000D_
_x000D_
_x000D_
_x000D_
Data Management Plan:_x000D_
Adequate_x000D_
_x000D_
Justification for Panel Rating:  _x000D_
The proposal needs more preliminary work and more details on the proposed research._x000D_
_x000D_
_x000D_
Panel Rating:_x000D_
_ Highly Competitive_x000D_
_ Competitive_x000D_
X Low Competitive_x000D_
- Not Competitive_x000D_
_x000D_
The summary was read 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</si>
  <si>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(LC) for proposal with low review scores_x000D_
_x000D_
CRII: AF: Fair and Truthful Mechanisms for Sequential Matching Under Uncertainty_x000D_
_x000D_
L: 1755885 Hosseini, Hadi Rochester Inst of Tech $  173,878_x000D_
_x000D_
_x000D_
P180209 LC AF CAREER/CRII Panel B (12 panelists),_x000B_  on 11/21/2017, recommended as Low Competitive (V,G,G)_x000D_
Std competition rank 5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</si>
  <si>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looks at one-sided matching problems in which the agents being matched have preferences over who they are matched with, and act in their own self-interest. This is a gigantic field with lots of existing work; this proposal specifically focuses on a setting where agent preferences change over time (according to some random process), and the online setting where the items agents can be matched with change over time. The goal is to form efficient (usually Pareto-efficient, since this is an ordinal setting), fair (for example, envy-free), and truthful matching mechanisms._x000D_
_x000D_
Strengths:_x000D_
_x000D_
+ The PI is well-qualified to study these topics, and has preliminary work in the area._x000D_
_x000D_
+ The scope of the proposal is about right: these questions will likely lead to some very nice papers, and will lead to some nice insights in the long-term, but the questions are solvable in approximately two years. Matching with self-interested agents is an important topic with many real applications, and looking at dynamic and online matching is an important and useful direction._x000D_
_x000D_
+ Looking at EF1 fairness makes sense, and as far as I know has not been done for online settings._x000D_
_x000D_
Weaknesses:_x000D_
_x000D_
- The PI does not give enough details about the proposed research, and neither the preliminary work nor other discussion give an indication about how the PI plans to proceed in order to solve the problems they are proposing. For research challenge 1, the proposal does not explain what it means to be "truthful for dynamic settings" instead of for static ones, or what it means to be "near-optimal" when the only measure of efficiency that is being considered is Pareto-efficiency. After Research Challenge 1 the PI mentions "Our approach", but it is not clear what this approach refers to, and would need a lot more detail. For Research Challenge 3, the preliminary work only seems to indicate that maximizing NSW is not the right thing to do, but gives no indication for how one would go about proving the existence of or computing an EF1 allocation._x000D_
_x000D_
Suggestions for Improvement: Talk more about the research directions and possible approaches to solving them. If more space is needed, it is probably OK to reduce the amount of space devoted to precisely explaining the preliminary work (unless that explanation also tells the reader how you plan to approach the proposed research), or the broader impact section._x000D_
_x000D_
_x000D_
In the context of the five review elements, please _x000D_
evaluate the strengths and weaknesses of the proposal with respect to broader impacts._x000D_
_x000D_
Strengths:_x000D_
_x000D_
+ Matching algorithms are used in a variety of real-world settings, and many of them are dynamic or online. This work would likely yield nice insights and useful algorithms for such settings._x000D_
_x000D_
+ The PI is building a tool for matching students with classes at RIT; this tool may be adjusted for other applications in the future._x000D_
_x000D_
+ Mentoring graduate and undergraduate students; the PI has a history of working with undergrads and organizing seminars_x000D_
_x000D_
+ Interactive workshops and improving CS education and its accessibility_x000D_
_x000D_
Please evaluate the strengths and _x000D_
weaknesses of the proposal with respect to any additional solicitation-specific review criteria, if _x000D_
applicable_x000D_
_x000D_
_x000D_
_x000D_
Summary Statement_x000D_
_x000D_
A proposal on interesting topics from a qualified PI, but the proposal does not explain the proposed research in enough detail._x000D_
_x000D_
</t>
  </si>
  <si>
    <t xml:space="preserve">In the context of the five review elements, please _x000D_
evaluate the strengths and weaknesses of the proposal with respect to intellectual merit._x000D_
_x000D_
I think this is a great CRII proposal in terms of research questions, approaches and scope. It focuses on matching in sequential settings and brings two perspectives together to study the problems. The first is the economic perspective that concerns truthfulness and fairness of matching, but often in a static matching setting. The second approach is the AI/algorithmic approach that considers the dynamic setting. This proposed research studies fair and truthful mechanisms for sequential matching. It will advance the status quo on dynamic mechanism design without money. _x000D_
_x000D_
_x000D_
In the context of the five review elements, please _x000D_
evaluate the strengths and weaknesses of the proposal with respect to broader impacts._x000D_
_x000D_
Nice spillover effects to education and society:_x000D_
+curriculum development_x000D_
+student advising_x000D_
+implementation of a new matching market for course registration_x000D_
+novel pedagogical techniques_x000D_
_x000D_
Please evaluate the strengths and _x000D_
weaknesses of the proposal with respect to any additional solicitation-specific review criteria, if _x000D_
applicable_x000D_
_x000D_
I think funding this research will help  the PI to gain competitiveness in developing his career. _x000D_
_x000D_
_x000D_
Summary Statement_x000D_
_x000D_
A great CRII proposal._x000D_
_x000D_
</t>
  </si>
  <si>
    <t xml:space="preserve">In the context of the five review elements, please _x000D_
evaluate the strengths and weaknesses of the proposal with respect to intellectual merit._x000D_
_x000D_
Strengths:_x000D_
_x000D_
The matching problems have wide applicability.  The PI has identified some important problems in this area:_x000D_
matching with dynamic settings, fairness guarantees, price of fairness etc._x000D_
_x000D_
The proposed research on online settings and existence of EF1 (envyfree upto one item) in these settings seems promising. The PI is already working with two undergraduate students on these problems._x000D_
_x000D_
The PI is well-qualified to conduct the proposed activity._x000D_
There are adequate resources available to the PI to carry out the proposed activities_x000D_
_x000D_
Weaknesses:_x000D_
_x000D_
There is no clear statement of the new insights that will help the PI solve the problems._x000D_
Consider research challenge 1: Devise approximate mechanisms that compute near-optimal allocations under truthfulness constraints while scaling well with the number of agents and alternatives.  The proposal mentions that efficient solutions can be obtained through linear programming. Presumably, the goal is to find a mechanism that is truthful. There is no mention of preliminary work in that direction. Moreover, the notion of "scaling well" is not defined in the proposal._x000D_
_x000D_
In the context of the five review elements, please _x000D_
evaluate the strengths and weaknesses of the proposal with respect to broader impacts._x000D_
_x000D_
Strengths:_x000D_
_x000D_
The PI has identifed a domain (course registration at RIT) where he can apply his algorithms._x000D_
_x000D_
Weaknesses:_x000D_
Even though there is mention of many fields such as robotics and planning, it is not clear if the proposed research will have significant impact in these areas._x000D_
_x000D_
_x000D_
Please evaluate the strengths and _x000D_
weaknesses of the proposal with respect to any additional solicitation-specific review criteria, if _x000D_
applicable_x000D_
_x000D_
_x000D_
_x000D_
Summary Statement_x000D_
_x000D_
The project advances the state of the art but does not propose potentially transformative concepts. This explains the overall rating of this proposal as "Good"._x000D_
_x000D_
</t>
  </si>
  <si>
    <t>One of the most fundamental problems at the intersection of computer science, artificial intelligence, and economics is allocating a set of indivisible resources to self-interested agents. Numerous practical applications prohibit the use of monetary transfers to incentivize truthfulness or compensate loss: allocating courses to students, shifts to nurses, equipment to researchers, and organ exchange are a few of the myriad examples, which are generally known as matching problems._x000D_
_x000D_
While Artificial Intelligence (AI) researchers and economists have studied this domain in the past few years, the interaction between the core AI paradigms and the desirable economic and societal properties has been surprisingly limited, particularly in dynamic and uncertain settings. The overarching theme of this proposal is that the advent of online platforms gives rise to novel algorithmic and computational challenges in designing efficient, truthful, and fair allocations, which require subtle practical, applicable, and scalable mechanisms. Findings of this research will lead to new and improved allocation models and further span theoretical, empirical, and algorithmic aspects of sequential matching under uncertainty._x000D_
_x000D_
Specifically, the proposed research aims to study two interconnected problems: (i) sequential matching under uncertainty, by synthesizing models studied in AI with matching theory to investigate, analyze, and create new mechanisms that discourage strategic manipulation in environments where preferences are dynamically changing, e.g. nurse scheduling; (ii) online matching mechanisms, by employing insights from algorithm design and AI to study fairness and efficiency of matching decisions, in order to design algorithms for sequential settings, when the availability of items is unknown, e.g. food bank organizations.This proposal tackles a set of fundamental problems from different subfields of AI while enriching the algorithmic and computational understanding of matching and resource allocation in practical settings. The goal is to answer questions such as the following:_x000D_
_x000D_
- What are the efficiency guarantees of truthful mechanisms in dynamic settings?_x000D_
- Are there alternative truthful mechanisms (from the set of possible mechanisms) that compute near-optimal allocations while scaling well with the size of the problem?_x000D_
- Are there deterministic or randomized mechanisms with desirable fairness guarantees, such as envyfreeness up to one item, when indivisible alternatives arrive over time?_x000D_
- What is the price of fairness (efficiency loss) of matching mechanisms in online settings? _x000D_
_x000D_
Taking a broader point of view, this proposal promotes the interwoven connection between AI and economics for socially desirable decisions by spanning a diverse collection of AI techniques and providing deeper insights of economic theory and its applications to other areas, such as robotics and planning.This proposal promises an elaborate education, dissemination, and outreach plan, which consists of interconnected components. First, a new matching framework, which enhances the assignment process for various domains such as course registration and online systems for task allocation, and provides new insights about dynamic environments to the research community. The proposal includes a plan for deployment and testing of new matching models for course registration at the institutional level at RIT. Second, educational impact by creative curriculum development and introducing novel pedagogical techniques, which improves STEM education, and in a broader sense, encourages underrepresented groups to pursue AI-related fields.</t>
  </si>
  <si>
    <t>1755921</t>
  </si>
  <si>
    <t>Forbes</t>
  </si>
  <si>
    <t xml:space="preserve"> Panel Summary       
 Description:  The PI proposes to push the theory of linear-algebraic pseudo randomness.  The PI will consider new constructions and new applications of combinatorial objects that are motivated by linear algebra.     The PI will also study deterministic algorithms for factoring polynomials._x000D_
_x000D_
Intellectual Merit: The PI has presented an interesting direction with a rich set of questions, and compelling plan for making progress.   The PI has a good track record in the area._x000D_
Strengths_x000D_
  +  compelling area and good set of questions_x000D_
  + Good track record_x000D_
Weaknesses_x000D_
_x000D_
Broader Impact: PI will develop a new course on algebraic pseudorandomness, organize workshops and train graduate students._x000D_
Strengths_x000D_
  +  Has already organized a workshop in the area with 70 participants and a boot camp._x000D_
  +  Course in an emerging topic that has never been previously taught._x000D_
Weaknesses_x000D_
_x000D_
Solicitation-specific criteria:  The PI outlines research in an emerging area that will put him at the center of action._x000D_
_x000D_
Data Management Plan: adequate_x000D_
_x000D_
_x000D_
_x000D_
Justification for Panel Rating:  The proposal outlines a compelling area and the PI has a strong track record._x000D_
_x000D_
Panel Rating: _x000D_
x Highly Competitive_x000D_
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</si>
  <si>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suggests a very detailed plan on pushing the field of linear algebraic pseudorandom objects.  This is an emerging direction that is promising. The plan is quite innovative, focusing on such objects as subspace evasive sets, rank extractors and dimension expanders.   The PI proposes to find new constructions for these objects as well as to develop applications that are inspired by the analogous combinatorial objects.  The PI also proposes to study deterministic algorithms for the least non-residue problem which would lead to deterministic algorithms for factoring univariate polynomials.  The PI has given experimental evidence for the ability to make progress._x000D_
The PI has made nice progress in these directions and has a good track record._x000D_
_x000D_
In the context of the five review elements, please _x000D_
evaluate the strengths and weaknesses of the proposal with respect to broader impacts._x000D_
_x000D_
The PI will design a new course on algebraic complexity theory that will be very important for student training.  The PI will continue to organize workshops, and has previously co-organized a very involved workshop._x000D_
_x000D_
_x000D_
Please evaluate the strengths and _x000D_
weaknesses of the proposal with respect to any additional solicitation-specific review criteria, if _x000D_
applicable_x000D_
_x000D_
_x000D_
_x000D_
Summary Statement_x000D_
_x000D_
Very well thought out research plan.   Good Broader impacts._x000D_
_x000D_
</t>
  </si>
  <si>
    <t xml:space="preserve">In the context of the five review elements, please _x000D_
evaluate the strengths and weaknesses of the proposal with respect to intellectual merit._x000D_
_x000D_
The proposal aims to significantly extend the emerging theory of linear-algebraic pseudo randomness, with the goal of explicitly constructing linear-algebraic pseudorandom objects achieving optimal parameters. _x000D_
_x000D_
The first major goal of the proposal is  to obtain optimal constructions for objects such as rank extractors, dimension expanders and subspace evasive sets. PI provides many exciting ideas connecting min-entrpy extractors to rank extractors, use of Ramsey graph construction to obtain better subspace evasive sets etc._x000D_
_x000D_
The second major goal of the proposal is to study factorization of polynomials and developing unconditionally deterministic efficient algorithms for it. As a step towards that, PI proposes to develop unconditional deterministic algorithm for finding non-residues in finite fields and give a concrete approach based on polynomial method._x000D_
_x000D_
Summary of strength and weaknesses: It is an extremely well-written proposal on a very important topic. Questions and approaches are very well laid out and the proposal could lead to significant progress in out understanding of linear algebraic pseudorandomness._x000D_
_x000D_
In the context of the five review elements, please _x000D_
evaluate the strengths and weaknesses of the proposal with respect to broader impacts._x000D_
_x000D_
Broader impact section is adequate. The PI will develop new course, organize workshop on relevant topic and train graduate students._x000D_
_x000D_
Please evaluate the strengths and _x000D_
weaknesses of the proposal with respect to any additional solicitation-specific review criteria, if _x000D_
applicable_x000D_
_x000D_
_x000D_
_x000D_
Summary Statement_x000D_
_x000D_
Excellent proposal--must be funded._x000D_
_x000D_
</t>
  </si>
  <si>
    <t xml:space="preserve">In the context of the five review elements, please _x000D_
evaluate the strengths and weaknesses of the proposal with respect to intellectual merit._x000D_
_x000D_
The PI proposes to develop the emerging field of linear-algebraic pseudorandomness.  The combinatorial theory of pseudorandomness is fairly well developed, and there are linear-algebraic analogues of key objects like extractors and expanders.  The PI proposes to improve constructions of various key objects, including rank extractors, subspace evasive sets, and dimension expanders.   The PI has done some nice related work, and has a good track record._x000D_
_x000D_
The PI also proposes to improve the bound on the size of the least quadratic nonresidue, which would have implications for derandomizing certain algorithms.  The PI suggests an interesting approach via the polynomial method, but given that number theorists haven't improved the bound in a long time, I'm not that optimistic._x000D_
_x000D_
In the context of the five review elements, please _x000D_
evaluate the strengths and weaknesses of the proposal with respect to broader impacts._x000D_
_x000D_
The PI already co-organized the 4th Workshop on Algebraic Complexity Theory (WACT), and plans to co-organize the next one.  He also will train students and design a new course._x000D_
_x000D_
Please evaluate the strengths and _x000D_
weaknesses of the proposal with respect to any additional solicitation-specific review criteria, if _x000D_
applicable_x000D_
_x000D_
_x000D_
_x000D_
Summary Statement_x000D_
_x000D_
A strong proposal about the emerging area of linear-algebraic pseudorandomness by a well-qualified PI._x000D_
_x000D_
</t>
  </si>
  <si>
    <t>The use of randomness is pervasive in computing, from its usage in cryptography to hide secrets to how it can be leveraged in the design of efficient algorithms, and it is a fundamental question to  understand how randomness relates to other computational resources such as time or memory. This question naturally arises for computation of a linear-algebraic nature. This type of computation is surprisingly pervasive, often arising where linear-algebra seems at first not relevant. Further, in this setting randomized algorithms are very natural but efficient deterministic algorithms are often scarce. Transforming such a randomized algorithm into a deterministic one can be done through explicit construction of pseudorandom objects. This project explores the theory of such linear-algebraic pseudorandom objects, and develops a connection with the least non-residue problem from number theory.Understanding the relationships between different computational resources, such as time, space, and randomness, is the fundamental goal in theoretical computer science, as exemplified by the P versus NP question. A long line of research has shown that the existence of computationally intractable problems can be used to efficiently derandomize any randomized algorithm. While such intractability is a plausible assumption, these techniques have led to only a few instances where randomized algorithms can be unconditionally derandomized._x000D_
_x000D_
This proposal identities a subclass of computation, linear-algebraic computation, that has received notable recent derandomizations. It proposes to bring these results to their logical fruition by constructing in complete optimality various notions of linear-algebraic pseudorandom objects. These objects have been directly be used to derandomize algorithms, construct more efficient schemes for error-resilient communication, and are related to recent breakthroughs in more combinatorially-oriented pseudorandom regimes. Finally, these objects have a surprising connection to the challenging least non-residue problem from number theory, which if resolved would derandomize the (non-linear) algebraic problem of factoring polynomials.One cannot overstate the importance of results dictating the limits of efficient computation. This proposed project studies these limits by studying the (non-trivially) equivalent question of how to efficiently derandomize algorithms. The primary setting of our investigation is that of linear-algebraic computation, which lies at the intersection of mathematics and computer science, increasingly attracting interdisciplinary attention due to the mathematical richness of the questions about computation. The proposal also identifies connections with boolean computation, highlighting the similarities between these two regimes. The PI is committed to developing the connections between linear-algebraic computation and mathematics. They will promote these connections through public presentations, training of students, and organization of workshops._x000D_
_x000D_
This project will support the PI in the training of his graduate students. The PI, an experts in linear-algebraic computation, has been part of the emerging theory of linear-algebraic pseudorandomness that has occurred in the past decade. The PI is eager to train students, including underrepresented minorities and women, in this area. The PI will also develop and teach a course at University of Illinois on algebraic pseudorandomness, whose course materials will be made publicly available. Finally, the PI recently successfully organized a workshop in algebraic complexity theory, and is planning to help organize the next iteration.</t>
  </si>
  <si>
    <t>1755950</t>
  </si>
  <si>
    <t>Escobedo</t>
  </si>
  <si>
    <t xml:space="preserve"> Panel Summary       
 Description: _x000D_
_x000D_
The proposal shows that current rank-aggregation functions do not properly handle incomplete rankings because the aggregation should be agnostic to which items are ranked.  This proposal has two thrusts.  The first is to identify a list of possible criteria to achieve desiderata for fair ranking aggregation.  The second is to study the computational complexity of (approximately) achieving the criteria._x000D_
_x000D_
 _x000D_
Intellectual Merit: _x000D_
_x000D_
Strengths_x000D_
  + The problems are well-scoped within each of these areas.  The concrete paths forward are proposed._x000D_
 + PI has some prior work in the area_x000D_
_x000D_
Weaknesses_x000D_
  - The problem is already computationally hard in the full ranking case, so this seems like a difficult problem.  Very unclear that the paths forward suggested will be sufficient to succeed. _x000D_
  - The proposal is unclear what the axioms for approximation scheme can or should be.   _x000D_
 -  Many ideas are related to game-theoretic concepts such as strategy-proofness, but this is not  mentioned in the proposal.  This is especially the case when discussing the axioms that approximations should satisfy.  There is a body of computer science literature on these topics which are not mentioned in the proposal._x000D_
  - Some members of the panel thought that the proposals description of PIs prior work did not look sufficient to show that tackling these hard problems would have impact. _x000D_
_x000D_
Broader Impact: _x000D_
_x000D_
Strengths_x000D_
  + Expanding the research in social choice theory to handle incomplete and incomparability in preference relations has the opportunity for impact in a number of data driven decision making applications. _x000D_
  +  The PI has also outlined a number of avenues to include minority student in the proposal._x000D_
  + The PI will mentor two PhD students._x000D_
_x000D_
_x000D_
_x000D_
Solicitation-specific criteria: _x000D_
+ The proposal mentions how this will be connected to the PIs future CAREER  proposal submission on "detection and elimination of algorithmic biases in automated decision-making and crowdsourcing" . However, the tightness of this connection is not illuminated._x000D_
_x000D_
_x000D_
Data Management Plan: adequate._x000D_
_x000D_
Suggestions to PI: Better relate to the algorithmic game theory literature on computational social choice.  This is especially needed in the approximation section.  What axioms should the approximation satisfy?_x000D_
_x000D_
Any partial work you could include, would be very helpful.  Better selling/integrating your current (published/submitted) work would also be nice._x000D_
_x000D_
If you could strengthen connection to future work, that would help as well.  _x000D_
_x000D_
_x000D_
_x000D_
Justification for Panel Rating:  Proposal was well scoped and well written.  However, did not sufficiently relate to current literature.  Unclear if the paths forward will be sufficient.  _x000D_
_x000D_
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</si>
  <si>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(LC) for proposal with low review scores_x000D_
_x000D_
CRII: AF: Robust Algorithmic Foundations for the Impartial Aggregation of Incomplete Ranking Data_x000D_
_x000D_
L: 1755950 Escobedo, Adolfo Arizona State University $  175,000_x000D_
_x000D_
_x000D_
P180209 LC AF CAREER/CRII Panel B (12 panelists),_x000B_  on 11/21/2017, recommended as Low Competitive (V/G,G,G/F)_x000D_
Std competition rank 5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</si>
  <si>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Strengths:_x000D_
The PI has developed new notions of distance between ranking vectors and has some past work on defining a set of axioms for deriving consensus rankings._x000D_
_x000D_
The PI has strong background in ranking aggregation to work on research objective 1 and also in approximation algorithms to accomplish research objective 2._x000D_
_x000D_
_x000D_
Weaknesses: In research objective 1, it is not clear how different the proposed research will be from Kemeny's aggregation scheme.  The idea is to extend it for incomplete data. Extensions for incomplete data in schemes close to Kemeny's aggregation scheme may be computationally hard._x000D_
_x000D_
In research objective 2, the goal is to develop computationally expedient properties.  It is not clear what the completed work is and how it relates to the proposed work.  For the task of Research Objective 2, the PI does not list any completed work._x000D_
_x000D_
Many ideas are related to game-theoretic concepts such as strategy-proofness. These are not mentioned in the proposal._x000D_
_x000D_
In the context of the five review elements, please _x000D_
evaluate the strengths and weaknesses of the proposal with respect to broader impacts._x000D_
_x000D_
Strengths:_x000D_
Rank aggregation has applications in many areas.  The PI plans to work with a female student._x000D_
_x000D_
_x000D_
_x000D_
Please evaluate the strengths and _x000D_
weaknesses of the proposal with respect to any additional solicitation-specific review criteria, if _x000D_
applicable_x000D_
_x000D_
Not applicable._x000D_
_x000D_
Summary Statement_x000D_
_x000D_
The proposal requires more preliminary work for research objective 2._x000D_
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</si>
  <si>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deals with the fundamental problem of extending existing social choice research into the domain of preferences that are incomplete or contain incompatibilities.  The PI has identified several key issues with the existing literature and a comprehensive set of research questions to address these.  The ideas are novel though I was curious to not see any references to the large literature in Computational Social Choice especially the work of people like Aziz, Prococcia, Regenwetter, Rossi, Walsh and anything related to PrefLib which contains large amounts of data of the type needed to undertake the research stated._x000D_
_x000D_
2. To what extent do the proposed activities suggest and explore creative, original, or potentially transformative concepts?_x000D_
_x000D_
The research questions identified build on a fundamental issue with existing social choice research in interesting and meaningful ways.  The questions are well aligned and interesting and answering them in positive ways would expand the state of the art in the area of preference reasoning and aggregation._x000D_
_x000D_
3. Is the plan for carrying out the proposed activities well-reasoned, well-organized, and based on a sound rationale? Does the plan incorporate a mechanism to assess success?_x000D_
_x000D_
The plan is extremely well organized and there is a clear methodology for evaluating success.  The PI has outlined ambitious goals and measurements to assess the progress of the proposal._x000D_
_x000D_
4. How well qualified is the individual, team, or institution to conduct the proposed activities?_x000D_
_x000D_
The proposed questions build on the PIs work in preference aggregation and he is well situated to attack the questions outlined in the proposal._x000D_
_x000D_
5. Are there adequate resources available to the PI (either at the home institution or through collaborations) to carry out the proposed activities?_x000D_
_x000D_
There are adequate resources and collaborators to attack the proposed questions._x000D_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Expanding the research in social choice theory to handle incomplete and incomparability in preference relations has the opportunity for impact in a number of data drive decision making applications.  The PI has also outlined a number of avenues to include minority student in the proposal._x000D_
_x000D_
2. To what extent do the proposed activities suggest and explore creative, original, or potentially transformative concepts?_x000D_
_x000D_
The broader impacts are well described and are original though fairly straightforward in where they could be applied.  This is not a problem for this proposal._x000D_
_x000D_
3. Is the plan for carrying out the proposed activities well-reasoned, well-organized, and based on a sound rationale? Does the plan incorporate a mechanism to assess success?_x000D_
_x000D_
There is a clear plan to disseminate the work and recruit diverse populations to the research._x000D_
_x000D_
4. How well qualified is the individual, team, or institution to conduct the proposed activities?_x000D_
_x000D_
The PI does not have extensive experience in outreach however he does have experience in translating theoretical research into practical algorithms.  Therefore he is well positioned and qualified to undertake the broader impacts portion of the proposal._x000D_
_x000D_
5. Are there adequate resources available to the PI (either at the home institution or through collaborations) to carry out the proposed activities?_x000D_
_x000D_
The PI has identified several resources at his home institution to help with the educational outreach activities.  There is not a clear connection for translating the research into broader impacts through any particular mechanism but the resources requested are adequate._x000D_
_x000D_
_x000D_
Please evaluate the strengths and _x000D_
weaknesses of the proposal with respect to any additional solicitation-specific review criteria, if _x000D_
applicable_x000D_
_x000D_
_x000D_
_x000D_
Summary Statement_x000D_
_x000D_
A good proposal with a clear and concise plan to address fundamental gaps in the social choice literature.  The PI is well positioned to attack these problems that have broad impact within the OR/CS communities and across a number of sub disciplines.  There are nicely identified opportunities for broader impacts and resource on campus have been contacted and identified._x000D_
_x000D_
_x000D_
</t>
  </si>
  <si>
    <t xml:space="preserve">In the context of the five review elements, please _x000D_
evaluate the strengths and weaknesses of the proposal with respect to intellectual merit._x000D_
_x000D_
The author argues that current rank-aggregation functions do not properly handle incorrect ratings.  The argument is that the aggregation should be agnostic to which items are ranked.  As such, it seems like current aggregation messes up pretty badly when aggregating partial ranks.   _x000D_
_x000D_
This proposal has two thrusts.  The first is to figure out a list of possible to achieve desiderata for fair ranking aggregation. Of course, Arrow's theorem makes this difficult, but in the complete raking since, one can still do a slightly weaker version of independence of irrelevant alternatives.  _x000D_
The second is to study the computational complexity of (approximately) achieving the criterial._x000D_
_x000D_
The author has RAF technique that he believes will satisfy the first goal if proven.  For the second ranking, he argues that current techniques in use are gravely inadequate (this appears very true), and proposes three alterative approaches: 1) a greedy algorithm; 2) to extend Borda rankings to a computable version of the scaled-footrule distance 3) a R-ECC decomposition algorithm.   Another part of thrust 2 is to improve exact calculations (at least for medium sized inputs).  _x000D_
_x000D_
_x000D_
The proposed methods are creative and original (as far as I know).  They are not transformative, but are useful. _x000D_
_x000D_
The PI has limited prior work on this area.  It seems like the part of the work that is done already is noticing that some terms should be normalized.  However, the proposal does layout a clear path forward.  _x000D_
_x000D_
_x000D_
Some notes: _x000D_
_x000D_
While I mostly agree with the author's main premise, I think the proposal would be even stronger if it were more clearly argued.  WHY should we be agnostic to unranked items?  There are certainly cases when this fails, so when is that?  Also, right now there is just one little counter intuitive example.   It would be great if there were more evidence of systematic bias.  _x000D_
_x000D_
Additionally, it would have been very helpful to spell out a specific case or two where incomplete rankings are aggregated.  Currently there is a laundry list, but it would be more compelling if a stronger connection were made.  _x000D_
_x000D_
It would have been really helpful to have a more clear definition of Kemeny aggregation in the proposal itself.  (I looked it up on Wikipedia.  I should not have to).  _x000D_
_x000D_
_x000D_
In the context of the five review elements, please _x000D_
evaluate the strengths and weaknesses of the proposal with respect to broader impacts._x000D_
_x000D_
This proposal fits in the "algorithmic fairness" literature.  We must have a good theoretical understanding of what are algorithms are doing to insure fairness.  _x000D_
The PI will also mentor two PhD students, and involve undergraduates from diverse backgrounds (this is a good project to on-board people)._x000D_
_x000D_
_x000D_
Please evaluate the strengths and _x000D_
weaknesses of the proposal with respect to any additional solicitation-specific review criteria, if _x000D_
applicable_x000D_
_x000D_
It is not very clear how completing this research would lead to a stronger Career proposal on "detection and elimination of algorithmic biases in automated decision-making and crowdsourcing" .  It is great that the author has a plan of the future, but it should be better connected to the current proposal._x000D_
_x000D_
Summary Statement_x000D_
_x000D_
The proposal presents a well-thought out and scoped project.  The author does not have a great deal of experience in this area (I guess that is, in part, the point of CRII).    A few items would make the broader impacts and impact on the PI career more clear._x000D_
_x000D_
</t>
  </si>
  <si>
    <t>The objective of this CRII proposal is to establish firm theoretical and algorithmic foundations that enable the impartial aggregation of incomplete rankings, which constitute a general data format that is prevalent across a wide array of modern applications. Most prominently, these data are routinely collected--both explicitly and implicitly--to combine, classify, or predict user preferences for the common purpose of automating decision-making tasks. Within these human-centered contexts, data incompleteness generally arises from users' limitations to evaluate only a few of the numerous alternatives involved; this means that no inferences should generally be made from an individual's preference data regarding the alternatives he/she does not evaluate. Hence, it is disquieting to learn that the ranking aggregation algorithms associated with the aforementioned tasks for processing preference data inadvertently introduce assumptions regarding users' unspecified preferences that are invalid for most situations. This inappropriate usage is highly problematic in that it creates algorithmic biases that may lead to arbitrary and/or unfair real-world outcomes. Thus, due to the growing emphasis on algorithmic neutrality and transparency, the development of more rigorous frameworks for dealing with incomplete ranking data impartially is both essential and timely. More generally, due to the inherent subjectivity of preference data, extra attention must be paid to curtailing the deleterious effects of human biases, especially when there is a finite set of benefits that is to be allocated commensurate with the resulting aggregate ranking. Hence, implementing efficient frameworks that are less prone to individual manipulation and outlier opinions and whose underlying assumptions can be directly tied to a set of formal properties is essential. Moreover, their associated ranking measures should properly account for the presence of ties and incomplete evaluations, which are the rule rather than the exception in most cases, and for contemporary situations where the evaluation of a large object set is performed through the allocation of smaller subsets of differing sizes. Failing to do so would implicitly force arbitrary and/or careless choices and thereby introduce noise and bias. Thus, robustness, flexibility, and computational viability are three vital ingredients for aggregating preference data impartially in modern contexts.The fundamental challenge addressed in this proposal is the design of a robust aggregation framework that supports an impartial treatment of incomplete rankings for practical applications. To this end, the research plan consists of a set of theoretical and algorithmic contributions that cumulatively describe a novel impartial treatment of preference data. Expressly, establishing the targeted design requires original theoretical advances:  defining a set of social-choice related axioms and properties that any impartial incomplete-ranking measure should satisfy; constructing robust measures to fulfill them from a precise mathematical standpoint; and exploring the validity and pragmatic implications of these measures via formal statistical methods. Moreover, owing to the inability/inadequacy of extant ranking aggregation algorithms to handle incomplete rankings efficiently/impartially, enabling the practical implementation of the resultant measures requires major algorithmic breakthroughs. These include the development of new exact implicit-enumeration techniques and approximation algorithms with provable guarantees.Due to the rising usage growth of automated decision-making technologies, preference ranking aggregation algorithms have quickly come to permeate numerous spheres of daily life. In fact, their byproducts play direct roles in determining business reputations, credit scores, hiring decisions, and other high-stake matters. Thus, the outputs of the proposed line of research and their subsequent progression into effective tools for detecting and eliminating algorithmic biases--which the academic community fervently demands--would have widespread impacts on aggregation. What is more, due to the pivotal roles of robust ranking aggregation frameworks in other fields including biostatistics and ethnography, the successful execution of this proposal could bring a series of multidisciplinary advances. Educational benefits include the training of two PhD students, the creation of cross-disciplinary course modules, and the dissemination of results via presentations at leading conferences and publications in high-quality journals.</t>
  </si>
  <si>
    <t>1755954</t>
  </si>
  <si>
    <t>Hajimirza</t>
  </si>
  <si>
    <t>p180207</t>
  </si>
  <si>
    <t xml:space="preserve"> Panel Summary       
 SUMMARY OF PROPOSED RESEARCH ACTIVITY _x000D_
_x000D_
Description : _x000D_
The PI suggests to create Surrogate modelling for the Monte Carlo method, using tools from machine learning. Most of the proposal seems to focus on the machine learning part. The panel did not find that the PI gave a clear way to make the transition from the Monte Carlo method to the machine learning techniques, which puts in doubt the possibility of theoretical results. It is not clear if the PI can innovate in this area. _x000D_
_x000D_
INTELLECTUAL MERIT _x000D_
_x000D_
Adequate _x000D_
_x000D_
Strengths _x000D_
+ The problems discussed are important _x000D_
_x000D_
_x000D_
Weaknesses _x000D_
- The panel found the proposal out of scope for algorithmic foundations. _x000D_
While there are reviewers that found some of the problems interesting, the panel did not feel these study will lead to theoretical results. _x000D_
_x000D_
- _x000D_
In terms of theory, it would be good to see connections to and reductions from other forms of learning, eg. is surrogate modeling related to Q-learning using feature vectors in MDP. _x000D_
_x000D_
BROADER IMPACTS _x000D_
_x000D_
The broader impact is limited to the PI's well-developed plan for outreach to underrepresented groups, which is acceptable for the CRII program. _x000D_
_x000D_
_x000D_
ADDITIONAL REMARKS _x000D_
_x000D_
Research plan: Adequate. _x000D_
_x000D_
Data Management Plan: Adequate. _x000D_
_x000D_
_x000D_
Suggestions to PI: _x000D_
Please write the proposal to clearly show theoretical objectives targeted. _x000D_
The PI could also consider other NSF programs, which may be more appropriate since analysis of the algorithms is not a primary goal. _x000D_
_x000D_
Justification for Panel Rating: _x000D_
_x000D_
Panel Rating: _x000D_
_ Highly Competitive _x000D_
_ Competitive _x000D_
_ Low Competitive _x000D_
X_ Not Competitive _x000D_
_x000D_
The summary was read by/to the panel and the panel concurred that the summary accurately reflects the panel discussion.  
</t>
  </si>
  <si>
    <t xml:space="preserve">NATIONAL SCIENCE FOUNDATION _x000D_
Alexandria, Virginia 22314 _x000D_
Directorate for Computer and Information Science and Engineering (CISE)_x000D_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 AF:Bayesian Framework for Efficient Surrogate Modeling and Learning of Probabilistic Functions Based on Large Scale Monte Carlo Simulations_x000D_
_x000D_
L: 1755954 Hajimirza, Shima Texas Engineering Exp Sta $  175,000_x000D_
_x000D_
_x000D_
P180207 NC AF CAREER/CRII Panel A (14 panelists; 0 decl confl),_x000B_  on 10/24/2017, recommended as Not Competitive (V,G,G/F)_x000D_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</si>
  <si>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 xml:space="preserve">In the context of the five review elements, please _x000D_
evaluate the strengths and weaknesses of the proposal with respect to intellectual merit._x000D_
_x000D_
This proposal involves the development of surrogate techniques to replace or augment full Markov Chain Monte Carlo estimation in many applied problems. The motivation for the problem is sound, and the techniques proposed are appropriate and promising. A an example, the PI proposes to take into account the total cost of learning into account, not just the error from one step._x000D_
_x000D_
The techniques are motivated by algorithmic and probabilistic insight, and the evaluation proposal is sound. However, the proposal does not involve developing new theoretical bounds or provably good methods. For this program, it is important to abstract from techniques that work well in particular application, and derive theoretical guarantees._x000D_
_x000D_
_x000D_
In the context of the five review elements, please _x000D_
evaluate the strengths and weaknesses of the proposal with respect to broader impacts._x000D_
_x000D_
The use of surrogate models is likely to have substantial broad impact in multiple application domains. The PI proposes an adequate eduction plan, and an excellent outreach plan, particularly to women entrepreneurs._x000D_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</si>
  <si>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As a disclaimer, this proposal is really far from my area of expertise so I am not sure I can make the correct judgements. (another question is if this AF the right track for it? It seems to me more of an applications proposal)_x000D_
_x000D_
The PI is early in her career and has already done preliminary work in the proposed area, which is promising for the potential success of the research agenda. To my understanding, the suggested research is to study how to use surrogate models from machine learning in oder to design more efficient (faster, more accurate) algorithms to approximate Monte Carlo simulations. This thread of work seems to me that it might have significant practical applications, since it promises to reduce required time and cost of computation for many large scale simulations. The PI is well qualified, though at early stages of her career, to conduct such a research plan. However, given that I am very far from an expert in the field, I cannot judge how novel the methodologies suggested are, nor can I say with certainty that they will be advancing knowledge within the field. At a few parts of the proposal, the PI seems to over-play the importance of her suggested research, which I would consider as a slight weakness._x000D_
_x000D_
In the context of the five review elements, please _x000D_
evaluate the strengths and weaknesses of the proposal with respect to broader impacts._x000D_
_x000D_
The PI has no prior NSF support, and this is an early career proposal, so I would expect the broader impacts of the proposal to not be as well expanded upon, as is indeed the case with this proposal. The workshop the PI proposes to organize seems promising regarding outreach, but other than that, the PI has not spent much effort delving on the specifics of expected broader impacts of the work._x000D_
_x000D_
Please evaluate the strengths and _x000D_
weaknesses of the proposal with respect to any additional solicitation-specific review criteria, if _x000D_
applicable_x000D_
_x000D_
_x000D_
_x000D_
Summary Statement_x000D_
_x000D_
Early career proposal from a promising PI. I am not sure if AF is the right track for it. The proposal addresses the issue of inefficiency of  MC simulations, seen as they are being very time consuming, and suggest to replace large scale MC simulations by statistical methods use in machine learning (surrogate models), which are significantly more efficient. The research plan is well thought - out, but I have no expertise in the area to say whether it is novel/transformative. The broader and educational aspects are somewhat lacking. I would be inclined to recommend funding the PI, assuming that this is the right place for the proposal,  since it is so early in her career and the PI has no prior support._x000D_
_x000D_
</t>
  </si>
  <si>
    <t xml:space="preserve">In the context of the five review elements, please _x000D_
evaluate the strengths and weaknesses of the proposal with respect to intellectual merit._x000D_
_x000D_
This is so far from my area, and I am basing my report so much on general knowledge (hence not deep knowledge) that this report _x000D_
will be much shorter than usual._x000D_
_x000D_
Some background may be needed here. This is not related whatsoever to my area. Everything I know is because of general knowledge_x000D_
_x000D_
Monte Carlo methods apply repeated random sampling,_x000D_
The goal is to study some measure of the data (such as average)._x000D_
Its very easy to verify many equation from probability by simulations._x000D_
Monte Carlo methods are most times used when the data is unknown _x000D_
or analytic method fail.  Its basically a field in AI in my opinion. Not in theoretical computer science (namely math), These methods are vastly used for _x000D_
optimization, but also computing probability distributions._x000D_
_x000D_
The basic principal that helps Monte Carlo sampling is of course  the law of large numbers, based on independence._x000D_
_x000D_
Machine learning is the study of knowledge, using for example algorithms that evolve over time. For example design algorithms that make predictions on data. They can change based _x000D_
on if the prediction was correct. Its basically a different type of data manipulation._x000D_
They build models by sampling from the input. Note that this is not part of AI, namely this is algorithms and the difference is that_x000D_
this has proofs unlike Monte Carlo method that can do regression _x000D_
which is fine, but does not PROVE anything. Machine learning _x000D_
is part of Math (Theoretical computer science) I think._x000D_
_x000D_
The PI wants to use machine learning in place of Monte Carlo methods._x000D_
The PI thinks that these methods will be faster._x000D_
In fact the PI says that this work will PROVE that models derived from _x000D_
machine learning can give very close results for simple MC methods applications. _x000D_
How can the PI know the future? This is also not the only part that sounds a bit vane._x000D_
_x000D_
The notion of Surrogate model contains the Monte Carlo method._x000D_
This just mean modeling without using analytical analysis (like in Engineering). A lot of that is done in AI for example._x000D_
There are many other method that are not Monte Carlo for this._x000D_
_x000D_
The PI suggest more precise surrogate modeling via Machine learning for things solved with Monte Carlo simulations. _x000D_
A rigorous analysis basically that will move this for AI to theoretical computer science. If this is possible, it can be a significant achievement._x000D_
_x000D_
If the input arrives from some unknown distribution,_x000D_
the goal is to design experimental algorithms for collecting data that can improve the run of future algorithms._x000D_
_x000D_
The issue of optimization learning is somewhat easier as a small_x000D_
amount of data can at time allow good predictions (this is not true in _x000D_
machine learning or Monte Carlo method. Indeed they are very global._x000D_
But for optimization say a convex body many times local optima is enough). I will leave the description short for this proposal,_x000D_
because I am so far from the knowledge required. _x000D_
_x000D_
I see this as taking a subject from Engineering or AI and trying to apply algorithms and rigorous analysis instead of Monte Carlo method._x000D_
It can be important if it works. But will it will work, I do not know._x000D_
_x000D_
In the context of the five review elements, please _x000D_
evaluate the strengths and weaknesses of the proposal with respect to broader impacts._x000D_
_x000D_
I do not get PI's that say that their work will improve the world._x000D_
In my experience if you do that (improve the world) in a significant way, you may get_x000D_
a Turing award. Saying that your papers are THE broader _x000D_
impact  is a tad vane. This is what the PI promises._x000D_
I cant take seriously the PI's claim:_x000D_
_x000D_
The project will have impact on computational and numerical research fields. Accurate surrogate models that replace MC_x000D_
simulations significantly reduce required time and cost of computation for a broad range of engineering_x000D_
applications such as real time control, tracking, estimation, detection, and optimization, and will impact_x000D_
almost every field of engineering and science. Reaching the objectives of this research will significantly_x000D_
increase computational efficiency of first principle simulations by using artificial intelligence._x000D_
By my up bringing, I am amazed to see that many PI say that their papers are the broader impact. Seriously?_x000D_
_x000D_
If the PI talks about having more papers, that will follow from the PI's  papers, this NOT global impact. If the PI claims that _x000D_
this will transform the industry, the claim does not seem believable._x000D_
To say the least._x000D_
I do not see a real broader impact._x000D_
_x000D_
Perhaps the workshop planned to advance women will have some affect._x000D_
But one workshop can not make a lasting broader impact. _x000D_
In general, its a pity to see that so many of the  PI do not take _x000D_
broader impact seriously. _x000D_
_x000D_
On the other hand, I think this is the first time the PI applies for a grant and in this case I tend to disregard_x000D_
the lack of Broader impact. However, without broader impact for real,_x000D_
I do not think that the second third etc proposals, should be accepted._x000D_
_x000D_
Please evaluate the strengths and _x000D_
weaknesses of the proposal with respect to any additional solicitation-specific review criteria, if _x000D_
applicable_x000D_
_x000D_
I am not the one who should decide on this project._x000D_
It may be that my report will not help at all._x000D_
The PI is in engineering not computer science._x000D_
So I can not even tell if the researcher is a strong one._x000D_
_x000D_
_x000D_
Summary Statement_x000D_
_x000D_
This project should stand a chance._x000D_
It may be a bit borderline but maybe slightly more than 50 percent chance of approval._x000D_
_x000D_
</t>
  </si>
  <si>
    <t>The objective of this project is to study machine learning for approximating the outcomes of very large scale Monte Carlo (MC) simulations. The work will prove the hypothesis that surrogate models derived from machine learning methods are efficient and accurate approximations to first principle Monte Carlo calculations. Monte Carlo calculations are often time-consuming for a variety of reasons: 1) complicated modeling of physical phenomena, 2) uncertainty in numerical simulations, and 3) inefficiency of conducting experiments in experimental research fields. A key motivation for the proposed work is to study feasibility, limitations, and algorithms for efficient and effective design of experiment of surrogate models to approximate MC simulations. This project has several key outcomes: (i) A rigorous analysis of computational cost of model construction and estimation error in surrogate modeling of MC-based functions is offered. Such knowledge is critical to scientists and engineers who seek to apply the most reliable and efficient surrogate-model to engineering applications suffering from computational bottleneck and numerical uncertainty. (ii) A Bayesian algorithmic foundation is proposed for adaptive sampling, model construction and optimization of surrogate models for MC simulations. Specific algorithms rooted in the proposed framework and fine-tuned for different learning methods and function statistics are derived and compared. (iii) Finally, surrogate modeling approximation, optimization and sensitivity analysis of MC simulations is used to overcome the computational barriers of critical problems in material design, thermal radiation and energy transport, as a proof of concept of the methods. These lead to original and efficient solutions beyond available state-of-the-art computational tools.This project addresses a critical gap between computational research and machine learning, with the goal of significantly increasing computational efficiency of first principle simulations. The project will lead to valuable models for significantly expediting intensive numerical calculations that are based on large scale repeated (Monte Carlo) first principle simulations with statistical uncertainty. The models are studied in the context of approximation, sensitivity analysis and (design) optimization. Theoretical aspects of the study yield better understanding of feasibility and limitations of surrogate models for approximating averages of stochastic computationally intense simulations. An algorithmic framework is proposed for adaptive sampling of training points in the parameter space for learning or optimizing the surrogate model. The sampling scheme is based on a Bayesian likelihood model that attempts to minimize the overall computational cost of learning while maximizing the out-sample accuracy. The framework is applied to and studied for a broad class of underlying function process models including parametric and non-parametric copulas of elliptical processes, and a variety of learning algorithms including Kriging models, polynomial regression, Gaussian mixture models, latent factor models, neural networks and support vector regression, and studied in further depth in each case.The results of this research will have a broad and significant impact on computational and numerical research. Surrogate models that closely approximate MC simulations significantly reduce required time and cost of computation for a broad range of engineering applications such as real time control, tracking, estimation, detection and optimization and will affect almost every field of engineering and science.  For educational purposes and outreach, the PI will create an educational and research website where the outcomes of the proposed research including interactive computational simulations that illustrate small scale versions of the adaptive surrogate model construction algorithms, computer source codes and publications will be available to the public. In addition, with participation from Women in Engineering Program and TAMU MEEN Girls organization, the PI will organize a workshop at Texas A&amp;M University (TAMU) and will visit local high schools to share the novelty of the proposed project and contribute to recruitment, retention, and engagement of women and under-represented groups of students in STEM education.</t>
  </si>
  <si>
    <t>1755955</t>
  </si>
  <si>
    <t xml:space="preserve"> Panel Summary       
 Description: This proposal aims to design practical auctions using the deferred-acceptance (DA) framework, and to make this framework more general. Deferred acceptance auctions give rise to auctions which are "obviously strategy-proof" (OSP); this is a very desirable quality as whenever one designs a complex auction, it is important to be able to convince the users that it is a good auction for them to use, and this is easy to do with OSP and deferred-acceptance auctions. Such auctions also have other nice properties, such as being more privacy-preserving._x000D_
_x000D_
Intellectual Merit:_x000D_
_x000D_
Strengths_x000D_
+ Studying deferred-acceptance auctions is a good thing to do: they have nice properties, and have not received enough attention yet, so there are likely to be nice results. This is a hot area, and the PI is extremely well-qualified. In general, the design of "practical" instead of "optimal" auctions is a major important trend in mechanism design, and this proposal fits well in this trend. _x000D_
+ The PI has preliminary work for almost every research direction proposed. The questions being asked are concrete, and not very long-term, as appropriate for this type of proposal. It seems very likely that the PI would be able to resolve most of them. That said, all of these questions are aimed at designing and understanding the limitations of DA auctions, which is a great long-term goal._x000D_
+ The proposal brings techniques in mechanism design and approximation algorithms together to tackle the challenges. The proposal is full of ideas, for example, it will extend DA to combinatorial auction settings, to allow randomization, and to multi-parameter domains._x000D_
_x000D_
Weaknesses_x000D_
- The proposal could be clearer in terms of attack plan._x000D_
- The questions being asked are natural next steps, and therefore not incredibly novel._x000D_
_x000D_
Broader Impact:_x000D_
_x000D_
Strengths_x000D_
+ The design of practical auctions which are easier to get people to use is extremely important; DA auctions have been used in practice, for example the gigantic FCC incentive auction. The developed mechanisms may have practical implications on real-world large-scale auctions._x000D_
+ This will likely be of interest to Economists, and foster further collaboration between Economists and Computer Scientists._x000D_
  _x000D_
Weaknesses_x000D_
- No specific avenues are identified in translating this work to form  broader impact (e.g., forming software, implementing real-world auctions)._x000D_
- The PI did not describe enough broader impact, education, students advising, etc._x000D_
_x000D_
Solicitation-specific criteria: The panel agrees that funding this research will help the PI to gain competitiveness in developing his career, and to form an excellent research program._x000D_
_x000D_
Data Management Plan: adequate_x000D_
_x000D_
What is bold, exciting, high risk/reward, or potentially transformative? Deferred-acceptance auctions have great potential to be used in practice, and is one of the most important exports at the intersection of Economics and Computation. Thus forming theoretical foundations for these auctions and forming new auctions of this type is very exciting._x000D_
_x000D_
Suggestions to PI: Greatly expand the broader impacts section of this proposal. For example, describe specifics of the educational plan, like advising students or developing courses._x000D_
_x000D_
Justification for Panel Rating: The panel agreed this is an extremely good proposal, by a very qualified PI, asking concrete, useful, and important questions._x000D_
_x000D_
Panel Rating:_x000D_
_ Highly Competitive_x000D_
X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</si>
  <si>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design practical auctions using the deferred-acceptance (DA) framework, and to make this framework more general. Deferred acceptance auctions give rise to auctions which are "obviously strategy-proof" (OSP); this is a very desirable quality as whenever one designs a complex auction, it is important to be able to convince the users that it is a good auction for them to use, and this is easy to do with OSP and deferred-acceptance auctions. Such auctions also have other nice properties, such as being more privacy-preserving._x000D_
_x000D_
Strengths:_x000D_
_x000D_
+ Studying deferred-acceptance auctions is a good thing to do: they have nice important properties, and have not received enough attention yet, so there are likely to be nice results. This is a hot area, and the PI is extremely well-qualified. In general, the design of "practical" instead of "optimal" auctions is a major important trend in mechanism design, and this proposal fits well in this trend._x000D_
_x000D_
+ The PI has preliminary work for almost every research direction proposed. The questions being asked are concrete, and not very long-term, as appropriate for this type of proposal. It seems very likely that the PI would be able to resolve most of them. That said, all of these questions are aimed at designing and understanding the limitations of DA auctions, which is a great long-term goal._x000D_
_x000D_
Weaknesses:_x000D_
_x000D_
- Section 3.2 (Bayesian setting) is not as well thought-out as the other research directions. In a Bayesian setting, it is not even clear why DA should be used instead of posted pricing._x000D_
_x000D_
_x000D_
In the context of the five review elements, please _x000D_
evaluate the strengths and weaknesses of the proposal with respect to broader impacts._x000D_
_x000D_
Strengths:_x000D_
_x000D_
+ The design of practical auctions which are easier to get people to use is extremely important; DA auctions have been used in practice, for example the gigantic incentive auction._x000D_
_x000D_
+ This will likely be of interest to Economists._x000D_
_x000D_
Please evaluate the strengths and _x000D_
weaknesses of the proposal with respect to any additional solicitation-specific review criteria, if _x000D_
applicable_x000D_
_x000D_
_x000D_
_x000D_
Summary Statement_x000D_
_x000D_
Very nice concrete research directions from a well-qualified PI, likely to provide both fundamental insights and practical impact, and lead to a further research program._x000D_
_x000D_
_x000D_
</t>
  </si>
  <si>
    <t xml:space="preserve">In the context of the five review elements, please _x000D_
evaluate the strengths and weaknesses of the proposal with respect to intellectual merit._x000D_
_x000D_
This is a nice CRII proposal focusing on designing more practical auctions by extending the well known deferred acceptance (DA) framework for simple settings.  It brings techniques in mechanism design and approximation algorithms together to tackle the challenges. The proposal is full of ideas, for example, it will extend DA to combinatorial auction settings, to allow randomization and to multi-parameter domains. I think the PI has an interesting agenda to pursue._x000D_
_x000D_
In the context of the five review elements, please _x000D_
evaluate the strengths and weaknesses of the proposal with respect to broader impacts._x000D_
_x000D_
+The developed mechanisms may have practical implications on real-world large-scale auctions. _x000D_
+Further foster collaboration of computer scientists and economists. _x000D_
_x000D_
_x000D_
Please evaluate the strengths and _x000D_
weaknesses of the proposal with respect to any additional solicitation-specific review criteria, if _x000D_
applicable_x000D_
_x000D_
I think funding this research will help  the PI to gain competitiveness in developing his career. _x000D_
_x000D_
_x000D_
Summary Statement_x000D_
_x000D_
A great CRII proposal._x000D_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</si>
  <si>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proposal outlines a number of interesting questions surrounding the task of generalizing the deferred acceptance auction mechanism to a number of settings including obviously strategyproof, settings without money, Bayesian and randomized settings.  The questions, if answered would advance the state of the art in the area of mechanism design and auction design._x000D_
_x000D_
2. To what extent do the proposed activities suggest and explore creative, original, or potentially transformative concepts?_x000D_
_x000D_
Advances in DA auctions, which is a recent advance, may have important impacts in the areas that the PI has identified.  The proposal itself does a good job of drawing out application areas for these mechanisms._x000D_
_x000D_
3. Is the plan for carrying out the proposed activities well-reasoned, well-organized, and based on a sound rationale? Does the plan incorporate a mechanism to assess success?_x000D_
_x000D_
The plan is not clear in terms of time-lines or attack plan but the questions themselves are somewhat orthogonal to each other.  The questions are coherent in terms of being related to a single topic but it is not clear how they interconnect or how results in one would or could be leveraged to attack others._x000D_
_x000D_
4. How well qualified is the individual, team, or institution to conduct the proposed activities?_x000D_
_x000D_
The PI is very well qualified for the proposal and has a track record of obtaining good results and publishing in top quality venues._x000D_
_x000D_
5. Are there adequate resources available to the PI (either at the home institution or through collaborations) to carry out the proposed activities?_x000D_
_x000D_
There are ample resources and the PI has a strong network of collaborators to attack the technical questions addressed in the proposal._x000D_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general space of auction and mechanism design has clear and broad impact across computer science, economics, and various real world applications.  Advancements in these areas could advance a number of beneficial societal outcomes.  However, outside of publishing research results, there is no mechanism described in the current proposal to translate the theoretical results to broad impact._x000D_
_x000D_
2. To what extent do the proposed activities suggest and explore creative, original, or potentially transformative concepts?_x000D_
_x000D_
The broader impacts of the research could be realized through a number of avenues including application to specific problems like spectrum auctions or ad auctions on various platforms.  The specific questions in the proposal would help with these broad impacts if addressed._x000D_
_x000D_
3. Is the plan for carrying out the proposed activities well-reasoned, well-organized, and based on a sound rationale? Does the plan incorporate a mechanism to assess success?_x000D_
_x000D_
While the key questions have the potential for broad impact, no specific mechanisms or avenues are addressed in the current proposal w.r.t. broader impacts.  Additionally almost no mention of teaching or mentoring is made in this proposal._x000D_
_x000D_
4. How well qualified is the individual, team, or institution to conduct the proposed activities?_x000D_
_x000D_
No specific avenues were identified.  However, the PI has a strong track record of success in research and publishing papers on this topic._x000D_
_x000D_
5. Are there adequate resources available to the PI (either at the home institution or through collaborations) to carry out the proposed activities?_x000D_
_x000D_
Yes there are adequate resources for the proposal, however, no specific broader impacts are addressed / funding requested._x000D_
_x000D_
_x000D_
Please evaluate the strengths and _x000D_
weaknesses of the proposal with respect to any additional solicitation-specific review criteria, if _x000D_
applicable_x000D_
_x000D_
_x000D_
_x000D_
Summary Statement_x000D_
_x000D_
An interesting proposal with a good research question centered on extending the deferred acceptance auction framework to a number of important and interesting directions.  The proposal lacks clear time-lines for the particular research thrusts and also does not include clear mechanisms for translating the theoretical research into broader impacts through the proposal activities._x000D_
_x000D_
_x000D_
</t>
  </si>
  <si>
    <t>As the world becomes increasingly interconnected, an unprecedented number of auctions needs to take place to ensure the efficient utilization of its scarce resources. On a daily basis, human and software agents compete for an extremely diverse set of resources, ranging from the advertising space on a website and the goods sold on Ebay, to the electrical power supply that supports big cities and the landing slots of the world's busiest airports. Were it not for the auctions that regulate these resource allocation processes, massive amounts of social utility would be wasted; hence, it is imperative that these auctions are designed to the highest standard. Some of the optimization problems involved in designing such resource allocation mechanisms can be highly demanding from a computational standpoint. In reality, the design process is even more challenging, as the agents competing for these resources may be strategic and have their own interests at heart. _x000D_
_x000D_
This proposal approaches such resource allocation problems from the perspective of the designer who chooses the rules of the auction aiming to maximize her own objectives, such as efficiency, revenue, or fairness, despite the strategic behavior of the participants. The long literature on game theory and mechanism design has produced several celebrated auctions that maximize these objectives while, at the same time, providing attractive theoretical guarantees regarding the incentives of the participating agents, but many of these auctions are rarely used in practice. Two important drawbacks that render these auctions impractical are that: i) it may be non-trivial for the bidders to verify these auctions' incentive guarantees, and ii) they often require that the bidders reveal too much of their private data._x000D_
_x000D_
The long-term goal of this project is to develop a deeper understanding of the performance guarantees that an auction designer can achieve using practical auctions that avoid these drawbacks. Recent work by economists has proposed refined incentive properties that non-experts can verify, as well as a framework for designing auctions that satisfy these incentive properties. The proposed research problems aim to evaluate the performance of these auctions from the standpoint of approximation algorithms, and to extend the auction design framework to capture a much wider family of problem instances.The proposed research combines techniques from approximation algorithms and mechanism design to lay the foundations for the design of practical auctions that approximate well-studied economic objectives. The main thrust of this project aims to generalize the deferred-acceptance framework, proposed by economists, thus significantly expanding its applicability. These generalizations will then be used to design novel auctions for canonical resource allocation problems.This project will develop a deeper understanding of the power and limitations of auctions that guarantee highly desired incentive properties. Furthermore, it will provide a set of algorithmic tools that an auction designer can use in order to produce high-performance auctions that provide a simple interface and clear incentives to the participating bidders. This work combines ideas recently proposed within the economics literature with the computer science perspective of approximation algorithms, and it is thus likely to generate collaborations at the interface of computer science and economics. Like the previous work of the PI, this project's results will be published at both top computer science conferences and top journals of the economics and operations research communities. This will further promote the benefits of computer science evaluation measures, such as the worst-case approximation, to other disciplines.</t>
  </si>
  <si>
    <t>1755978</t>
  </si>
  <si>
    <t>Gangammanavar</t>
  </si>
  <si>
    <t xml:space="preserve"> Panel Summary       
 SUMMARY OF PROPOSED RESEARCH ACTIVITY_x000D_
_x000D_
Description:_x000D_
In this project, the PI proposes to contribute to the field of Event-Driven Dynamic Systems, which operate in uncertain environments. In addition, he proposes to design an approach to solving such problems that is adaptable 'on the fly' which allows the objective function to be updated based on new paths. _x000D_
_x000D_
INTELLECTUAL MERIT_x000D_
Strengths_x000D_
+ The PI has experience in the field of the proposed work and demonstrates a good understanding of the challenges faced by DEDS._x000D_
+ The PI provides a longer-term view of the work to be conducted._x000D_
_x000D_
Weaknesses_x000D_
- The methods for achieving the research goals are vague._x000D_
- The PI did not provide evidence of the potential contributions of the suggested techniques and algorithms to 'foundations of algorithms'. _x000D_
_x000D_
BROADER IMPACTS_x000D_
_x000D_
Strengths_x000D_
- If this project is successful, the PI expects his tools to be widely used by practitioners. _x000D_
- The PI will integrate his findings into courses at the undergraduate and graduate levels. He also plans to develop a tutorial, available to the academia, industry, and government communities. _x000D_
_x000D_
Weaknesses_x000D_
- The education plan focuses only on teaching and training students. It is not clear how the PI plans to disseminate his open-source API or his tutorial._x000D_
_x000D_
ADDITIONAL REMARKS_x000D_
_x000D_
Data Management Plan: Adequate_x000D_
_x000D_
Results of prior support: This is PI's first NSF proposal._x000D_
_x000D_
Suggestions to PI:_x000D_
- The techniques and algorithms suggested in the proposal are mostly of ways to incorporate various current techniques and mathematical theory in order to solve a rather practical problem. It is not clear that new mathematical theory would be built. The PI needs to modify his proposal to address the expected advancement of 'algorithmic foundations'._x000D_
- Devote more details to research plan. Describe background and research tasks in a way more accessible to non-experts. _x000D_
_x000D_
Justification for Panel Rating:_x000D_
The PI did not provide evidence of the potential contributions of the suggested techniques and algorithms to 'foundations of algorithms'. _x000D_
_x000D_
Panel Rating:_x000D_
_ Highly Competitive_x000D_
_ Competitive_x000D_
_ Low Competitive_x000D_
X Not Competitive_x000D_
_x000D_
The summary was read by/to the panel and the panel concurred that the summary accurately reflects the panel discussion._x000D_
_x000D_
</t>
  </si>
  <si>
    <t xml:space="preserve">NATIONAL SCIENCE FOUNDATION _x000D_
Alexandria, Virginia 22314 _x000D_
Directorate for Computer and Information Science and Engineering (CISE)_x000D_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CRII:AF: Stochastic Programming Decomposition Model and Algorithm for Discrete-event Dynamic Systems_x000D_
_x000D_
L: 1755978 Gangammanavar, Harsha Southern Methodist Univ $  175,000_x000D_
_x000D_
_x000D_
P180207 NC AF CAREER/CRII Panel A (14 panelists; 0 decl confl),_x000B_  on 10/24/2017, recommended as Not Competitive (V/G,G,F)_x000D_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</si>
  <si>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 xml:space="preserve">In the context of the five review elements, please _x000D_
evaluate the strengths and weaknesses of the proposal with respect to intellectual merit._x000D_
_x000D_
In this project, the PI proposes to contribute to the field of Event-Driven Dynamic Systems, which operate in uncertain environments. Specifically, he proposes to develop a general framework that allows taking into account the fact that such systems are event-driven, which brings uncertainty, and not simply time driven. As a result, he claims that existing methods are not adapted to efficiently solving such problems.  In addition, he proposes to design an approach to solving such problems that is adaptable on the fly: it allows the objective function to be updated based on new paths. _x000D_
_x000D_
Intellectual merit:_x000D_
Strengths:_x000D_
The PI has experience in the field of the proposed work and demonstrates a good understanding of the challenges faced by DEDS. His proposed research is articulated around two goals: new models and new algorithms. He already has ideas for these, as shown in the proposal, and proposes to study these ideas in depth as illustrated in his list of research tasks. He also provides a longer-term view of the work to be conducted, which is relevant. _x000D_
This work is important as with the pervasiveness of such ever larger systems, it is important to develop techniques that will specifically and efficiently address them. _x000D_
The proposal is clear._x000D_
_x000D_
Weaknesses_x000D_
Although the proposal is clear overall, it comes across, at times, vague or too broad (e.g., p.2: description of the key innovation). The PI also mentions that his approach will allow addressing large-scale data-intensive problems. Although his proposed work aims to improve the performance of techniques for DEDS, the scale of the problems to be solved is not clearly addressed._x000D_
There is no timeline, which makes this ambitious work challenging to assess. There is no assessment plan either._x000D_
The proposal seems not polished at times (in the summary, introduction, and other parts of the proposal)._x000D_
_x000D_
_x000D_
In the context of the five review elements, please _x000D_
evaluate the strengths and weaknesses of the proposal with respect to broader impacts._x000D_
_x000D_
Strengths_x000D_
If this project is successful, the PI expects his tools to be widely used by practitioners. He plans to release his work as a free and open-source API. Additionally, this project will allow him to mentor doctoral students and he will integrate his findings into courses at SMU: at the undergraduate and graduate levels. He also plans to develop a tutorial, available for the academia, industry, and government communities. _x000D_
_x000D_
Weaknesses_x000D_
The broader impacts, as outlined by the PI, are pretty traditional. It is not clear how the PI plans to disseminate his open-source API or his tutorial. It is also not clear if the PI has any plans to involve students from under-represented minorities._x000D_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 very interesting and relevant project, well prepared. The proposal lacks a timeline but still shows a lot of merit and potential._x000D_
_x000D_
_x000D_
</t>
  </si>
  <si>
    <t xml:space="preserve">In the context of the five review elements, please _x000D_
evaluate the strengths and weaknesses of the proposal with respect to intellectual merit._x000D_
_x000D_
The proposal studies stochastic programming (SP) for Discrete-Event_x000D_
Dynamic Systems (DEDS). Traditional SP for DEDS models are time-driven. The PI proposes to extend it to event-driven which is more suitable in some applications._x000D_
_x000D_
Two research thrusts are described, each with specific research tasks._x000D_
The PI also described how this project is related to the long term_x000D_
research goal._x000D_
_x000D_
The methods for achieving the research goals are vague sometimes._x000D_
The introduction and background material occupy 5+ pages, while the_x000D_
research plan is only 4- pages. The proposal could be improved by_x000D_
devoting more details to the research plan._x000D_
_x000D_
Considering the highly specialized technical nature of the project,_x000D_
it would be better if the background and research tasks are described_x000D_
in a way more accessible to non-experts._x000D_
_x000D_
In the context of the five review elements, please _x000D_
evaluate the strengths and weaknesses of the proposal with respect to broader impacts._x000D_
_x000D_
The proposed research will offer practitioners in data-driven_x000D_
systems new tools for exploring their respective domains._x000D_
_x000D_
The education plan of the project focuses on teaching and training PhD_x000D_
students. The PI also plans to engage undergraduate students by using_x000D_
shorter project related to this proposal._x000D_
_x000D_
_x000D_
Please evaluate the strengths and _x000D_
weaknesses of the proposal with respect to any additional solicitation-specific review criteria, if _x000D_
applicable_x000D_
_x000D_
_x000D_
_x000D_
Summary Statement_x000D_
_x000D_
The proposal studies stochastic programming (SP) for Discrete-Event_x000D_
Dynamic Systems (DEDS). It extends the traditional time-driven_x000D_
approach to event-driven. It results computational advantage for_x000D_
large scale systems. Several concrete research tasks are described._x000D_
This project seems an integral part of PI's long term research agenda._x000D_
_x000D_
The PI has a good track record in this research area._x000D_
It would strengthen the proposal if the methods for achieving_x000D_
research goals are described clearer._x000D_
_x000D_
Title should start with CRII, as required by program solicitation._x000D_
_x000D_
</t>
  </si>
  <si>
    <t xml:space="preserve">In the context of the five review elements, please _x000D_
evaluate the strengths and weaknesses of the proposal with respect to intellectual merit._x000D_
_x000D_
This proposal focuses on designing event-driven dynamic systems using Stochasitc programming techniques, where decisions and state-transitions happen in an event-driven setting, taking into account the uncertainty with which the events happen. As a disclaimer, this proposal is far from my area of expertise._x000D_
_x000D_
Intellectual merit:_x000D_
strengths: _x000D_
+ It seem that the proposal is very timely with the advent of big data and complex, almost autonomous control systems. Improving and speeding up their operation could prove tremendously beneficial for every day life tasks, as well as big corporations, the military etc. I think the practical applications of the proposal are very valuable._x000D_
+  The proposed research is within the PI's direct expertise and he is qualified to conduct the proposed research plan._x000D_
weaknesses:_x000D_
I believe this is more an applications proposal. The techniques and algorithms suggested do not fall into the category of 'foundations' of algorithms. They are rather very well thought of ways to incorporate various current techniques and mathematical theory in order to solve a rather practical problem. It seems to me that there is no new mathematical theory that is being built, thus there is no advancement of algorithmic foundations._x000D_
_x000D_
In the context of the five review elements, please _x000D_
evaluate the strengths and weaknesses of the proposal with respect to broader impacts._x000D_
_x000D_
_x000D_
the educational and broader impact section is really inadequate. Maybe this is normal for a CRII proposal, but I would like to see somewhat of a vision of what a young tenure track professor plans to do as an educator._x000D_
_x000D_
Please evaluate the strengths and _x000D_
weaknesses of the proposal with respect to any additional solicitation-specific review criteria, if _x000D_
applicable_x000D_
_x000D_
_x000D_
_x000D_
Summary Statement_x000D_
_x000D_
see above_x000D_
_x000D_
</t>
  </si>
  <si>
    <t>The rapid advances in sensors, communication technologies, storage and computing power have enabled the emergence of massive, interconnected, and complex dynamic systems. These include computer and communication networks, automated manufacturing systems, advanced air and road trans-_x000D_
portation systems, monitoring and control systems, and several others. These systems operate in an uncertain environment, often in an event-driven manner. Decision-making in such a setting poses significant challenges in many aspects ranging from information processing to optimization. The overarching goal of this project is to address design of event-driven dynamic systems through the lens of stochastic_x000D_
programming.The key innovation of the proposed work is the development of a general optimization and computational framework, which enables a number of challenging but promising large-scale data-intensive applications. The proposed research agenda will comprise of two major thrusts:_x000D_
(a) Many modern integrated systems such as computer and communication networks, hospital monitoring systems, automated manufacturing systems, operate in an event-driven paradigm. Unfortunately, current SP model (both in two-stage and multistage) are time-driven in which decisions are made and state transitions happen at reset/deterministic epochs. This restricts their applications to relatively long term planning problems only. The modeling advances proposed in this project_x000D_
will allow SP algorithms to be applied in event-driven settings, and provide a powerful tool for decision-making in stochastic DEDS._x000D_
(b) Modern tools of discrete-event simulation and online data-processes provide a powerful mechanism to discover the characteristics of underlying stochastic processes governing optimization/planning_x000D_
models in an online manner. The proposed algorithm does not rely on a-priori selection of scenarios to be used for optimization. Rather, a discrete-event sample paths are introduced progressively, and the objective function approximations and optimization solutions are updated based on information collected. This ?sampling-on-the-fly? avoids the need to restart the optimization from scratch with every newly observed sample path. This results in significant computational advantage, and therefore makes the proposed algorithm attractive for large scale systems.Implementations of the algorithm will be distributed as free and open-source API. This API will provide a complete toolset of programming instructions, standards and protocols for optimization researchers and practitioners to design their products that are powered by our algorithm. The research effort includes training and advising graduate  students, with an emphasis on engaging with groups under represented in the field. Results from this research will be disseminated The results of this research will be disseminated through (i) presentations at conferences and workshops, (ii) publications in leading journals, and (iii) creation of pedagogical material for use in undergraduate and graduate classes.</t>
  </si>
  <si>
    <t>1756014</t>
  </si>
  <si>
    <t xml:space="preserve"> Panel Summary       
 SUMMARY OF PROPOSED RESEARCH ACTIVITY_x000D_
_x000D_
This proposal discusses approximation algorithms between EPTASs_x000D_
and FPTASs, with runtime polynomial in the problem size n plus_x000D_
subexponential (near 2^{O(sqrt{1/eps})}) in the approximation_x000D_
parameter epsilon. Much of the proposal describes a detailed_x000D_
plan to solve a problem for scheduling multiple parallel_x000D_
identical machines to minimize the root-mean-square load. The_x000D_
proposal also considers other versions of scheduling, e.g., to_x000D_
minimize the total weighted completion time, and it briefly_x000D_
touches on other candidate problems like geometric TSP which are_x000D_
potentially susceptible to this type of result._x000D_
_x000D_
_x000D_
INTELLECTUAL MERIT_x000D_
_x000D_
This type of result, if successful, would be of interest to the_x000D_
approximation algorithms community, and might lead to some_x000D_
decent papers._x000D_
_x000D_
Strengths_x000D_
_x000D_
+ The PI has a good track record of research in this area,_x000D_
making success likely_x000D_
_x000D_
+ The problems proposed for solution are interesting_x000D_
_x000D_
+ The proposal includes a detailed plan for solving these_x000D_
problems_x000D_
_x000D_
Weaknesses:_x000D_
_x000D_
- Reviewers found the total research plan to be too small in_x000D_
scale for the time frame of the grant, and did not feel that_x000D_
there was enough scope for a program of more than two research_x000D_
papers in this topic._x000D_
_x000D_
- Although reviewers thought the geometric TSP was an_x000D_
interesting candidate problem for improvement, they didn't think_x000D_
there was enough depth to this part of the proposal to be_x000D_
convincing that an improvement could be found._x000D_
_x000D_
_x000D_
BROADER IMPACTS_x000D_
_x000D_
Strengths_x000D_
_x000D_
+ The proposal included a plan to recruit underrepresented_x000D_
students_x000D_
_x000D_
+ It is hosted by a minority-serving institution_x000D_
_x000D_
Weaknesses:_x000D_
_x000D_
- The connection to application areas is weak_x000D_
_x000D_
_x000D_
ADDITIONAL REMARKS_x000D_
_x000D_
Research plan: This would be a two-year grant. The main expenses_x000D_
are support for one graduate student (for both years) and_x000D_
conference travel expenses._x000D_
_x000D_
Data Management Plan: This appears to be purely a theory_x000D_
proposal, and the data management plan could probably just have_x000D_
said so, but instead it appears to be a generic plan suitable_x000D_
for most proposals. Which is to say, little thought appears to_x000D_
have gone into this part, but that's ok. One key clause is that_x000D_
any software developed as part of this project will be released_x000D_
as open source software._x000D_
_x000D_
Results of prior support: Not applicable, as the PI has no past_x000D_
support._x000D_
_x000D_
_x000D_
Suggestions to PI: The most significant consideration that would_x000D_
have improved your overall score would be to think bigger. Along_x000D_
with the parts you already included about problems you're pretty_x000D_
sure you could solve, include some that you're less sure about_x000D_
but that would be splashier. The geometric TSP that you_x000D_
mentioned would have fit as such a problem, but needed to be a_x000D_
little more fleshed out to be taken seriously._x000D_
_x000D_
_x000D_
_x000D_
Justification for Panel Rating: We thought that this proposal_x000D_
would likely lead to a modest success: some publications, but_x000D_
not as big as they could be and not as many as they could be. So_x000D_
we ranked it positively, but accordingly not as positively as it_x000D_
could be._x000D_
_x000D_
_x000D_
Panel Rating:_x000D_
_x000D_
_ Highly Competitive_x000D_
_x000D_
_X_ Competitive_x000D_
_x000D_
_ Low Competitive_x000D_
_x000D_
_ Not Competitive_x000D_
_x000D_
The summary was read by/to the panel and the panel concurred_x000D_
that the summary accurately reflects the panel discussion. 
</t>
  </si>
  <si>
    <t xml:space="preserve">In the context of the five review elements, please _x000D_
evaluate the strengths and weaknesses of the proposal with respect to intellectual merit._x000D_
_x000D_
This proposal discusses approaches to improve PTASes with runtime near 2^{O(1/eps)} to 2^{O(sqrt{1/eps})} for certain problems. Much of the proposal describes a detailed plan to solve a problem from scheduling, specifically in the case of multiple parallel identical machines to minimize the sum of loads' squares. The proposal also considers other versions of scheduling, e.g., to minimize the total weighted completion time, and it briefly touches on other candidate problems like geometric TSP which are potentially suspectible to this type of results. _x000D_
_x000D_
This type of results, if successful, would be of theoretical interest to the approximation algorithms community, and might lead to some decent papers (though the impact may not be huge). The PI is knowledgeable in the topic, and has a number of publications on approximation algorithms for scheduling (e.g., 2 SODA papers)._x000D_
_x000D_
In the context of the five review elements, please _x000D_
evaluate the strengths and weaknesses of the proposal with respect to broader impacts._x000D_
_x000D_
The practical merits of such PTASes are unclear. The broader impacts and education section of the proposal is brief._x000D_
_x000D_
_x000D_
Please evaluate the strengths and _x000D_
weaknesses of the proposal with respect to any additional solicitation-specific review criteria, if _x000D_
applicable_x000D_
_x000D_
_x000D_
_x000D_
Summary Statement_x000D_
_x000D_
A specific plan to obtain improved PTASes for a scheduling problem. The proposal might benefit from aiming for a wider set of results._x000D_
_x000D_
_x000D_
</t>
  </si>
  <si>
    <t xml:space="preserve">In the context of the five review elements, please _x000D_
evaluate the strengths and weaknesses of the proposal with respect to intellectual merit._x000D_
_x000D_
Many variations of polynomial time approximation schemes have been studied._x000D_
The main one (PTAS) allows the time to be O(n^f(epsilon)) where n is the input size, (1+epsilon) is the approximation ratio, and f is any function, but where f is frequently Theta(1/epsilon) and sometimes worse. Wikipedia also lists "efficient polynomial-time approximation schemes" (EPTAS) where the exponent of n is independent of epsilon (but the constant in the O-notation can depend badly on epsilon) and "fully polynomial-time approximation schemes" (FPTAS, where the time is polynomial in both n and 1/epsilon), as well as additional variants where the scheme is randomized or where the time is quasipolynomial instead of polynomial, and elsewhere in the literature the phrase "subexponential approximation scheme" can be found._x000D_
_x000D_
This proposal, more specifically, aims for a target between EPTAS and FPTAS: a fixed exponent of n, plus a subexponential function of epsilon. I am not aware of previous work in this regime, and the proposal suggests that it could be the correct time bound for scheduling problems with a Euclidean-norm objective function. Work of other authors (Jansen, Klein and Verschae) has shown that similarly subexponential time bounds would not be possible for the max-norm under the exponential time hypothesis. There are also some tenuous connections with fixed-parameter tractability, in which separator decompositions allow subexponential dependence on the parameter for planar graphs and other families of inputs that obey separator theorems._x000D_
_x000D_
Chen has been regularly publishing in good but not top-tier theory conferences (MFCS, STACS, COCOA, CIAC, etc) and has two papers in SODA (2014 and 2016). He is well poised to continue doing good research on scheduling and bin-packing related problems, and in optimization algorithms more broadly._x000D_
_x000D_
_x000D_
In the context of the five review elements, please _x000D_
evaluate the strengths and weaknesses of the proposal with respect to broader impacts._x000D_
_x000D_
The broader impacts section mostly consists of a vague hope that these algorithms will "eventually" lead to a PTAS of practical speeds for certain energy minimization problems. However, the host institution is a minority-serving institution so funding this proposal would help train students from under-represented groups._x000D_
_x000D_
_x000D_
Please evaluate the strengths and _x000D_
weaknesses of the proposal with respect to any additional solicitation-specific review criteria, if _x000D_
applicable_x000D_
_x000D_
_x000D_
_x000D_
Summary Statement_x000D_
_x000D_
Although likely to produce a publishable advance, this collection of problems to work on seems on the small side for a full proposal to me, likely to lead only to one or two papers (on the main advance and its generalizations) rather than the total level of productivity one would expect over the lifetime of the award._x000D_
_x000D_
</t>
  </si>
  <si>
    <t xml:space="preserve">In the context of the five review elements, please _x000D_
evaluate the strengths and weaknesses of the proposal with respect to intellectual merit._x000D_
_x000D_
The proposal aims to achieve approximation schemes for class of scheduling problems that are "sub-exponential" in running time. In particular, the problem of l_2-norm of the processing time in case of identical machines is proposed. The PI has significant experience in the area of problems proposed and does give a good plan for approaching the problem. The PI also suggests further directions to look at including improving PTAS for geometric TSP and related problems as well relations to FPT algorithms which are subexponential in the parameter. The research proposed in the paper would be publishable in top venues._x000D_
_x000D_
_x000D_
_x000D_
In the context of the five review elements, please _x000D_
evaluate the strengths and weaknesses of the proposal with respect to broader impacts._x000D_
_x000D_
The proposal talks about the relevance of the research outcome for energy minimization where the scheduling problem with the objectives proposed are considered. The PI also proposes to recruit female and under-represented students._x000D_
_x000D_
Please evaluate the strengths and _x000D_
weaknesses of the proposal with respect to any additional solicitation-specific review criteria, if _x000D_
applicable_x000D_
_x000D_
_x000D_
_x000D_
Summary Statement_x000D_
_x000D_
Overall the PI proposes an interesting research direction. The broader impact of the work is adequate._x000D_
_x000D_
</t>
  </si>
  <si>
    <t>1763240</t>
  </si>
  <si>
    <t>Gupta</t>
  </si>
  <si>
    <t>P180637</t>
  </si>
  <si>
    <t xml:space="preserve"> AF Medium Panel /  Dec 11-12</t>
  </si>
  <si>
    <t xml:space="preserve"> Panel Summary       
 SUMMARY OF PROPOSED RESEARCH ACTIVITY_x000D_
Description:  This  proposal addresses a number of central, well-studied discrete optimization problems in settings in which there is uncertainty about the input - three broad classes of variants are studied, first, where the inputs are given by a specified a probability distribution, from which a realization is chosen only after the solution is computed; second, where the distribution is only learned as part of the algorithm, either by drawing samples in advance, or by gradually constructing the schedule; and third, somewhat less centrally to this proposal, when the input is a result of following a path according to a Markov chain. For each of a number of problems, the PIs place the current state of the art in context, and suggest a next problem domain to consider in the design of (improved) approximation algorithms._x000D_
_x000D_
INTELLECTUAL MERIT_x000D_
This is an important area in which there has been quite a lot of important work over the past 10-15 years, and the PIs have contributed substantially to these developments. _x000D_
_x000D_
Strengths_x000D_
These are significant problems whose study will likely engender the innovation of new algorithmic techniques to address these problems. For example, one particular problem for which there was notable enthusiasm was the scheduling setting in which there are jobs of known types to be scheduled on a single machine, where all of the jobs of a common type are drawn independently from an identical distributions, so that there is a natural setting to study the tradeoff between learning the distribution and the cost of the solution. Among the other problems discussed, models based on load-balancing in parallel machines, the traveling salesman problem, unsplittable flows all were addressed in stochastic settings. Furthermore, the role of stronger relaxations -configuration LP's, Sherali-Adams hierarchies, and exponential formulations such as the knapsack cover constraints, are to be studied for possible novel application in these stochastic models._x000D_
_x000D_
The PIs have a strong track record of obtaining important results in this domain, and there was general confidence that the directions outlined here would continue this trajectory in significant ways._x000D_
_x000D_
Weaknesses_x000D_
The weakest aspect of this proposal is that in its desire to give such an extensive list of potential problem domains, there was less attention devoted to each one so that the inherent difficulties and ideas for new approaches were not given as much development as would have been beneficial. Furthermore, there was also some concern that the big picture in providing motivation for the general thrust, and for the specific choice of problems could have been strengthened. _x000D_
_x000D_
BROADER IMPACTS _x000D_
_x000D_
Strengths_x000D_
The PIs have a good track record of engaging in programs like Andrew's Leap and the Rutgers (Camden) summer Program in Algorithmic and Combinatorial Thinking to attract high-school students to this area._x000D_
Their work has consistently involved students (at all levels) from underrepresented groups._x000D_
_x000D_
The PIs have done interesting curricular development in this domain, and are committed to expanding the materials available to spread this other institutions._x000D_
_x000D_
Finally, this is an area in which the kinds of algorithmic innovations have the potential to impact industrial applications work._x000D_
_x000D_
Weaknesses_x000D_
_x000D_
There is nothing particularly innovative in the nature of the broader impact contribution of this proposal._x000D_
_x000D_
ADDITIONAL REMARKS_x000D_
Research plan: This is a proposal in which the scope and plans are likely to deliver extremely high quality research in the timeframe of its funding._x000D_
_x000D_
Collaboration plan: The plan outlines regular telecomm meetings and periodic visits which, given the track record of the PIs who have collaborated in the past, seems completely sufficient for the proposal._x000D_
_x000D_
Data Management Plan: The PIs state that this is entirely a theoretical proposal and hence there is no data to manage._x000D_
_x000D_
Results of prior support: There is a succinct statement of previous work, both in terms of its intellectual merit and broader impact, for Gupta, whereas Nagarajan has no prior support._x000D_
_x000D_
Justification for Panel Rating: This is a proposal that has a large number of truly innovative settings for exploring the increasingly important interface between stochastic models of input data and the worst-case analysis of approximation algorithms for discrete optimization problems. While a somewhat more focused proposal would have been slightly better, this is definitely worthy of support. 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</si>
  <si>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addresses a moderate-sized family of problems in stochastic optimization: classic problems in combinatorial optimization (e.g., scheduling, TSP, unsplittable flow) are reconsidered in a setting where the input is drawn at random from some distribution. The two PIs will study three broad classes of problems:_x000D_
1. The input distribution is known. Try to achieve approximation ratios similar to the classic version of the problem. One important variant is that the input, which consists of many "items", is gradually revealed and the algorithm can adaptively make decisions based on this partial knowledge; for such problems study the advantage conferred by such adaptivity._x000D_
2. The input distribution is unknown and needs to be learned. Variants are (a) it can be learned by sampling in advance of solving the actual problem instance; and (b) it can only be learned as parts of the actual instance are revealed and decisions must be made about them. For the latter variant, questions of how well approximable they are have some parallels with questions about regret minimization._x000D_
3. The input randomly changes, according to a Markov chain, as we explore it. This section of the proposal is less well-developed, perhaps because this is relatively new territory with not enough past work to clarify the landscape._x000D_
_x000D_
Strengths:_x000D_
_x000D_
+ The two PIs have been leaders in stochastic optimization over the last five years or so. They are very well positioned to carry out this work._x000D_
+ The proposal is very thoughtfully organized. The problems to be studied appear fundamental and a good case is made for studying them._x000D_
+ The PIs have a strong history of coauthorship in the proposal's topic._x000D_
_x000D_
Weaknesses:_x000D_
_x000D_
- These problems are, for the most part, continuations of work that the two PIs are already doing. _x000D_
_x000D_
_x000D_
_x000D_
In the context of the five review elements, please _x000D_
evaluate the strengths and weaknesses of the proposal with respect to broader impacts._x000D_
_x000D_
The project will train some four or five Ph.D. students between the two universities and lead to appropriate curriculum development at both places. The project will involve undergraduate students as appropriate. The PIs have established some history of high-school outreach and will continue it._x000D_
_x000D_
_x000D_
Please evaluate the strengths and _x000D_
weaknesses of the proposal with respect to any additional solicitation-specific review criteria, if _x000D_
applicable_x000D_
_x000D_
_x000D_
_x000D_
Summary Statement_x000D_
_x000D_
The proposal teams two PIs with strong track records on stochastic optimization, promising further work along existing (and fruitful) directions. It is very well written and convincingly argued._x000D_
_x000D_
_x000D_
</t>
  </si>
  <si>
    <t>HY0793425</t>
  </si>
  <si>
    <t>SHEWCHUK</t>
  </si>
  <si>
    <t>jrs@cs.berkeley.edu</t>
  </si>
  <si>
    <t xml:space="preserve">In the context of the five review elements, please _x000D_
evaluate the strengths and weaknesses of the proposal with respect to intellectual merit._x000D_
_x000D_
The strengths of this proposal are that it is well written and the ideas for_x000D_
how to approach some of these problems seem solid._x000D_
_x000D_
The main weakness of this proposal--and it's a big one--is that there is_x000D_
virtually no discussion of what I call "The Big Picture".  If the PIs fully_x000D_
succeed in accomplishing everything they propose, what larger impact will it_x000D_
have on this field of theoretical computer science (or mathematics)?  What_x000D_
impact will it have on applications in the real world?  Why do the PIs want to_x000D_
solve these particular problems?  Of all the problems the PIs propose to solve,_x000D_
which are the most important, and why?  Of all the problems the PIs *could*_x000D_
propose to solve, why did they choose these ones?  How do the PIs prioritize,_x000D_
and how should we reviewers prioritize?  The PIs have devoted years of their_x000D_
lives to these sorts of problems, so they must have strong motivations for_x000D_
doing so, but what are those motivations?  Why do these questions excite the_x000D_
PIs?  I argue that answering these questions is the most important part of a_x000D_
proposal.  But this proposal devotes approximately zero attention to them._x000D_
There are very few hints *why* the PIs care at all._x000D_
_x000D_
As reviewers, we are asked to prioritize different proposals, and to evaluate_x000D_
the importance of problems addressed in those proposals.  It is the_x000D_
responsibility of the proposal authors to help us reviewers in this task by_x000D_
giving us their view of what is important and why.  I, personally, can read and_x000D_
understand this proposal, but I have no idea which of these problems are worth_x000D_
solving or why.  (I hope the PIs are aware that not all of the reviewers are,_x000D_
or should be, experts in precisely the same subfield as the PIs.  The proposal_x000D_
needs to reach out to those of us who are experts in adjacent fields--for_x000D_
example, geometry, scientific computing, and numerical analysis in my case--and_x000D_
convince us that you've chosen problems worth solving.)_x000D_
_x000D_
Lacking all context about the PIs' motivations or the Big Picture, this_x000D_
proposal becomes a numbingly long list of undifferentiated problems the PIs_x000D_
propose to solve.  I can only guess if any of them are worth solving, or if the_x000D_
research plan adds up to some bigger vision.  The proposal would benefit_x000D_
greatly from discussing fewer problems and using that space to provide context,_x000D_
motivations, and the PIs' reasons for being enthusiastic.  The Big Picture._x000D_
_x000D_
Moreover, there are many problems the PIs want to solve that sound pretty_x000D_
incremental.  The proposal would be better if the PIs used most of the space to_x000D_
explain where genuinely new capabilities might open up.  Does stoshastic_x000D_
optimization address a class of real-world problems for which existing_x000D_
techniques aren't even close to being useful?  The PIs don't make this clear._x000D_
From this point of view, High-level Goal 4 and the paragraph preceding it are a_x000D_
highlight of the proposal._x000D_
_x000D_
There is one problem I agree is important in practice, namely load balancing_x000D_
(scheduling).  On the other hand, is there much demand from real-world_x000D_
applications for solutions to traveling salesman problems or its variants?_x000D_
I doubt it.  What about knapsack cover?  I imagine it's probably used by_x000D_
somebody, but the PIs don't tell us.  What about matchings?  Unsplittable flow?_x000D_
Even for the plainly important problem of load balancing, I would like the PIs_x000D_
to tell us about the current state of load balancing--are the algorithms used_x000D_
in practice sufficient for most applications, or are there clear deficiencies?_x000D_
Is there real demand for solutions to the adaptive or non-adaptive stochastic_x000D_
versions of the problem?  Why is it important to make further progress on these_x000D_
problems?  The context is missing.  Perhaps I'm underestimating the importance_x000D_
of these problems, but the proposal doesn't even *try* to make a case for them._x000D_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Some of their_x000D_
undergrads have published in top conferences, which adds credibility to their_x000D_
stated intention to continue mentoring undergrads in research.  The PIs discuss_x000D_
four of their female students (two current PhD, one undergrad, one now a_x000D_
faculty member at Southwestern) and their intention to "take a proactive_x000D_
stance" to attract more._x000D_
_x000D_
More unusually, both PIs have participated in outreach to high school students._x000D_
In particular, Gupta is a regular participant in CMU's ongoing "Andrew's Leap"_x000D_
summer program._x000D_
_x000D_
The PIs propose to hold a reunion workshop, following up on a Simons Institute_x000D_
program on "Algorithms and Uncertainty" that Gupta co-organized and Nagarajan_x000D_
attended, which led to the present proposal._x000D_
_x000D_
The proposal fails to explain whether the intellectual output of the proposed_x000D_
work itself has the potential to "benefit society", as I explained above in my_x000D_
remarks on the lack of a Big Picture._x000D_
_x000D_
The PIs say in the "Broader Impacts" section that they will "leverage their_x000D_
industry contacts" to "test some of the resulting algorithms on real data," but_x000D_
give no further details or substantiation.  This exposes a gap in the proposal:_x000D_
exactly what sort of "real data" would serve as input to the algorithms the PIs_x000D_
propose?  Does IBM have a bunch of adaptive min-makespan TSP problems just_x000D_
ready to go?  In my opinion, this declaration just deepens the mystery of how_x000D_
the PIs think their proposal relates to real-world applications, and it_x000D_
increases my frustration that the authors have neglected the Big Picture parts_x000D_
of the proposal._x000D_
_x000D_
The PIs promise "to establish new connections between CS theory and ..._x000D_
operations research, machine learning and queuing theory," but unfortunately,_x000D_
they don't elaborate.  Next time, I hope the PIs will write a paragraph or_x000D_
three backing up this assertion._x000D_
_x000D_
_x000D_
Please evaluate the strengths and _x000D_
weaknesses of the proposal with respect to any additional solicitation-specific review criteria, if _x000D_
applicable_x000D_
_x000D_
_x000D_
_x000D_
Summary Statement_x000D_
_x000D_
A well-written proposal with some good ideas about how to address uncertainty_x000D_
(e.g., stochastic inputs) in classic combinatorial optimization problems._x000D_
However, I have difficulty evaluating this proposal because of its failure to_x000D_
explain the context, importance, or potential impact of the proposed research_x000D_
on either our understanding of theoretical computer science or on any practical_x000D_
applications.  The most important part of the proposal, what I call "The Big_x000D_
Picture", is entirely absent; therefore, I cannot recommend funding.  The_x000D_
"Broader Impacts" are average among proposals of this type._x000D_
_x000D_
_x000D_
</t>
  </si>
  <si>
    <t>SH0521864</t>
  </si>
  <si>
    <t>Shmoys</t>
  </si>
  <si>
    <t>shmoys@cs.cornell.edu</t>
  </si>
  <si>
    <t xml:space="preserve">In the context of the five review elements, please _x000D_
evaluate the strengths and weaknesses of the proposal with respect to intellectual merit._x000D_
_x000D_
This proposal continues a line of research for which the first PI has played a leading role over the past decade or so in the study of discrete optimization problems with stochastic elements from the perspective of the worst-case analysis of approximation algorithms. For example, they aim to extend classic results of Kleinberg, Rabani, and Tardos of load balancing of stochastic jobs (where the probability distribution of processing requirements is known before scheduling, but the actual time is known only after scheduling) on identical parallel machines to unrelated parallel machines. Both the min-max load (L_inf) and other norms are proposed. The proposal claims that progress on machines that run at different speeds has been made, but details of this are not given. There is a substantial list of interesting questions proposed - the strength of configuration LPs in such stochastic settings, the role of Sherali-Adams-type stronger relaxations,  and the role of adaptive settings for the power of the algorithms. Finally, the proposal also discusses setting in which the underlying distribution is not known, but the algorithm learns over time - the prototypical example for this proposal is a scheduling algorithm where the jobs are of known different types, each with a different known distribution, and the algorithm learns the distribution by scheduling jobs of that type. There were small sample results innovated by the PI, and it would be extremely interesting to find other settings where comparably strong results could be obtained. For each setting, the PI's give a rough outline of the types of techniques to be employed with few insights given explicitly, and in several cases, preliminary results are stated. Given the strength of the PI's it seems likely that they will make substantial, interesting progress in these directions, and will have the resources (both infrastructure and personnel - i.e., PhD students) to carry out the proposed activities. Overall, the intellectual merit of the proposal is very good._x000D_
_x000D_
It would have been helpful if in a few more of the example initial programs to be investigated more substance of the proposed algorithmic new ideas were given, or the conjectured mathematical structure whose proof could drive the analysis._x000D_
_x000D_
_x000D_
_x000D_
In the context of the five review elements, please _x000D_
evaluate the strengths and weaknesses of the proposal with respect to broader impacts._x000D_
_x000D_
The proposal also is very good in terms of its broader impact efforts. The first PI has an excellent track record of mentoring students at all levels, and this is an important contribution since the need for well-educated students in this domain is critical.  These problems arise in a number  of significant domains that have the industrial implications. They have also proposed interesting curricular design in incorporating many of the themes of this proposal in new classes._x000D_
_x000D_
Please evaluate the strengths and _x000D_
weaknesses of the proposal with respect to any additional solicitation-specific review criteria, if _x000D_
applicable_x000D_
_x000D_
_x000D_
_x000D_
Summary Statement_x000D_
_x000D_
This is a very good proposal with respect to both intellectual merit and broader impact that outlines work, which if successful, would be of high impact and significant for the algorithms community. The level of detail of initial ideas for attaining these results, while not absent, is perhaps not as detailed as would make this proposal truly excellent._x000D_
_x000D_
</t>
  </si>
  <si>
    <t>HZ1008453</t>
  </si>
  <si>
    <t>Subramani</t>
  </si>
  <si>
    <t>k.subramani@mail.wvu.edu</t>
  </si>
  <si>
    <t xml:space="preserve">In the context of the five review elements, please _x000D_
evaluate the strengths and weaknesses of the proposal with respect to intellectual merit._x000D_
_x000D_
_x000D_
This proposal is concerned with combinatorial optimization for _x000D_
uncertain inputs._x000D_
This line of research is extremely important, since traditional_x000D_
analysis of algorithms assumes fixed, immutable data, whereas in_x000D_
real-world situations, measurement of problem parameters is at_x000D_
best an art and almost never a science._x000D_
Consequently, decisions about optimality need to be made in _x000D_
uncertain environments._x000D_
The literaure documents several approaches to dealing with uncertainty, including, but not limited to:_x000D_
(a) Sensitivity analysis, (b) Robust Optimization, (c) Quantified Linear and Integer Programming, (d) Tolerance-based approaches and_x000D_
(e) Stochastic optimization._x000D_
_x000D_
The PIs have chosen (e) as their approach. They have identified nine high-level goals and several marquee problems such as "Load balancing in unrelated machines", "Minimum Makespan TSP" and so on, wherein they will study approximation algorithms in non-traditional settings._x000D_
_x000D_
They have a clear plan on how to approach the problems and they are clearly well-qualified with a tremendous track record. They have adequate resources in their respective Universities to carry out their plans._x000D_
_x000D_
The ideas and concepts are creative and original._x000D_
_x000D_
In the context of the five review elements, please _x000D_
evaluate the strengths and weaknesses of the proposal with respect to broader impacts._x000D_
_x000D_
_x000D_
The PIs have identified six avenues by which the impact of their work will impact society broadly and positively. Some of these avenues are pretty standard, while others such as reaching out to high school _x000D_
students are novel._x000D_
_x000D_
Their plans to achieve this impact are clear and well thought out._x000D_
They have a large number of established collaborators and through this proposal should be able to enhance the visibility of this work._x000D_
_x000D_
Please evaluate the strengths and _x000D_
weaknesses of the proposal with respect to any additional solicitation-specific review criteria, if _x000D_
applicable_x000D_
_x000D_
There are many strengths and no weaknesses._x000D_
_x000D_
Summary Statement_x000D_
_x000D_
Very good proposal._x000D_
_x000D_
</t>
  </si>
  <si>
    <t>This proposal seeks to design provably-good algorithms for the setting with uncertainty in the inputs. In particular suppose the data are stochastic and drawn from a probability distribution. Hence decisions must be made with stochastic knowledge about the future, but without precise knowledge of the input. This line of work, called stochastic optimization, has seen much activity in the past decade. Indeed, the lens of theoretical computer science has given rise to models and techniques, and a focus on algorithms with provable worst-case bounds._x000D_
_x000D_
Building on this momentum and interest, this proposal seeks to attack basic problems in scheduling, path-planning and routing, packing and covering, submodular maximization, and other domains in the stochastic setting. Moreover, the proposal intends to broaden the scope of investigation, and study questions where we have to learn the underlying probability distributions in addition to solving the optimization problems. Another direction of study is to consider settings with temporal correlations, where we problems modeled by multi-armed bandits._x000D_
_x000D_
Key Words: Approximation Algorithms; Stochastic Optimization; Optimization under Uncertainty; Multi-armed Bandits; Adaptivity Gap; Machine Learning.The proposed research includes both fundamental optimization problems in the stochastic setting, and also new directions for research. We group the questions under the following three loose categories:_x000D_
_x000D_
- To better understand the power of adaptive and non-adaptive algorithms in the stochastic setting. To solve basic problems in scheduling, path-planning and routing, submodular maximization, etc. in this setting. To develop new techniques to solve such problems, extending the body of knowledge for non-stochastic settings._x000D_
_x000D_
- To develop algorithms that learn the underlying probability distribution well enough to solve the optimization problem of interest. To understand the right trade-offs between the goal of learning the distribution very closely, and the marginal increase in the performance of the underlying optimization problem? To develop robust algorithms that can deal with the errors in learning?_x000D_
_x000D_
- To give algorithms that go beyond the usual assumptions of independence, and can cope with temporal correlations. To develop further techniques for combinatorial problems modeled using multi-armed bandits, and other Markov models._x000D_
_x000D_
The focus of the proposal is on substantially expanding the current algorithmic toolkit for stochastic combinatorial optimization problems, on developing and exploring the right models and the right algorithms, and to give tight robust analyses for these settings.The study of stochastic optimization in the theoretical computer science community can help bring together communities in computer science with those in operations research, stochastic control, and machine learning, with contributions and results crossing traditional area boundaries. The proposed research aims to extend and deepen such connections, and perhaps even forge connections with communities such as applied probability or queueing theory.  An important part of the research plan is the educational component, in particular the engagement of undergraduate students and women in research. Development of a new course highlighting the classical and modern developments in stochastic optimization will train graduate students and postdoctoral associates.</t>
  </si>
  <si>
    <t>1763258</t>
  </si>
  <si>
    <t>Goodrich</t>
  </si>
  <si>
    <t xml:space="preserve"> Panel Summary       
 SUMMARY OF PROPOSED RESEARCH ACTIVITY_x000D_
_x000D_
Description : _x000D_
_x000D_
A proposal describing a variety of research areas related to geographic regions and transportation networks.  These include finding k-best solutions, transportation optimization using dynamic programming, stable-matching Voronoi diagrams with applications to redistricting, dynamic graph algorithms including estimating statistics describing the graph and nearest neighbors, and visualization, including optimizing arc diagrams, non-realistic graph layout, and convergence diagrams as well as circle diagrams. _x000D_
_x000D_
INTELLECTUAL MERIT_x000D_
_x000D_
Strengths_x000D_
_x000D_
+ Strong group of PIs, including great experience in algorithmic foundations and a collaboration with a practitioner in transportation networks._x000D_
+ The definition of stable-matching Voronoi diagrams is new and interesting._x000D_
_x000D_
Weaknesses_x000D_
_x000D_
- The references don't match the citations, and many references seem missing. This made it impossible for panelists to look at prior and preliminary work._x000D_
- The panel did not see a strong idea integrating the research program, for instance not all of the problems seemed to be related to real-world networks._x000D_
- Goldwasser's hub labeling algorithms seem relevant to this class of graphs, and it would be good to compare that line of research to the proposed work.  _x000D_
- The collaboration between the theoretical and the transportation researchers could be better developed in the proposal._x000D_
_x000D_
BROADER IMPACTS_x000D_
_x000D_
_x000D_
Strengths_x000D_
_x000D_
+ The PIs have a good track record of mentoring students who go on to research careers._x000D_
+ PI Regan's iSTART grant would have good synergy with this program._x000D_
+ The focus is on applicable problems. _x000D_
_x000D_
_x000D_
Weaknesses_x000D_
_x000D_
- No distinctive broader impacts as one would like in a Medium._x000D_
_x000D_
 _x000D_
_x000D_
ADDITIONAL REMARKS_x000D_
_x000D_
_x000D_
Collaboration plan: OK._x000D_
_x000D_
Data Management Plan: Releasing software is excellent. It is not clear why it might only be available for three years. _x000D_
_x000D_
Results of prior support:  OK._x000D_
_x000D_
 _x000D_
_x000D_
Suggestions to PI(s): _x000D_
_x000D_
- Obviously, be careful about making sure the references are correct. _x000D_
- It would be good to lay out some specific conjectures, eg. what one intends to prove about stable-matching Voronoi diagrams._x000D_
_x000D_
 _x000D_
_x000D_
Justification for Panel Rating:  The main reasons for the LC rating are the lack of a strong integrating idea, although many of the individual ideas are appealing. _x000D_
_x000D_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</si>
  <si>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Algorithms for Real-World Networks_x000D_
_x000D_
L: 1763258 Goodrich, Michael U of Cal Irvine $ 1,199,544_x000D_
_x000D_
_x000D_
P180637 LC AF Medium Panel /  Dec 11-12 (9 panelists),_x000B_  on 12/12/2017, recommended as Low Competitive (V,V/G,G,G)_x000D_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</si>
  <si>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ZP0793383</t>
  </si>
  <si>
    <t>Amenta</t>
  </si>
  <si>
    <t>amenta@cs.ucdavis.edu</t>
  </si>
  <si>
    <t xml:space="preserve">In the context of the five review elements, please _x000D_
evaluate the strengths and weaknesses of the proposal with respect to intellectual merit._x000D_
_x000D_
The work here concerns graph algorithms in realistic models.  Two of the PIs are extremely prolific researchers in graph algorithms, and the third has a joint appointment in transportation engineering.  It lists a large collection of possible research directions, which, given the PIs track record, may well largely get done._x000D_
_x000D_
There is a brief discussion of finding the k-best solutions to a problem such as shortest path. There is a section on transportation optimization from the applications viewpoint. There is a section on "stable-matching Voronoi diagrams" which is a way of formalizing the idea of matching geographic/transportation distance points to centers, eg. for redistricting. There is a section on dynamic graph algorithms including estimating statistics describing the graph and nearest neighbors. Finally there is a section on visualization, including optimizing arc diagrams, non-realistic graph layout, and convergence diagrams.  A section on representing graphs by circle diagrams is not super-convincing as a visualization technique but possibly as a tool for algorithmic design. _x000D_
_x000D_
Strengths:_x000D_
_x000D_
- The connection to transportation optimization problems in Section 2.2.  Scaling up these computations using some sophisticated algorithmic techniques seems like a great idea. Many of these rely on dynamic programming, and PI Eppstein has some background in speeding up DP in special cases. _x000D_
_x000D_
- An approach to automated redistricting.  This seems novel, and the fact that it can use the road graph network as a distance measure is helpful; population centers connected along a highway is sometimes a reasonable way to draw a district, not handled by simple measures like compactness.  _x000D_
_x000D_
- The work on enumeration statistics for dynamic graphs uses some interesting algorithmic techniques. _x000D_
_x000D_
- The three proposed visualization algorithms all sound useful._x000D_
_x000D_
- Modeling geographic graphs using circle graphs provides some deep structure to sparse graphs that are not quite planar; this is a stronger idea than 'planar graph with a few minor exceptions' and it won a best-paper award at Sigspatial 2008.  _x000D_
_x000D_
Weaknesses:_x000D_
_x000D_
- The proposed collaboration does not seem to have any preliminary work, although there is great potential. _x000D_
_x000D_
- There could be more connection to real-world situations in the redistricting work; this probably goes without saying, but the PIs should attend the California Gerrymandr conference and possibly contact the organizers now to get involved more deeply. _x000D_
_x000D_
- The proposal is a bit hurried and the references are mis-numbered, so that I cannot look anything up. The introduction is not as connected to the actual work proposed as one might want. _x000D_
_x000D_
- The work on electric vehicles might be a lot more meaningful in the context of EV fleets, and even self-driving EV fleets, where centralized planning of rides and charging is possible._x000D_
_x000D_
- The dynamic graph enumeration algorithms could use more context and motivation. _x000D_
_x000D_
- The visualization section needs a lot more pictures, even small ones that the reader could zoom into.  Which reminds me, some of these ideas might be very interesting in the context of interactive visualization, where a rough picture (e.g. confluence diagram) of the whole network could resolve to more detailed full-graph versions as you soon in). Some more sophisticated implementations, with a designer, might be great undergrad projects. _x000D_
_x000D_
- Visualizing via circle ply covers is unconvincing, at least in Figure 3._x000D_
_x000D_
In the context of the five review elements, please _x000D_
evaluate the strengths and weaknesses of the proposal with respect to broader impacts._x000D_
_x000D_
- Engagement with freshman education is a plus.  _x000D_
- The PIs have a great track record of undergrads going on to research careers. _x000D_
- PI Regan's iSTART project will have good synergy with this one. _x000D_
_x000D_
_x000D_
Please evaluate the strengths and _x000D_
weaknesses of the proposal with respect to any additional solicitation-specific review criteria, if _x000D_
applicable_x000D_
_x000D_
_x000D_
_x000D_
Summary Statement_x000D_
_x000D_
This is a strong proposal from established researchers.  Good work, relevant to actual computational problems, will most likely get done._x000D_
_x000D_
</t>
  </si>
  <si>
    <t>TK1008452</t>
  </si>
  <si>
    <t>gkatz@drexel.edu</t>
  </si>
  <si>
    <t xml:space="preserve">In the context of the five review elements, please _x000D_
evaluate the strengths and weaknesses of the proposal with respect to intellectual merit._x000D_
_x000D_
This proposal focuses on algorithms for problems related to networks. These proposed problems take many different forms, from combinatorial optimization to vizualization. The suggested unifying theme that sets this proposal apart from previous work is the concentration on "real-world networks" which, unlike worst-case networks, may satisfy structural properties which enable the design of improved algorithms. _x000D_
_x000D_
On the positive side, the PIs clearly state the set of problems that they plan to focus on, and they do appear to be well-equipped to make progress on these problems. Also, most of the problems do sound interesting._x000D_
_x000D_
On the negative side, the proposal is somewhat weak when it comes to motivating the problems that it focuses on and the collection of problems is not as coherent or closely related as one would hope. Given the wide variety of problems proposed, a large portion of the proposal is dedicated to defining specific problem variations rather than providing the necessary motivation regarding why these problems are worth studying or how the PIs will attack them. Furthermore, some of the problems appear to not fit under the "real-world networks" theme, since the proposal suggests extension of previous results rather than a focus on parameterization._x000D_
_x000D_
On a more technical level, evaluating this proposal is harder because many (if not all) of its citations are broken (e.g., Page 3, [142] and Page 5 [10, 47-50]). The numbers in the citations do not appear to be pointing to the right references, so I could not understand what prior work they were referring to with these citations._x000D_
_x000D_
_x000D_
In the context of the five review elements, please _x000D_
evaluate the strengths and weaknesses of the proposal with respect to broader impacts._x000D_
_x000D_
The broader impacts of this proposal are quite reasonable. The proposed work could have an impact on our theoretical understanding of some interesting problems and, for some of these problems, this could also lead to some impact in industry in the long turn. It is unlikely, however, that any of these problems would lead to tranformative concepts or results._x000D_
_x000D_
_x000D_
Please evaluate the strengths and _x000D_
weaknesses of the proposal with respect to any additional solicitation-specific review criteria, if _x000D_
applicable_x000D_
_x000D_
_x000D_
_x000D_
Summary Statement_x000D_
_x000D_
This is an interesting set of problems loosely connected to each other. The proposal provides partial motivation for studying these problems and some high level ideas regarding how to approach them. The proposal, overall, was pleasant to read but not really compelling._x000D_
_x000D_
_x000D_
</t>
  </si>
  <si>
    <t>SB1008450</t>
  </si>
  <si>
    <t>Halldorsson</t>
  </si>
  <si>
    <t>mmh@ru.is</t>
  </si>
  <si>
    <t xml:space="preserve">In the context of the five review elements, please _x000D_
evaluate the strengths and weaknesses of the proposal with respect to intellectual merit._x000D_
_x000D_
The PIs will investigate graphs that occur "in the wild", especially in road and transportation networks and social networks._x000D_
They will develop combinatorial algorithms, dynamic data structures, and visualizations of these graphs, and analyzing them in terms of relevant graph parameters. They propose numerous topics, many based on their previous successful properties/algorithms/characterizations. These include: k-best shortest paths, transportation network design, management of electric vehicles, stable matchings in facility location, dynamic nearest neighbors, clique and subgraph enumeration and various visualization algorithms (3darc digraphs, confluent drawings) and modeling algorithms. _x000D_
_x000D_
The proposed topics are all well defined and scientifically valuable. _x000D_
_x000D_
The first two PIs have collaborated extensively for decades (producing over 50 joint works), and their recent related NSF grants have seen prodigious output. They are also among the most established authorities on the topics in question. Thus, it can be taken for granted that the results of the project would be essentially guaranteed to be substantial._x000D_
_x000D_
There is one major technical mistake in the proposal: the bibliography supplied does not match the citations, indeed has 100 references less than are cited._x000D_
_x000D_
There are no major scientific weaknesses in the proposal. It could be said to involve somewhat disparate collection of topics; that although they share the common theme of algorithms in real-life networks, there is no overarching grand problem. _x000D_
_x000D_
_x000D_
In the context of the five review elements, please _x000D_
evaluate the strengths and weaknesses of the proposal with respect to broader impacts._x000D_
_x000D_
Many of the project topics have immediate relevance to problems of society, whether involving coordinated charging of electric vehicles, political districting, or finding multiple near-shortest paths as input to decision support systems. _x000D_
_x000D_
Significant part of the project is intended to involve real-world networks, especially road and transportation networks. The third PI brings a strong background in transportation science, in additional to algorithmic foundations, which makes these planned efforts convincing._x000D_
_x000D_
_x000D_
Please evaluate the strengths and _x000D_
weaknesses of the proposal with respect to any additional solicitation-specific review criteria, if _x000D_
applicable_x000D_
_x000D_
The applicants offer a convincing plans for broadening participation of under-represented groups, and the application of the work in curriculum development._x000D_
_x000D_
_x000D_
Summary Statement_x000D_
_x000D_
Close-knit team with established record of strong collaboration. Problems of both scientific interest and relevance to societal issues._x000D_
_x000D_
_x000D_
</t>
  </si>
  <si>
    <t xml:space="preserve">In the context of the five review elements, please _x000D_
evaluate the strengths and weaknesses of the proposal with respect to intellectual merit._x000D_
_x000D_
This proposal outlines a number of interesting special cases of network optimization problems, particularly focused on those relevant for transportation problems, where the "special case" arises by adding special structure that is applicable to road networks and similarly practical applications. The specific optimization problems outlined are interesting, but not particularly innovative - e.g., the framework of network design problems dates back to the work of Magnanti and Wang from the late 70's. The proposal is mostly a list of potential problems to work on, without giving much insight into initial ideas for attacking them, nor preliminary results that were recently obtained by the PI's that are relevant. (And in the cases that some mention of such recent results is made, they are quite negatively impacted by the fact that the proposal seems to have included an entirely differently set of references. Even when papers are cited with specific lead authors, there is no paper in the references at all with that author, let alone having the reference match the numeric reference. This makes evaluating the intellectual merit of this proposal extremely difficult. The management of electric vehicles problems do seem like a particularly relevant problem to attack at this point in time. Furthermore, the stable Voronoi diagram is also a novel new area of study, but beyond direct separator based methods, there is not much to understand the new algorithmic directions that the PIs intend to pursue. There is a short section on dynamic data structures - where a very brief description is given to several recent lines of work of the PIs (though again due to the references it is impossible to know the papers containing this work); the main thrust of the proposed work is to understand how these algorithms can be specialized to the classes of graphs highlighted for the proposal with specific structure (but with no specifics about new ideas that will be needed to carry this out). Work of similar characteristics is then outlined with respect to their recent work on the visualization algorithms._x000D_
_x000D_
The PIs have a strong track record of research that has been of high impact, and it seems likely that there are sufficient resources provided for supporting this work._x000D_
_x000D_
In the context of the five review elements, please _x000D_
evaluate the strengths and weaknesses of the proposal with respect to broader impacts._x000D_
_x000D_
The problems being proposed of are great relevance to the emergence of new technologies that will have significant impact on the US economy.  The PIs have a good track record of training students, and in particular, students from under-represented groups. The curricular developments outlined are of definite interest._x000D_
_x000D_
Please evaluate the strengths and _x000D_
weaknesses of the proposal with respect to any additional solicitation-specific review criteria, if _x000D_
applicable_x000D_
_x000D_
_x000D_
_x000D_
Summary Statement_x000D_
_x000D_
This is a good proposal that would have benefited from a more detailed discussion of the interface between previous contributions of the PIs and the novel ideas needed to take initial steps for the new work, and is in an area of great potential._x000D_
_x000D_
</t>
  </si>
  <si>
    <t>1763307</t>
  </si>
  <si>
    <t>ROTH</t>
  </si>
  <si>
    <t xml:space="preserve"> Panel Summary       
 SUMMARY OF PROPOSED RESEARCH ACTIVITY_x000D_
_x000D_
This proposal introduces fairness considerations into the process of data analysis. Its goal is to understand i) the extent to which automated learning algorithms can lead to the unfair treatment of individuals or groups, ii) the reasons that give rise to these types of unfairness, and iii) the ways in which unfairness can be mitigated or traded-off with other objectives such as accuracy. The PIs provide a compelling motivation for this research direction, explaining how, in many settings, simple learning algorithms could indeed naturally end up mistreating specific groups of individuals: examples of such settings include the algorithms that may decide which individuals a bank should trust with a loan, or predicting which prisoners, if released, would not go on to commit another crime. _x000D_
_x000D_
Although the algorithm may not be using race or gender as a feature, its decision may end up depending on proxies for these attributes, essentially leading to a "racist" or "sexist" classifier. The proposal defines notions of group-fairness and individual-fairness, and it identifies classes of issues that may arise in the process of both gathering and then using the learning data. Given these fairness notions and the different sources of unfairness the proposal asks a sequence of interesting questions regarding the impact of each source to fairness and the ways to limit it. To attack this problem the PIs plan to use their background in learning algorithms as well as game theory._x000D_
_x000D_
_x000D_
INTELLECTUAL MERIT_x000D_
_x000D_
The proposal is well-structured and pleasing to read. Most of the panel thought that the questions raised and the directions toward solving them that are listed in the proposal are very timely and interesting. On the other hand, some panelists thought that the proposal was lacking in terms of technical innovation. Also, there were some concerns that the learning algorithm abstractions used in this proposal may not represent the algorithms used in practice very closely. The proposed model is, however, a very reasonable first step toward understanding the trade-offs that arise in this domain. An important strength of the proposal is the fact that the group of PIs comprises diverse backgrounds (both computer science and economics) that fits very well with the proposed problems. Three of the PIs are faculty at Penn and one of the PIs is faculty at Rice and this group has successfully collaborated in the past, leading to multiple publications._x000D_
_x000D_
Strengths_x000D_
+ Most of the panel thought that the problems proposed are very well motivated and timely_x000D_
+ The proposal is well-structured and the problems are clearly motivated and stated_x000D_
+ The PIs have strong and diverse expertise in learning, algorithms, and economics, all of which are closely related to the proposed problems and, as a group, they are very well positioned to attack the proposed problems_x000D_
_x000D_
Weaknesses_x000D_
- Some panelists thought that the proposed problems would not introduce new techniques or lead to major transformative ideas, and hence that the proposal is not very innovative_x000D_
- The model proposed may not necessarily capture the details of learning algorithms used in practice_x000D_
_x000D_
_x000D_
BROADER IMPACTS_x000D_
_x000D_
Among the broader impact contributions of this work, the one that stood out was the strong record of the PIs in disseminating their results through both books and workshops. Apart from the workshops related to the topic of this proposal that the PIs have organized in the past, they also plan to regularly organize analogous workshops in the future. It is worth noting that these workshops have brought and will bring together scientists from a really wide range of disciplines, from computer science and economics to law and criminology._x000D_
_x000D_
Strengths_x000D_
+ Outreach through workshops and books that disseminate the results related to this research_x000D_
+ Bringing together scientists from a very wide range of backgrounds_x000D_
 _x000D_
 _x000D_
ADDITIONAL REMARKS_x000D_
_x000D_
This proposal has its roots in a number of developments in algorithmic foundations that the PI has been at the forefront, mainly in the area of differential privacy, but by moving to address questions of fairness is opening up a substantial new direction. _x000D_
_x000D_
Collaboration plan: Most of the PIs are located on the same campus (Penn), which makes collaboration among them and co-supervising of their PhD students straightforward. PI Pai, who is located at Rice will have weekly meetings with the rest via Skype, and the students on each campus will have the opportunity to spend time on the other campus as well, thus giving all the students the opportunity to interact with all the PIs. The PIs have an existing record of successfully collaborating with each other._x000D_
_x000D_
_x000D_
Data Management Plan: This section adequately explains how the experimental data, the software, and the theoretical results will be made available._x000D_
Results of prior support:  The results of prior work are clearly stated._x000D_
 _x000D_
Suggestions to PI(s): The proposal would definitely be even stronger if the PIs could at least briefly discuss what, if any, novel mathematical techniques or tools their work may lead to. More importantly, a stronger justification of the model and why we should believe that this model provides a reasonable abstraction would be great._x000D_
Also, one minor issue is that some parts of the proposal may need to be brought up to date. For instance, some of the PIs' recent papers in the bibliography are listed as unpublished and the proposal even refers to one of them by saying "appearing at NIPS 2016"._x000D_
_x000D_
Justification for Panel Rating: This proposal puts forth a very important problem that is definitely worth studying in more detail, and the set of PIs is very well positioned for providing solutions toward that direction._x000D_
_x000D_
Panel Rating: _x000D_
_ Highly Competitive_x000D_
X Competitive_x000D_
_ Low Competitive_x000D_
_ Not Competitive_x000D_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</si>
  <si>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main set of questions that this proposal aims to tackle revolve around the extent to which fairness is, or could be, guaranteed in settings where automated decisions are reached using automated learning algorithms. The PIs provide a compelling sequence of arguments regarding why lack of fairness can arise in such settings and how it can then be reinforced by commonly used machine learning frameworks. They break the types of issues that may give rise to such unfairness down into four categories, and they propose how to attack or analyze each such type of issue._x000D_
_x000D_
The causes of unfairness in learning begin with the data gathering process, which the PIs model using a bandit setting and propose to study the trade-off between fairness and speed of the learning process. The second focus is on the myopic nature of the decision maker and the regret bounds that can be achieved by such myopic agents via perturbation or via payments. The PIs conclude by concentrating on the impact of economic incentives as well as the computational complexity in the absence of incentives or other frictions._x000D_
_x000D_
The problem is  very well motivated and timely, and the proposal is well-structured in terms of explaining the types of problems that may arise and motivating why more research should be dedicated to understanding the fairness implications and limitations of learning processes. The specific problems that they propose to study are interesting, but not as compelling, so I would not really expect this project to provide any transformative concepts but, rather, extended solutions to questions that may have already been approached in prior work. One concern is that the results may be a bit too stylized and have only a loose connection with the real world learning processes, but this is to some extent understandable given that the proposal is seeking purely theoretical results._x000D_
_x000D_
The PIs are well equipped to conduct research on these questions as they have relevant and interdisciplinary backgrounds, multiple successful collaborations among them in the past, and some preliminary results along the lines of the proposal as well._x000D_
_x000D_
_x000D_
In the context of the five review elements, please _x000D_
evaluate the strengths and weaknesses of the proposal with respect to broader impacts._x000D_
_x000D_
The main product of the proposed research would be a better understanding of the impact that learning algorithms may have on fairness, and the extent to which this can be mitigated via appropriate interventions or modifications. Ideally, this understanding could lead to algorithmic and policy recommendations that reduce the unfair treatment of protected groups, which is a real problem. The fact that some of the models and problems proposed are somewhat stylized could limit the chance that such an impact does materialize though. _x000D_
_x000D_
The PIs do have a good track record of disseminating their work either through books or through workshops. This can definitely be helpful for raising awareness about these problems, and for  building interdisciplinary bridges in an attempt to better understand them and ultimately solve them._x000D_
_x000D_
_x000D_
Please evaluate the strengths and _x000D_
weaknesses of the proposal with respect to any additional solicitation-specific review criteria, if _x000D_
applicable_x000D_
_x000D_
_x000D_
_x000D_
Summary Statement_x000D_
_x000D_
This proposal focuses on a well-motivated problem and it does a good job motivating it. The models and the problems that the proposal focuses on may be a bit too detached from the real world but, given the importance of the problem, developing a deeper understanding of these questions may still be a worthy investment._x000D_
_x000D_
</t>
  </si>
  <si>
    <t xml:space="preserve">In the context of the five review elements, please _x000D_
evaluate the strengths and weaknesses of the proposal with respect to intellectual merit._x000D_
_x000D_
The proposal deals with fairness to individual and to subgroups, when performing data analysis. It is observed that lack of fairness can occur for several reasons: feedback loops in the operation of the algorithm (involving the balance of exploration and exploitation); optimization of short-term interests; economic frictions, involving lack of exploration in subgroups; and the computational complexity of checking fairness. _x000D_
_x000D_
The proposal details plans to address all the listed reasons for lack of fairness, with explicit subgoals or tasks. _x000D_
_x000D_
The applicants form an interdisciplinary team with strong expertise in learning, algorithms, and mechanism design &amp; economics. They have published many of the previous results and are highly likely to be successful in this project._x000D_
_x000D_
_x000D_
In the context of the five review elements, please _x000D_
evaluate the strengths and weaknesses of the proposal with respect to broader impacts._x000D_
_x000D_
Fairness is clearly a topic of importance to society as a whole. Integration into curriculum and interdisciplinary workshops are also planned. _x000D_
_x000D_
_x000D_
_x000D_
Please evaluate the strengths and _x000D_
weaknesses of the proposal with respect to any additional solicitation-specific review criteria, if _x000D_
applicable_x000D_
_x000D_
_x000D_
_x000D_
Summary Statement_x000D_
_x000D_
Fairness in data analysis is a topic of general importance. Thoroughly outlined plan for tackling the different forms of unfairness, involving an interdisciplinary team that has developed many of the state of the art results._x000D_
_x000D_
_x000D_
</t>
  </si>
  <si>
    <t>KE0804557</t>
  </si>
  <si>
    <t>periklis.research@gmail.com</t>
  </si>
  <si>
    <t xml:space="preserve">In the context of the five review elements, please _x000D_
evaluate the strengths and weaknesses of the proposal with respect to intellectual merit._x000D_
_x000D_
This is a very good proposal. It addresses an important practical issue: classification is aiming to classify individuals but fairness is an attribute of the population. This has applications to e.g. intelligent policing. The proposal and the preliminary work are all great. I failed to see if there are any new techniques or major transformative ideas that this research will put forth._x000D_
_x000D_
In the context of the five review elements, please _x000D_
evaluate the strengths and weaknesses of the proposal with respect to broader impacts._x000D_
_x000D_
+ PIs have excellent research track record and are very well suited for carrying out this research_x000D_
_x000D_
+ very well articulated proposal (also excellent presentation)_x000D_
_x000D_
+ very good broader impact and outreach plan_x000D_
_x000D_
- possibly, not very innovative_x000D_
_x000D_
Please evaluate the strengths and _x000D_
weaknesses of the proposal with respect to any additional solicitation-specific review criteria, if _x000D_
applicable_x000D_
_x000D_
_x000D_
_x000D_
Summary Statement_x000D_
_x000D_
I like the idea very much. I believe this proposal should be funded but should be prioritized as appropriate._x000D_
_x000D_
</t>
  </si>
  <si>
    <t xml:space="preserve">In the context of the five review elements, please _x000D_
evaluate the strengths and weaknesses of the proposal with respect to intellectual merit._x000D_
_x000D_
This proposal delves into a number of fundamental questions regarding the design of algorithms in classification and to a lesser extent allocation questions with the goal of achieving notions of both statistical and individual fairness (as well as tradeoffs between efficiency and fairness that can be achieved). These are increasingly important areas for both theoretical research and practical impact. _x000D_
The main thesis of this proposal is that although an equilibrium-style argument would imply that the market will still ultimately mitigate the need for such tools, there are frictions in the market the consequence of which makes such algorithmic guarantees necessary. Perhaps the most interesting element in the proposal is the section on contextual bandits, and the understanding that previous work relies on a "realizability" assumption which would very important to relax (while still being able to obtain diminishing regret while guaranteeing statistical fairness). There is also a section devoted to myopic friction for which there is a very nice preliminary result that introduces smoothed analysis to this context, and poses questions of extending this, as well as a number of questions in using incentives and comparing the relative costs to overcome the short-sightedness from both statistical and individual notions (again from a bandit-style perspective)._x000D_
_x000D_
In the context of the five review elements, please _x000D_
evaluate the strengths and weaknesses of the proposal with respect to broader impacts._x000D_
_x000D_
This proposal in an area of critical national need. Algorithmic tools are being used for critical decision-making and issues of fairness are of foremost importance. These are important both at an operations and a policy level of impact in a range of societal settings. Furthermore, the Pis proposed to integrate this area into undergraduate teaching, where the next generation of policy implementers are currently being educated._x000D_
_x000D_
Please evaluate the strengths and _x000D_
weaknesses of the proposal with respect to any additional solicitation-specific review criteria, if _x000D_
applicable_x000D_
_x000D_
_x000D_
_x000D_
Summary Statement_x000D_
_x000D_
This a very interesting proposal, both from a technical perspective and from its broader impact beyond computer science research._x000D_
_x000D_
</t>
  </si>
  <si>
    <t>A tremendous amount of research and development  in computer science is devoted to automating decision making, and ideally improving  economic and social efficiency. Automated decisions now inform whether we are approved for credit cards, receive mortgages, are shortlisted for job interviews, whether prisoners are released on bail, what advertisements we are shown, what search results we see, and where police  are deployed. But as increasingly  consequential  decisions are made by (often opaque) automated procedures, the fairness of these procedures becomes a vital concern and one that often has legal consequences. Fairness arises as an issue in any automated decision procedure that has as a goal classifying people (as worthy of receiving  a loan, or bail, for example) or allocating costs and benefits to people. These goals are interrelated distinguished  only by whether the decision maker takes into account an overall budget or resource constraint. An NSF panel, for example, is both classifying proposals and allocating  scarce resources. It has been argued that automation,  by removing  the human element, guarantees fairness or at least gives us the ability to transparently evaluate fairness by examining the algorithm's code. Recent empirical research, however, demonstrates that automation is no panacea, and does not prevent "unfair" discrimination. Moreover,  the reasons for this unfairness can be complex and non-obvious.  In this project, we propose  a rigorous, quantitative study of the frictions that cause unfairness to arise and persist in algorithmic decision making. We will derive technical solutions to mitigate these frictions, and provide  provable guarantees of fairness.  We also propose to study the costs of fairness that is, quantitative trade-offs between various definitions of fairness and other desiderata, like accuracy, computational efficiency, and economic efficiency._x000D_
_x000D_
Keywords: fairness, machine learning; economics, incentives.Our proposal will develop the theoretical and practical foundations for understanding the frictions that cause unfairness to arise in algorithmic decision making, and the tools to incorporate fairness considerations into algorithm design. By quantifying the trade-offs between fairness and accuracy, economic and computational efficiency, and other desiderata, we will deepen our understanding of the quantitative and qualitative costs of fairness. We will also develop the economic tools to design markets in ways that eliminate equilibrium frictions to fairness. As part of developing these foundations, we will need to develop new definitions that formalize existing informal notions of fairness which match the needs of the scenarios we consider.Our work will have two kinds of broader impacts. First, understanding fundamental trade-offs between fairness and other societal desiderata like economic efficiency, accuracy, and computation will inform sound policy making and technological design. In particular, we hope to provide regulators with specific guidelines to measure and assess fairness in economic interactions that involve data-based classification such as access to credit or health insurance. We will develop computationally efficient algorithms that optimize the learner's goals subject to fairness constraints, thus providing actionable tools. Second, we will disseminate our findings broadly, as we have done in the past with textbooks and with new courses integrated into Penn's Networked and Social Systems Engineering major, and the Rice Data Science Initiative. The actual research proposed herein will be undertaken jointly with students, thus providing training for the next generation of technologists. Interdisciplinary workshops (the first of which we have already conducted at Penn) will allow us to interface with policy makers and legal scholars, and impact policy.</t>
  </si>
  <si>
    <t>1763311</t>
  </si>
  <si>
    <t>Reingold</t>
  </si>
  <si>
    <t xml:space="preserve"> Panel Summary       
 SUMMARY OF PROPOSED RESEARCH ACTIVITY_x000D_
_x000D_
Description : _x000D_
_x000D_
This is a proposal on pseudorandomness and derandomization, two central areas of modern computational complexity. At the heart of this project is a new approach for the complete derandomization of RL, i.e. to show that every randomized logspace algorithm can be replaced by a deterministic (always correct) logspace algorithm. This is a central but conceptually challenging question. The PIs acknowledge that and break it down to a number of sub-problems, each of which is interesting in its own right._x000D_
_x000D_
The problems this proposal aims to study are very well-known questions in the field of theoretical computer science and the PIs are two of the most suitable experts that can potentially successfully solve them. _x000D_
_x000D_
In addition, to the above crucial computational complexity questions, the proposal puts forth research directions in designing practical (very efficient and truly-random-like) hash functions with applications to data structures. Also, the PIs propose new constructions in cryptography concerning the efficient use of one-way functions (an issue that eludes researchers since the mid 80s). _x000D_
_x000D_
The proposal provides an excellent plan for executing this research, including detailed technical outlines of possible ways to answer these questions. It should also be noted that both PIs have an excellent track record and their research in this area has resulted in various milestones._x000D_
 _x000D_
_x000D_
INTELLECTUAL MERIT_x000D_
_x000D_
_x000D_
Strengths_x000D_
_x000D_
+ The proposal resolves open problems and takes very substantial steps in advancing our knowledge in the field._x000D_
_x000D_
+ The PIs propose to study fundamental questions coupled together with new approaches and a detailed plan for conducting this research._x000D_
_x000D_
+ The PIs have an astonishing track record and have established a great deal of the general field of pseudorandomness and related cryptographic applications._x000D_
_x000D_
+ The proposed research finds important applications to data-structures and cryptography._x000D_
_x000D_
_x000D_
Weaknesses_x000D_
_x000D_
No identifiable weaknesses._x000D_
_x000D_
_x000D_
_x000D_
BROADER IMPACTS_x000D_
_x000D_
Strengths_x000D_
_x000D_
+ The proposal has a very good broader impact section. The PIs attempt to connect to industry and popularize theoretical research through blog-posts._x000D_
_x000D_
+ The proposed research is potentially transformational for subfields of cryptography._x000D_
_x000D_
+ The PIs indicate various educational and outreach activities._x000D_
_x000D_
_x000D_
Weaknesses_x000D_
_x000D_
No identifiable weaknesses. _x000D_
_x000D_
 _x000D_
_x000D_
ADDITIONAL REMARKS_x000D_
_x000D_
Collaboration plan: Comprehensive collaboration plan._x000D_
_x000D_
Data Management Plan: Adequate_x000D_
_x000D_
Postdoc Mentoring plan: No current budget for postdoc (but the proposal mentions one postdoc)._x000D_
_x000D_
Results of prior support:  The prior support section is detailed and clear._x000D_
_x000D_
Suggestions to PI(s): This is an excellently written proposal, no suggestions._x000D_
_x000D_
 _x000D_
_x000D_
Justification for Panel Rating: The panel felt that these are very important and fundamental questions. The PIs are very well established and have a strong record in this field. The proposal outlines a solid and promising direction. The panel felt that even if the main (and apparently very difficult) questions are not resolved in full, the indicated subproblems themselves have very substantial merit. _x000D_
_x000D_
 _x000D_
_x000D_
Panel Rating:_x000D_
_x000D_
X Highly Competitive_x000D_
_x000D_
_ Competitive_x000D_
_x000D_
_ Low Competitive_x000D_
_x000D_
_ Not Competitive_x000D_
_x000D_
_x000D_
_x000D_
The summary was read by/to the panel and the panel concurred that the summary accurately reflects the panel discussion. 
</t>
  </si>
  <si>
    <t>YP1008449</t>
  </si>
  <si>
    <t>bhaskaraaditya@gmail.com</t>
  </si>
  <si>
    <t xml:space="preserve">In the context of the five review elements, please _x000D_
evaluate the strengths and weaknesses of the proposal with respect to intellectual merit._x000D_
_x000D_
The project proposed has three broad goals._x000D_
_x000D_
First, the PIs aim to design log-space algorithms for problems that "approach" directed connectivity (which would imply that RL=L, a fundamental question in complexity). To this end, they discuss their recent joint work on undirected Laplacian systems, and aim to explore extensions of it (first, to directed Eulerian graphs). They also propose to explore other problems related to random walks in undirected graphs (such as computing the probability distribution in k-step walks). _x000D_
_x000D_
Next, also in the topic of derandomization, the PIs propose the construction of PRGs for space-bounded computation. This is a well-studied direction, with open questions even the simple case of distinguishers with 2 bits of space. The PIs propose to investigate the method of "iterative restrictions" for such constructions, with the goal of going beyond Nisan's generator. They discuss their recent partial results towards this aim, and give a plausible high-level approach._x000D_
_x000D_
The second goal of the proposal is to provide explicit constructions of combinatorial objects, including hash function families, "batch codes" for local decoding, and a family of graphs known as "depth robust graphs". In all of these, obtaining optimal parameters is open, and this is what the PIs propose._x000D_
_x000D_
The third goal is to further enrich connections between pseudorandomness and cryptography. Concretely, the PIs propose (a) the study of quantum analogues of computational entropy (w.r.t. quantum adversaries), and (b)  building a formal connection between two complementary notions, inaccessible entropy and next-bit pseudoentropy.  They also give a candidate approach and show that the approach itself may have other interesting consequences._x000D_
_x000D_
Overall, the proposal asks some concrete questions towards making fundamental progress on pseudorandomness. The PIs are both experts who have made remarkable contributions to the topic. They also have a long record of collaboration._x000D_
_x000D_
Waknesses:_x000D_
_x000D_
While questions in the first part are natural in the context of "beyond SL", it's not clear to what extent they represent progress towards RL=L. _x000D_
_x000D_
The questions posed on explicit constructions seem somewhat incremental. However in some of the cases, the constructions proposed are quite new, so they would still be valuable._x000D_
_x000D_
_x000D_
In the context of the five review elements, please _x000D_
evaluate the strengths and weaknesses of the proposal with respect to broader impacts._x000D_
_x000D_
The PIs have an extensive service and outreach record, in the form of organizing workshops, chairing conferences, and promoting theoretical computer science. _x000D_
_x000D_
Regarding pseudorandomness and complexity, the PIs have also developed courses, whose notes are well regarded and followed at many institutions. They also propose new courses at a UG level. _x000D_
_x000D_
The PIs also express commitment towards diversity._x000D_
_x000D_
Please evaluate the strengths and _x000D_
weaknesses of the proposal with respect to any additional solicitation-specific review criteria, if _x000D_
applicable_x000D_
_x000D_
_x000D_
_x000D_
Summary Statement_x000D_
_x000D_
The proposal asks some concrete questions towards making fundamental progress on pseudorandomness. The PIs are both experts who have made remarkable contributions to the topic. They also have a long record of collaboration._x000D_
_x000D_
</t>
  </si>
  <si>
    <t xml:space="preserve">In the context of the five review elements, please _x000D_
evaluate the strengths and weaknesses of the proposal with respect to intellectual merit._x000D_
_x000D_
This proposal addresses fundamental issues in derandomization of algorithms and the closely related topic of pseudorandom generators (PRGs) and_x000D_
other "pseudorandom" combinatorial objects. Some examples of directions to be explored are as follows._x000D_
1. Derandomizing log-space: the PIs outline an approach to proving the long-sought theorem RL = L, or maybe a slightly weaker version of it,_x000D_
using recent advances in Laplacian solvers._x000D_
2. Construct "small" (ideally polynomial sized) hash families from [poly(n)] to [n] that are constant-time computable and have good load balance properties, e.g., max load = O(log n / log log n), as with a fully random hash function. This would be a very fundamental result and the construction could be widely useful in building data structures._x000D_
3. Construct PRGs against small width branching programs, perhaps even width-3 programs. This is another very fundamental direction of work and the PIs point to some recent works of theirs that have developed a potentially useful technique, "iterative restrictions"._x000D_
4. Explicitly construct "depth robust graphs", which are low-degree graphs where one can delete "many" vertices while still leaving a long path. The proposal hints at cryptographic applications of such objects and notes that this notion of robustness has some vague similarity with connectivity robustness in expanders._x000D_
5. Unify the notions of pseudoentropy (as developed for the construction of PRGs from one-way functions) and inaccessible entropy (as developed_x000D_
by the PIs for analyzing commitment schemes) under a common theory. As the proposal notes. these notions appear "dual" to each other. The_x000D_
proposal sketches a potential unification using relative entropy._x000D_
_x000D_
Strengths:_x000D_
_x000D_
+ Both PIs have stellar track record of work on these topics and they have a long history of successful collaboration._x000D_
+ The problems considered here are fundamental in nature. Some parts of this work could be groundbreaking, if successful._x000D_
+ Most of the proposed work has been carefully thought out, and reasonable-looking solution approaches have been written up here._x000D_
_x000D_
Weaknesses:_x000D_
_x000D_
- Nothing significant._x000D_
_x000D_
_x000D_
_x000D_
In the context of the five review elements, please _x000D_
evaluate the strengths and weaknesses of the proposal with respect to broader impacts._x000D_
_x000D_
The project will train several graduate students and likely some undergraduate students (PI Vadhan has solid track record on this). Both PIs have, in the past, advised a large number of top-notch Ph.D. students._x000D_
_x000D_
Both PIs will continue their record of extensive service (PC chair, SIGACT committee)._x000D_
_x000D_
_x000D_
Please evaluate the strengths and _x000D_
weaknesses of the proposal with respect to any additional solicitation-specific review criteria, if _x000D_
applicable_x000D_
_x000D_
_x000D_
_x000D_
Summary Statement_x000D_
_x000D_
This is an excellent proposal aiming for deep and fundamental results in complexity theory. Though ambitious, there is reasonable chance of success because both PIs are leaders in the area with many years of experience. _x000D_
_x000D_
_x000D_
</t>
  </si>
  <si>
    <t xml:space="preserve">In the context of the five review elements, please _x000D_
evaluate the strengths and weaknesses of the proposal with respect to intellectual merit._x000D_
_x000D_
This is an excellent but also very ambitious proposal, very well articulated plan, and a plan of directly attacking tantalizing questions in computational complexity, such as RL=L. The proposal is a very good mix of attacking very difficult questions put together with a plan for attacking questions that seem much more doable and whose answers would advance the knowledge in the field.  In particular, the main proposed lines of study are:_x000D_
_x000D_
- revisit the question for RL vs L. Technical advances may be possible through connections to the work of Spielman and Tang and recent works of the PIs. _x000D_
_x000D_
- related to the previous bullet but also of independent interest: devise new PRGs that fool space-bounded machines, starting from the very important question of width 3 BPs._x000D_
_x000D_
- in relation to the above, devise new pseudorandom combinatorial objects: such as improved expander graphs and hash functions that are of interest to data structures. _x000D_
_x000D_
- revisit HILL and also the more recent breakthrough results of the PIs in order to efficiently construct universal one-way hash functions and digital signatures. These are extremely important open problems in theoretical cryptography._x000D_
_x000D_
In the context of the five review elements, please _x000D_
evaluate the strengths and weaknesses of the proposal with respect to broader impacts._x000D_
_x000D_
Strengths:_x000D_
_x000D_
+ given their record, the PIs are ideal candidates for attacking these open and conceptually difficult questions._x000D_
_x000D_
+ the proposal is well-balanced between conceptually difficult questions and a number of more tangible (but still very important) questions that will advance the knowledge in computational complexity, cryptography, and related areas of combinatorics. _x000D_
_x000D_
+ very well articulated plan and also clear how graduate students will be involved. _x000D_
_x000D_
+ the PIs, and in particular Vadhan, have already contributed with nowadays standard monographs in pseudorandomness. Reingold has contributed through various blogposts in popularizing technical TCS topics. Both PIs seem to have strong record in working together with graduate students, teaching, mentoring, and inspiring students etc. The broader impact of this proposal is very well explained._x000D_
_x000D_
Please evaluate the strengths and _x000D_
weaknesses of the proposal with respect to any additional solicitation-specific review criteria, if _x000D_
applicable_x000D_
_x000D_
_x000D_
_x000D_
Summary Statement_x000D_
_x000D_
Excellent proposal attacking fundamental questions. Although some of the questions are long standing open problems, I have recently come to realize that questions such as RL=L or improving the efficiency of constructions from one-way functions are open probably because we haven't put enough thought on them. I am very supportive of_x001B_ the idea of funding research that will resolve such questions._x000D_
_x000D_
</t>
  </si>
  <si>
    <t xml:space="preserve">In the context of the five review elements, please _x000D_
evaluate the strengths and weaknesses of the proposal with respect to intellectual merit._x000D_
_x000D_
_x000D_
The PIs first intend to attack a classical problem, viz., Is RL=L?_x000D_
_x000D_
They also intend to attack two related problems, viz.,_x000D_
_x000D_
(a) Explicit construction of combinatorial objects such_x000D_
as randomness extractors and expander graphs. Such constructions_x000D_
have applications in hash functions for load balancing, batch_x000D_
codes and depth-robust graphs._x000D_
_x000D_
(b) Applications of pseudo-randomness to cryptography._x000D_
_x000D_
In all three cases, the PIs have identified what the challenges_x000D_
are and noted down their partial progress. The problems are_x000D_
extremely interesting and their work so far, should inspire_x000D_
confidence in their capabilities. _x000D_
_x000D_
The team is clearly well-qualified. They (and their collaborators)_x000D_
have written a number of the papers which lead to the questions_x000D_
in this proposal._x000D_
_x000D_
Clearly, the PI's institutions have the sufficient resources_x000D_
to carry out their tasks, if funded._x000D_
_x000D_
In the context of the five review elements, please _x000D_
evaluate the strengths and weaknesses of the proposal with respect to broader impacts._x000D_
_x000D_
_x000D_
The broader impacts are pretty standard; student advising,_x000D_
curriculum development, etc. It is true that they can carry_x000D_
out the plans outlined. What intrigued me is the application of_x000D_
their work to actual tools in security and privacy. If they can_x000D_
actually identify exact applications of their work, it would be_x000D_
a win, given the national emphasis on cyber-security and data science._x000D_
_x000D_
Please evaluate the strengths and _x000D_
weaknesses of the proposal with respect to any additional solicitation-specific review criteria, if _x000D_
applicable_x000D_
_x000D_
_x000D_
_x000D_
Summary Statement_x000D_
_x000D_
_x000D_
The problems identified in this proposal are extremely interesting_x000D_
and extremely fundamental. The PIs certainly have the wherewithal_x000D_
to credibly attempt these problems. The proposal identifies a number_x000D_
of avenues that they intend to take. There is no reason to expect_x000D_
that the RL = L query will be any easier than the P=NP query._x000D_
At the same time, I do not see why the PIs should be denied an_x000D_
opportunity to explore these lines of attack. Even if they are_x000D_
unsuccessful in resolving the L=RL question, the techniques they_x000D_
develop may be useful in practical applications._x000D_
_x000D_
</t>
  </si>
  <si>
    <t>This project seeks to exploit new opportunities to advance the theory of pseudorandomness, a subfield of theoretical computer science that has connections and significant implications for many areas of research, including cryptography, computational complexity, coding theory, additive number theory, metric embeddings, streaming and sketching algorithms, and graph theory. The PIs have extensive experience in this area and have a long record of collaboration. The project targets some of the most enduring and important challenges in the field as well as applications to fields such as cryptography and data structures._x000D_
Keywords: pseudorandomness and indistinguishability; space-bounded derandomization;  computational entropy; one-way functionsThe project seeks to exploit new opportunities for several fundamental questions, including _x000D_
1.The RL vs. L problem: trying to prove, unconditionally, that every randomized algorithm can be made deterministic with only a constant-factor loss in efficiency._x000D_
2.Explicit constructions: seeking explicit load-balancing hash functions, batch codes, and depth-robust graphs that achieve substantial parameter improvements and have qualitative significance for applications. _x000D_
3.Applications: improving and extending the applications of pseudorandomness to cryptography and data structures.The proposal puts high value on education, service to the research community, and wide dissemination of knowledge. The research activities will be accompanied by and integrated with curriculum development, research advising, service, and outreach. In addition, The research also relates to national priorities of importance to society, such as security and privacy._x000D_
The PIs will develop and refine courses related to the research in this proposal, and make the materials for these courses openly available on-line, for use at other universities. PI Vadhan has been doing this for many years at Harvard, and since joining Stanford, so has PI Reingold. PI Reingold plans to develop courses at Stanford on topics of pseudorandomness and theory courses aimed at non-CS students. The PI's educational efforts extend beyond the confines of their universities, and include organizing external programs and writing surveys and monographs on topics related to pseudorandomness. PI Reingold will continue to use the group research blogs "WindowsOnTheory" and "TheoryDish," which he founded, as forums for exchanging ideas and debating topics of interest to the Theory of Computing community, including research, education, and non-technical issues. _x000D_
Students will be involved in all aspects of this research, building on the PIs' extensive experience in  advising PhD, Masters, and Undergraduate students and summer interns, leading to numerous publications. Students will be actively involved in the collaboration, including visits to the other PI. _x000D_
The PIs will continue their extensive service to the scientific community. In particular, PI Reingold will continue to lead an effort to create a continuous forum (named TOCA-SV by the PI) for collaboration between the Stanford theory group and industrial researchers at the Silicon Valley. Such collaboration should be very useful for this project, especially as it comes to deriving new applications of pseudorandomness.</t>
  </si>
  <si>
    <t>1763314</t>
  </si>
  <si>
    <t xml:space="preserve"> Panel Summary       
  SUMMARY OF PROPOSED RESEARCH ACTIVITY_x000D_
_x000D_
Description: _x000D_
_x000D_
This proposal aims to develop a theory, from the theoretical computer science perspective, of adaptive data analysis. This is a fundamental issue in science: too much adaptive exploration of a dataset can find spurious results that fail to generalize.  In machine learning this manifests as overfitting, while in statistics it appears as the problem of multiple hypotheses.  Statistical theory generally handles specific scenarios, rather than the unstructured exploration that analysts typically do. In computer science, various techniques related to limiting the complexity of any hypothesis, including differential privacy, are robust to adaptive analyses in the worst case but limit what can be learned.    _x000D_
_x000D_
One proposed approach is to model a well-intentioned analyst, exploring the middle ground between the statistics model and the computer science model.  A second approach is trying to find a unifying theory describing when a result is robust. The PIs hypothesize that any robust analysis means considering only a limited part of the total interaction tree representing a complete adaptive analysis.  A quantitative approach will attempt to provide bounds on how big a data set needs to be to support a class of adaptive analyses involving a specific number of queries. A final approach will consider the simpler class of two-stage games, in which an adversarial analyst is allowed to propose a hypothesis after a single round of exploratory queries. _x000D_
 _x000D_
_x000D_
INTELLECTUAL MERIT_x000D_
_x000D_
_x000D_
Strengths_x000D_
_x000D_
+ Addresses a fundamental question._x000D_
+ Brings a theoretical computer science perspective to an important issue in statistics._x000D_
+ The approaches are convincing._x000D_
+ Could be widely transformative across machine learning and possibly science as a whole._x000D_
+ While worst-case results may be unduly negative, it is important to know what they are._x000D_
+ Has great potential for increasing meaningful contact between theoretical computer science and statistics_x000D_
+ Team includes three well-qualified computer scientists, a statistician and a biomedical researcher providing a test-bed. _x000D_
+ There are some significant preliminary results on some of the problems outlined._x000D_
+ The PIs have a good record of disseminating their results widely._x000D_
_x000D_
_x000D_
Weaknesses_x000D_
_x000D_
- It would be nice to see empirical comparison with existing statistical methods better integrated with the theoretical work.  How will the investigators deal with a situation in which the proposed methods do not compare favorably with existing practice?_x000D_
- Some panelists would liked to have seen some middle ground between already published preliminary results and rather vague goals.  _x000D_
_x000D_
_x000D_
BROADER IMPACTS_x000D_
_x000D_
_x000D_
Strengths_x000D_
_x000D_
+ The PIs have already done a good job of disseminating their ideas, having organized relevant workshops and published in Science. _x000D_
+ Roth and Dwork have published a textbook._x000D_
_x000D_
Weaknesses_x000D_
_x000D_
- No distinctive broader impacts as one would like in a Medium project._x000D_
_x000D_
 _x000D_
_x000D_
ADDITIONAL REMARKS_x000D_
_x000D_
_x000D_
Collaboration plan: OK._x000D_
_x000D_
Data Management Plan:  Software will be made available through open-source. _x000D_
_x000D_
Results of prior support:  OK._x000D_
_x000D_
Additional remarks:  This proposal has its roots in a number of developments in algorithmic foundations in which some of the PIs have been at the forefront, mainly in the area of differential privacy. By moving to address questions of adaptive statistical data analysis it opens up a substantial new directions._x000D_
_x000D_
_x000D_
Suggestions to PI(s): There are a few typos, but overall the proposal is well-presented._x000D_
_x000D_
_x000D_
Justification for Panel Rating: This is a strong team addressing an important current issue in learning and science in general. _x000D_
_x000D_
_x000D_
_x000D_
Panel Rating: _x000D_
_x000D_
_ Highly Competitive_x000D_
_x000D_
X Competitive_x000D_
_x000D_
- Low Competitive_x000D_
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</si>
  <si>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This proposal tackles a very important collection of questions about how to measure the validity of inference from data in the presence of adaptive analysis methodology problems related to overfitting, multiple hypothesis testing, p-hacking, etc.  It comes from several of the leading researchers in differential privacy (Roth, Dwork, Smith), a statistician (Su) and a biomedical data scientist (Zou).  Differential privacy is one way of assuring robustness; another is using hypotheses of low description complexity, and a new definition explored in reference [22] max-complexity.  The former is likely too expensive in terms of not allowing enough data re-use. A new approach proposed (Section 3) is to limit the model of what the analyst does. Standard statistical approaches limit this greatly, and the idea is to explore the middle ground in the hope of defining broad classes of robust analyses.  A second related thrust (Sections 4 and 5) is getting a better handle on the relationships between sample size and statistical strength in very general adaptive analysis situations. While these are good questions, the paths to solutions are not clear.  Techniques such as modeling the anallyst-curator interaction as a tree and studying the simplified situation of two-step analyses, with one preliminary analysis and then a malicious query that is designed to have a biased result.  Finally there is a third section on empirical validation of the CS-based results vs standard statistical approaches such as regularization.  _x000D_
_x000D_
_x000D_
Strengths_x000D_
_x000D_
- great team. _x000D_
- excellent area._x000D_
- preliminary results in [22] and [65]_x000D_
_x000D_
Weaknesses_x000D_
_x000D_
- no preliminary work on comparison with statistical methods; what do the PIs plan to do when their more general worst-case methods come up short in practice?_x000D_
- questions presented are rather general_x000D_
_x000D_
_x000D_
In the context of the five review elements, please _x000D_
evaluate the strengths and weaknesses of the proposal with respect to broader impacts._x000D_
_x000D_
Adaptive data analysis workshop (WADAPT) at NIPS.  Good integration of material into courses._x000D_
_x000D_
Please evaluate the strengths and _x000D_
weaknesses of the proposal with respect to any additional solicitation-specific review criteria, if _x000D_
applicable_x000D_
_x000D_
_x000D_
_x000D_
Summary Statement_x000D_
_x000D_
An interesting attempt to tackle the issue of statistical power from a CS perspective.  Not clear how it will stack up against, or have an influence on, the statistical practice._x000D_
_x000D_
</t>
  </si>
  <si>
    <t xml:space="preserve">In the context of the five review elements, please _x000D_
evaluate the strengths and weaknesses of the proposal with respect to intellectual merit._x000D_
_x000D_
The proposal aims to broaden the research in adaptive data analysis, an area pioneered by the PIs. The high level questions are to understand if a machine learning (or any querying) system interacting with a dataset can (a) learn about the distribution of the data, or (b) overfit to the dataset. This is challenging, because queries can be adaptive, and in past work, the PIs have addressed this question from an adversarial viewpoint, and obtained initial results._x000D_
_x000D_
The key aspects of the proposal are the following:_x000D_
_x000D_
1. Going beyond the worst-case adversary and trying to model a "well intentioned" data analyst (whose goal is not to beat the system, but performs adaptive queries for the sake of efficiency)._x000D_
2. Obtaining a general way to think about adaptive queries, and ways to design mechanisms to answer them. The techniques proposed in this regard are interesting, including ideas from differential privacy, two-player games and information theory._x000D_
3. Empirical evaluation of bias._x000D_
_x000D_
All of these aspects are well-laid out, and the PIs are experts in the area._x000D_
_x000D_
In the context of the five review elements, please _x000D_
evaluate the strengths and weaknesses of the proposal with respect to broader impacts._x000D_
_x000D_
The work arose out of understanding "false discovery", a basic question that applies to many aspects of science. The results from this work are likely to have very broad applicability._x000D_
_x000D_
The PIs have a very strong track record of disseminating their work to wide audiences, in all areas of science. The team involves researchers from computer science as well as statistics, and they plan to have joint seminars._x000D_
_x000D_
Please evaluate the strengths and _x000D_
weaknesses of the proposal with respect to any additional solicitation-specific review criteria, if _x000D_
applicable_x000D_
_x000D_
_x000D_
_x000D_
Summary Statement_x000D_
_x000D_
The proposal aims to broaden the are of "adaptive data analysis", pioneered by the PIs. The high level questions are to understand if a machine learning (or any querying) system interacting with a dataset can (a) learn possibly sensitive aspects of the dataset, or (b) overfit a learning model to the dataset. _x000D_
_x000D_
The theoretic challenge arises due to the adaptive nature of the queries. The proposal uses machinery from differential privacy, information theory and game theory to address these problems and get a better understanding of the accuracy possible under adaptive queries._x000D_
_x000D_
</t>
  </si>
  <si>
    <t xml:space="preserve">In the context of the five review elements, please _x000D_
evaluate the strengths and weaknesses of the proposal with respect to intellectual merit._x000D_
_x000D_
The project aims to tackle a fundamental problematic issue with data analysis: the analyses and hypothesis are typically not known in advance and are generated adaptively. This defies the rules of statistical theory, potentially leading to statistically invalid results. Statistical research has tried to tackle this issue, but generally within a static setting, and assuming only two phases. _x000D_
_x000D_
Two solutions have been put forward: a) using differential privacy, and b) limiting the amount of information the analyst/adversary can learn about data, in the form of a new measure, max-information. Both of these are due to two of the PIs. This has certain costs over non-adaptive (statistical) analysis. The proposal aims to tackle this from several angles, including:_x000D_
- considering new and revised models/approaches,_x000D_
- addressing qualititive questions about the costs of adaptivity (e.g., is every guarantee mechanism equivalent to implicitly defined multi-hypothesis testing?)_x000D_
- quantifying the costs of adaptivity (e.g., tight bounds against worst-case adversary; measures of leakage of information)_x000D_
- empirical evaluation of algorithm for reducing bias._x000D_
_x000D_
The numerous research questions posed are described in depth yet in a very readable manner, revealing deep understanding of the fundamental issues. _x000D_
_x000D_
The team is exceptionally well qualified to address these questions, having invented some of the key concepts (like differential privacy) and authored the major previous works from the CS perspective. They have collaborated extensively, and organized numerous meetings and courses on the topic. The members have experience working with colleagues in statistics, and one team member brings practical experience and track record of working with theoreticians._x000D_
_x000D_
_x000D_
_x000D_
_x000D_
In the context of the five review elements, please _x000D_
evaluate the strengths and weaknesses of the proposal with respect to broader impacts._x000D_
_x000D_
The main objective is to address a major issue in scientific exploration, which affects the validity of scientific results. As they note, "This can have long-lasting implications on many aspects of modern society"._x000D_
_x000D_
It's not easy to gauge from the proposal how much true impact this work has had or can have. Though the fact that papers are appearing in Science suggest that there is considerable potential at least._x000D_
_x000D_
_x000D_
Please evaluate the strengths and _x000D_
weaknesses of the proposal with respect to any additional solicitation-specific review criteria, if _x000D_
applicable_x000D_
_x000D_
They plan to organize meetings, give graduate and undergraduate courses, and have a significant focus on attracting women._x000D_
_x000D_
_x000D_
Summary Statement_x000D_
_x000D_
Well thought out proposal on a topic of major importance for science in general._x000D_
_x000D_
</t>
  </si>
  <si>
    <t xml:space="preserve">In the context of the five review elements, please _x000D_
evaluate the strengths and weaknesses of the proposal with respect to intellectual merit._x000D_
_x000D_
Excellent proposal with the potential of spaning a new area in the interface of theoretical computer science, mathematical statistics, and related areas such as differential privacy. The proposal puts forth a technical plan to understand the role of adaptivity in machine learning and statistics. This is an ambitious plan because statistical independence is one of the cornerstones of current techniques. However, the proposal greatly articulates a plan of attacking this issue and I do believe that there is great potential._x000D_
_x000D_
In the context of the five review elements, please _x000D_
evaluate the strengths and weaknesses of the proposal with respect to broader impacts._x000D_
_x000D_
strengths:_x000D_
_x000D_
+ excellently articulated plan_x000D_
_x000D_
+ transformative research plan_x000D_
_x000D_
+ the PIs have a very good track record of collaboration _x000D_
_x000D_
+ the PIs have diverse backgrounds and expertizes, very appropriate for this research_x000D_
_x000D_
+ great broader and outreach plan_x000D_
_x000D_
weaknesses:_x000D_
_x000D_
no weaknesses_x000D_
_x000D_
Please evaluate the strengths and _x000D_
weaknesses of the proposal with respect to any additional solicitation-specific review criteria, if _x000D_
applicable_x000D_
_x000D_
_x000D_
_x000D_
Summary Statement_x000D_
_x000D_
Excellent and transformative proposal by a strong, appropriate group of PIs._x000D_
_x000D_
</t>
  </si>
  <si>
    <t>A central question in statistical data analysis and machine learning is the extent to which discoveries gleaned from a sample extend to the population from which the sample was drawn. Indeed, the ability to reason about the validity of conclusions drawn from operating on the sample is the sine qua non of these fields and speaks to the foundations of the scientific method. Both disciplines have developed methodologies and language to this end. The theory supporting the vast majority of these techniques applies only to the non-adaptive case, in which the methods applied to the data are chosen independently from the data themselves, but this is not how science functions. As Tukey famously wrote, "Ideas come from previous exploration more often than from lightning strokes." This research will place adaptive  ("exploratory" in the language of statistics) data analysis on a firm mathematical foundation. One way to ensure validity of adaptive data analysis is to confine data access to differentially private algorithms. Differential privacy provides a universal solution, meaning that it does not depend on the specific learning and statistical goals of the analyses. Because it is closed under post-processing and composition, it provides a safe method for repeated adaptive interaction with the data. In statistics, techniques such as conditional selective inference and post-selection inference provide potentially higher accuracy but are currently only applicable to certain structured problems, and tolerate only a single round of adaptivity. In addition to unifying these two lines of investigation, this research will: Model the Analyst- It is not difficult to model a validity adversary whose goal is to find "discoveries" that fail to generalize. Are well-intentioned data analysts best modeled in this way? Is it always necessary to design algorithms that defend against the validity adversary? Answer Foundational Questions- Existing universal solutions all bound some form of information flow from the dataset to the analyst. Are there measures of information that characterize universal solutions or even unify known universal and known non-universal solutions? To what extent does adaptivity exacerbate the accuracy/longevity (number of analyses performed) trade-off even for well-intentioned analysts. Develop and Evaluate Techniques- This research will develop new algorithms for specific tasks. Universal solutions will be compared with new sui generis solutions for, both theoretically, and empirically on biomedical datasets to which we have access. This effort requires expertise in differential privacy, multiple hypothesis testing, and machine learning, finding the "right" definitions, and skill in drawing theoretical conclusions from practical experience with data. Each requirement is met in abundance by the team as a whole (the team contains two inventors of differential privacy and two discoverers of the application of differential privacy to adaptive data analysis), all members have worked in at least two of these areas, and all team members have experience working with colleagues in both statistics and computer science. Four team members have collaborated with one or more other team members over the past two years. The fifth team member brings extensive practical experience, a track record of collaborating with theoreticians, has developed an information-theoretic framework for quantifying bias in arbitrary adaptive analysis procedures, and has engaged in several productive discussions with one of the other team members over the last four months. _x000D_
Keywords: Machine learning, false discovery; differential privacyThe intellectual merit is the combination of insights and techniques from statistics and theoretical computer science to provide a rigorous theory of adaptive data analysis, and to create, evaluate, and understand the limits of, universal methods.The broader impact will be to strengthen the underpinnings of the scientific method, supporting science as it is really carried out, particularly on large, irreplaceable, datasets. Progress here will increase the trustworthiness of science and evidence-based decision-making.</t>
  </si>
  <si>
    <t>1763320</t>
  </si>
  <si>
    <t>Munagala</t>
  </si>
  <si>
    <t xml:space="preserve"> Panel Summary       
  SUMMARY OF PROPOSED RESEARCH ACTIVITY_x000D_
_x000D_
Description :_x000D_
_x000D_
 This proposal combines algorithmic aspects of economics (pricing_x000D_
 mechanisms, market design) with queueing theory to study "two-sided_x000D_
 markets", where both buyers and sellers are viewed as agents arriving_x000D_
 to the market at certain rates, according to Poisson processes. Each_x000D_
 agent has a notion of patience (time at which they will leave the_x000D_
 market if they're not served) as well as the usual utility_x000D_
 function. The marketplace/platform must match buyers to sellers_x000D_
 according to some policy, perhaps taking into account some notion_x000D_
 (boolean or real-valued) of compatibility between agents._x000D_
_x000D_
_x000D_
 In recent years, the number of such markets and the number of people_x000D_
using them has steeply increased. Companies such as Lyft, Uber, and_x000D_
AirBnB have revolutionized the transportation and lodging industries,_x000D_
enabling a much more efficient utilization of existing_x000D_
resources. Therefore, a deeper understanding of the extent that these_x000D_
markets can be further optimized, and the means by which these_x000D_
improvements can be achieved is very well motivated._x000D_
_x000D_
 _x000D_
_x000D_
INTELLECTUAL MERIT_x000D_
_x000D_
Strengths_x000D_
_x000D_
+ The problem is well-motivated._x000D_
+ The PIs have a strong record._x000D_
+ The PIs have collaborated together._x000D_
+ There are clear applications to industry._x000D_
_x000D_
_x000D_
Weaknesses_x000D_
_x000D_
- The PIs have not fleshed out the problems in detail._x000D_
- There was nothing in terms of new mathematics._x000D_
  The PIs intend to explore two-sided marketplaces with _x000D_
  traditional techniques._x000D_
- The proposal did not convince the panel that the results that could be obtained by this kind of modeling would lead to transformative insights into two-sided markets. _x000D_
- Some on the panel felt that novelty was lacking_x000D_
in the modeling and that correctness would be difficult to_x000D_
validate._x000D_
_x000D_
BROADER IMPACTS_x000D_
_x000D_
_x000D_
Strengths_x000D_
_x000D_
+ PI Munagala has a strong record of placing his graduates in academe_x000D_
  and industry._x000D_
+ PI Munagala has a strong record of working with undergraduates and women._x000D_
+ The work, if executed properly can be commercialized._x000D_
_x000D_
_x000D_
Weaknesses_x000D_
_x000D_
- Standard. _x000D_
_x000D_
_x000D_
 _x000D_
_x000D_
 _x000D_
_x000D_
Additional REMARKS_x000D_
_x000D_
Research plan: Reasonable._x000D_
_x000D_
Collaboration plan: Very nicely described. Touches on all the major points._x000D_
_x000D_
_x000D_
Data Management Plan: Adequate._x000D_
_x000D_
Results of prior support:  The PIs have published several papers in top venues and_x000D_
graduated doctoral students._x000D_
_x000D_
 _x000D_
_x000D_
Suggestions to PI(s): _x000D_
_x000D_
  _x000D_
 _x000D_
_x000D_
Justification for Panel Rating: _x000D_
_x000D_
 The panel felt that the PIs need to do a better job of identifying exactly which_x000D_
 problems they plan to work on and come up with a clear plan of attack in order to_x000D_
 inspire confidence._x000D_
_x000D_
Panel Rating:_x000D_
_x000D_
_ Highly Competitive_x000D_
_x000D_
_ Competitive_x000D_
_x000D_
X Low Competitive_x000D_
_x000D_
_ Not Competitive_x000D_
_x000D_
The summary was read by/to the panel and the panel concurred that the summary accurately_x000D_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</si>
  <si>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Algorithmic Challenges in Dynamic Two-sided Marketplaces_x000D_
_x000D_
L: 1763320 Munagala, Kameshwar Duke University $  599,974_x000D_
N: 1763417 Banerjee, Siddhartha Cornell University $  599,070_x000D_
_x000D_
_x000D_
P180637 LC AF Medium Panel /  Dec 11-12 (9 panelists; 1 decl confl),_x000B_  on 12/12/2017, recommended as Low Competitive (V,V/G ,F)_x000D_
Std competition rank 9 of 17 rated projects: 2 HC, 6 C, 8 LC, 1 NC _x000D_
_x000D_
Ad hoc reviews (1): G/F, with last on 12/06/2017_x000D_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</si>
  <si>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combines algorithmic aspects of economics (pricing mechanisms, market design) with queueing theory to study "two-sided markets", where both buyers and sellers are viewed as agents arriving to the market at certain rates, according to Poisson processes. Each agent has a notion of patience (time at which they will leave the market if they're not served) as well as the usual utility function. The marketplace/platform must match buyers to sellers according to some policy, perhaps taking into account some notion (boolean or real-valued) of compatibility between agents._x000D_
_x000D_
At least from an algorithmic viewpoint, the theory of two-sided markets is much less devloped than the more standard theory of "one-sided_x000D_
markets". The two PIs have a handful of recent joint works in this area, and the proposal lists a number of directions in which to take this_x000D_
investigation. For example:_x000D_
1. The PIs propose to study facility location based techniques to set up "virtual clearinghouses" to match buyers to sellers, when compatibility is captured by some underlying metric space. They give the example of matching renters to landlords or airbnb as motivation._x000D_
2. Study how prices can be set in the platform so that agents reveal their deadline preferences truthfully._x000D_
3. Design algorithms for setting envy-free prices in a two-sided marketplace with stochastic arrivals. There is some recent work by other_x000D_
authors for one-sided markets, where the problem is "reduced" to a static problem; the PIs propose to extend this to two-sided markets. (The_x000D_
term "envy-free" is not explained in the proposal. I assume the PIs mean that each agent should be matched in a way that they wouldn't want to_x000D_
swap places with another agent of the same type.)_x000D_
4. Compute suitable visibility subgraphs using which the platform can control which buyers a seller "sees" (and vice versa). This is one way to_x000D_
implement an admission control policy. _x000D_
_x000D_
Strengths:_x000D_
_x000D_
+ The two PIs have complemetary strengths (algorithms and queueing theory), and the combination can lead to new technical insights._x000D_
+ The problems to be studied have been formulated clearly and carefully. They are well justified._x000D_
+ PIs have been active in this area very recently and are well positioned to produce results in the proposal's area._x000D_
_x000D_
Weaknesses:_x000D_
_x000D_
- For the most part the proposal is written at a "high" level. It should have included two or three concrete statements of conjectures so that a reviewer can get a sense of what sorts of theorems to expect from this work._x000D_
- It's not made clear how much of the modeling described in the proposal is novel, versus taken from existing published work._x000D_
_x000D_
_x000D_
_x000D_
In the context of the five review elements, please _x000D_
evaluate the strengths and weaknesses of the proposal with respect to broader impacts._x000D_
_x000D_
The topics being explored here are of great importance in the emerging "sharing economy" and it's likely that actual widely-used platforms could benefit from the knowledge created._x000D_
_x000D_
One of the PIs has a strong history of training students who have gone on to work in industry in the design of marketplaces. Both PIs have ongoing industrial collaboration relevant to the project topic._x000D_
_x000D_
The PIs have recently designed courses in Algorithmic Foundations of Data Science and Pricing and Market Design (both at undergraduate level).  The proposal doesn't note any further course design activity to be undertaken in the future._x000D_
_x000D_
_x000D_
Please evaluate the strengths and _x000D_
weaknesses of the proposal with respect to any additional solicitation-specific review criteria, if _x000D_
applicable_x000D_
_x000D_
_x000D_
_x000D_
Summary Statement_x000D_
_x000D_
The proposal teams two PIs with complemetary strengths and promises work in a new and important direction at the intersection of algorithms, economics, and queueing theory._x000D_
_x000D_
_x000D_
</t>
  </si>
  <si>
    <t xml:space="preserve">In the context of the five review elements, please _x000D_
evaluate the strengths and weaknesses of the proposal with respect to intellectual merit._x000D_
_x000D_
This proposal focuses on the problem of optimizing online dynamic two-sided marketplaces and developing the theoretical foundations for a deeper understanding of these markets. In recent years, the number of such markets and the number of people using them has steeply increased. Companies such as Lyft, Uber, and AirBnB have revolutionized the transportation and lodging industries, enabling a much more efficient utilization of existing resources. Therefore, a deeper understanding of the extent that these markets can be further optimized, and the means by which these improvements can be achieved is very well motivated. The PIs argue that most of the prior worked either focused on one-sided markets (such as Amazon or eBay) or on static markets, where the buyers and sellers do not change (drastically) over time. This proposal focuses on dynamic two-sided markets._x000D_
_x000D_
The PIs model these online two-sided markets by assuming that both buyers and sellers arrive in a dynamic fashion and that the goal of the market is to match buyers to sellers aiming to optimize some objective(s). Both the buyers and the sellers can be heterogeneous in terms of their preferences. One of the PIs' goals is to optimize admission control, i.e., to balance the rate at which buyers and sellers arrive at the market and they consider to ways of doing that: appropriately adjust the prices in order to balance demand and supply, or filter out some of the sellers that each buyer sees (and vice versa) and let them reach market equilibrium prices on their own. The second of the PIs' goals is to optimize the quality of the schedule, i.e., the quality of the match between buyers and sellers. In optimizing these two aspects of two-sided markets the PIs plan to focus on the obstacles that arise due to the presence of strategic agents in the market, due to computational constraints, or due to the uncertainty caused by the dynamic nature of the market._x000D_
_x000D_
As the PIs repeatedly point out, their backgrounds are indeed complementary when it comes to tackling the proposed problems. PI Munagala has a background in approximation algorithms and algorithmic game theory, which can prove very useful in addressing the computational constraints and the pricing algorithms, and PI Banerjee has worked on stochastic modeling and scheduling, which is crucial in analyzing dynamic matching markets, so the combination of these backgrounds can potentially lead to novel models and solution concepts. The PIs are therefore qualified for seeing this work to completion and they do have the appropriate resources._x000D_
_x000D_
_x000D_
In the context of the five review elements, please _x000D_
evaluate the strengths and weaknesses of the proposal with respect to broader impacts._x000D_
_x000D_
The solutions to the problems that this proposal aims to tackle will have an impact on the understanding of these markets from a primarily theoretical standpoint. However, given the prevalence of online two-sided markets, it is conceivable that some of the results may have implications in the way some of these markets are designed or optimized. This is made more likely by the fact that the PIs have ongoing relationships or collaborations with these companies that are poised to apply new ideas to their matching markets, and may be willing to experiment with some of the insights of this project._x000D_
_x000D_
In terms of their impact in education, developing classes that prepare students for positions as marketplace engineers in companies that manage this type of a service does sound like a valuable contribution._x000D_
_x000D_
_x000D_
Please evaluate the strengths and _x000D_
weaknesses of the proposal with respect to any additional solicitation-specific review criteria, if _x000D_
applicable_x000D_
_x000D_
_x000D_
_x000D_
Summary Statement_x000D_
_x000D_
This seems like a well-organized proposal aiming to better understand a well-motivated family of problems related to dynamic two-sided markets._x000D_
_x000D_
</t>
  </si>
  <si>
    <t xml:space="preserve">In the context of the five review elements, please _x000D_
evaluate the strengths and weaknesses of the proposal with respect to intellectual merit._x000D_
_x000D_
This proposal is concerned with the modeling and technical challenges involved in analyzing two-sided marketplaces._x000D_
The work outlined in the proposal will definitely serve to enhance the extant body of work in the literature._x000D_
After reviewing the proposal, I was unable to discern the exact_x000D_
problems that the PIs intend to attack. Six research challenges are supposed to describe the work. But these research challenges do not_x000D_
model the problem exactly. Even worse, I did not see any partial progress or a plan of attack on how the proposed problems are going to_x000D_
be addressed. This is unfortunate, since the PIs have a strong track record and are conversant with the problems in the field. _x000D_
The primary beneficiary of the PIs work will be industry; the_x000D_
proposed work at times appears to be empirical._x000D_
The PIs are well-qualified to undertake the work and their home institutions have adequate resources to support their work._x000D_
_x000D_
In the context of the five review elements, please _x000D_
evaluate the strengths and weaknesses of the proposal with respect to broader impacts._x000D_
_x000D_
While most of the broader impacts are standard, it must be mentioned_x000D_
that the PI has been very successful in mentoring graduate students. _x000D_
His students are well-placed and reflect well on his mentoring capability. _x000D_
The impact on industry could be fleshed out a little more with_x000D_
actual examples of where the proposed ideas will be put into action._x000D_
Merely, stating that they have collaborators in Microsoft and Lyft is not very convincing._x000D_
_x000D_
Please evaluate the strengths and _x000D_
weaknesses of the proposal with respect to any additional solicitation-specific review criteria, if _x000D_
applicable_x000D_
_x000D_
_x000D_
_x000D_
Summary Statement_x000D_
_x000D_
The proposal seems to be very vague in what the PIs intend to achieve._x000D_
There is very little actual modeling in the proposal, which will_x000D_
permit the reader to appreciate the exact difficulties of the problems involved._x000D_
_x000D_
</t>
  </si>
  <si>
    <t>EK1008459</t>
  </si>
  <si>
    <t>Vazirani</t>
  </si>
  <si>
    <t>vazirani@ics.uci.edu</t>
  </si>
  <si>
    <t xml:space="preserve">In the context of the five review elements, please _x000D_
evaluate the strengths and weaknesses of the proposal with respect to intellectual merit._x000D_
_x000D_
The PIs propose to build an algorithmic toolkit for new two-sided markets including many that have emerged on the Internet. On the face of it, this sounds like a very timely goal, given the realities of such marketplaces. Unfortunately, the proposal presents no new fundamental algorithmic model or question towards moving to this goal. The proposal is full of jargon, it keeps adding more and more complicated bells and whistles to the problem and it lists a large number of small goals. Also, it is highly verbose and repetitive. _x000D_
_x000D_
I don't see this proposal leading to creative, original or highly transformative progress. It will probably result in a large number of mediocre to decent papers, but the chance of any of them having a lasting impact on two-sided markets is low._x000D_
_x000D_
The PI has done decent work on related topics in the past. The co-PI is very junior and is establishing his credentials as a researcher. Both are quite competent, even if the proposal is not that impressive._x000D_
_x000D_
_x000D_
In the context of the five review elements, please _x000D_
evaluate the strengths and weaknesses of the proposal with respect to broader impacts._x000D_
_x000D_
If the research project pans out with the given goal of building an algorithmic toolkit for new two-sided markets, it will have broader impacts, since such marketplaces are becoming larger and more dominant on the Internet. _x000D_
_x000D_
The PIs have also proposed to advice graduate students and to mentor women, minorities, and undergraduates. They will also broadly disseminate their results, as they have done in the past, by organizing workshops and developing course materials._x000D_
_x000D_
Please evaluate the strengths and _x000D_
weaknesses of the proposal with respect to any additional solicitation-specific review criteria, if _x000D_
applicable_x000D_
_x000D_
_x000D_
_x000D_
Summary Statement_x000D_
_x000D_
The PIs propose to build an algorithmic toolkit for new two-sided markets including many that have emerged on the Internet. On the face of it, this sounds like a very timely goal, given the realities of such marketplaces. Unfortunately, the proposal has not identified any new fundamental models or problems whose successful resolution would lead to lasting impact on such marketplaces._x000D_
_x000D_
</t>
  </si>
  <si>
    <t>Markets are an ancient institution, which today are being transformed by the digital revolution. At its core, a market is a means of facilitating any economic transaction between two distinct groups of agents (henceforth, buyers and sellers). Many of today's most important marketplaces arise in the context of the multi-billion dollar sharing economy: Lyft and Uber for transportation; AirBnB for lodging; Taskrabbit_x000D_
and Upwork for physical and virtual work; Google Express, Amazon Fresh, and Shyp for shipping and delivery; and also more "classical" platforms like Amazon, eBay, and Etsy that facilitate the transactions of goods._x000D_
_x000D_
Unlike traditional markets, online platforms enable more fine-grained monitoring of participants, and more detailed control via pricing, terms of trade, visibility and directed search, information revelation and recommendation, etc. On the other hand, these marketplaces witness complex stochastic dynamics and strategic interactions between agents, leading to complex equilibrium outcomes in the market. The goal of this proposal is to develop new algorithms and techniques for optimizing such marketplaces._x000D_
_x000D_
Keywords: Two sided markets; approximation algorithms; stochastic optimization; algorithmic game theory; pricing; sharing economyThis proposal aims to lay down theoretical foundations for modern two sided marketplaces, focusing on the problem of jointly optimizing an admission control policy (either based on pricing or search-based discovery) coupled with a dynamic scheduling policy to match accepted buyers and sellers. The rich models considered will incorporate dynamically arriving agents with different patience levels and types, and complex matching constraints between types.  The techniques developed will require an interplay between the skill sets of the two PIs -- approximation algorithms and algorithmic game theory on one end, and queueing theory and stochastic modeling on the other end. This will address two-sided variants of central questions in pricing theory, matching and scheduling theory, and location theory._x000D_
_x000D_
In addition to methodological contributions to these problems, our work will also involve collaboration with industrial partners, (in particular, we already have an ongoing project on these topics with researchers at Google) to better understand the problems faced by real-world online marketplaces, and test the algorithms we develop on these platforms.Two-sided platforms have become the cornerstone of the modern sharing economy. The algorithmic problems studied in this proposal will lead to a deeper understanding of how these systems should be optimized and deployed. The discovered algorithmic solutions will allow practitioners to approach the design of these platforms from an entirely new angle. The interdisciplinary nature of the proposed work will lead to attacking the same set of problems from multiple angles, so that there is a greater chance of influencing the way these systems are designed and deployed in practice. The next generation of students will be equipped with the relevant algorithmic skills via effective teaching and mentorship. Results from_x000D_
the proposed work will be broadly disseminated via organizing workshops and developing course materials, tutorials, and monographs.</t>
  </si>
  <si>
    <t>1763481</t>
  </si>
  <si>
    <t>Rudra</t>
  </si>
  <si>
    <t xml:space="preserve"> Panel Summary       
 Description : The proposal aims to study the fundamental problem of performing matrix operations on dense, structured matrices in sub-quadratic time. Following their prior work involving computation of joins in database queries, the PIs propose a notion known as the "recurrence width" of a matrix.  In preliminary work, the PIs show that the recurrence width is a sufficient condition for the fast computability of the matrix-vector product (after some pre-processing)._x000D_
_x000D_
The specific questions proposed are the following:_x000D_
_x000D_
1. Can one characterize matrices A for which the matrix-vector product Ax can be computed in near-linear time? Many sufficient conditions are known, and the PIs propose an "algebraic" one that appears to capture many of the known classes._x000D_
2. Given a matrix A, can we compute the closest "low width" approximation? _x000D_
3. Given a low-width matrix, can its inverse be computed efficiently?_x000D_
_x000D_
These questions are fundamental, and progress on them would have many applications. The PIs specifically highlight the application to deep neural networks._x000D_
_x000D_
The PIs have a history of collaboration, and have worked on faster methods for computing database joins. Their prior work (to appear at SODA) examines the notion of width proposed, and acts as a basis for the proposal._x000D_
_x000D_
INTELLECTUAL MERIT_x000D_
_x000D_
Strengths_x000D_
_x000D_
+ The questions proposed are quite fundamental, and progress would be beneficial to many applications. _x000D_
+ The PIs have a preliminary joint work that defines the recurrence width and shows how to perform fast matrix-vector multiplies._x000D_
_x000D_
Weaknesses_x000D_
_x000D_
- The PIs wish to make progress towards "characterizing" matrices that allow fast matrix-vector multiplication. While the low-width condition is sufficient, there's no evidence that it is a step towards characterization. _x000D_
- The application to deep neural networks needs to be elaborated. Why is this notion of width likely to lead to better accuracy?_x000D_
- Connections between the earlier work on database joins and matrix vector product, if any, needs to be explained._x000D_
- The PIs don't use displacement structure in any convincing way in applications._x000D_
_x000D_
_x000D_
BROADER IMPACTS_x000D_
_x000D_
The PIs propose a host of curriculum development activities, including a textbook on coding theory. There is also a statement on encouragement of women in CS._x000D_
_x000D_
Strengths_x000D_
_x000D_
+ PI Rudra organized events for CS Ed Week that reached large numbers of grade school students, and plans to continue this annually. _x000D_
+ The PIs propose to organize a workshop to bring together researchers from coding theory, complexity theory, database theory, machine learning, and signal processing. _x000D_
_x000D_
Weakness_x000D_
_x000D_
- The PIs say they "plan to validate work within DeepDive", but don't tell us how and where exactly the work is likely to lead to improvements._x000D_
_x000D_
Some members of the panel felt that the broader impacts superficially touched many aspects, while not having a single item that stood out._x000D_
 _x000D_
_x000D_
ADDITIONAL REMARKS_x000D_
_x000D_
Data Management Plan:  This section adequatly explains how the experimental data, the software, and the theoretical results will be made available._x000D_
_x000D_
Results of prior support:  Results have been clearly stated._x000D_
_x000D_
Suggestions to PI(s): _x000D_
_x000D_
Addressing the questions pointed out in the weakness sections of both the intellectual merit and the broader impact would make the proposal stronger. Developing and describing an approach to some of the technical questions would also help._x000D_
_x000D_
Justification for Panel Rating: The case for the proposed notion of width, particularly in the applications, was not convincing. Some of the technical questions didn't have a concrete approach presented._x000D_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</si>
  <si>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Beyond Sparsity: Refined measures of complexity for linear algebra_x000D_
_x000D_
L: 1763481 Rudra, Atri SUNY Buffalo $  645,322_x000D_
N: 1763315 Re, Christopher Stanford University $  552,118_x000D_
_x000D_
_x000D_
P180637 LC AF Medium Panel /  Dec 11-12 (9 panelists),_x000B_  on 12/12/2017, recommended as Low Competitive (V,G,G,F)_x000D_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</si>
  <si>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proposal aims to study the fundamental problem of performing matrix operations on dense, structured matrices in sub-quadratic time. Following their prior work involving computation of joins in database queries, the PIs propose a notion known as the "recurrence width" of a matrix.  In preliminary work, the PIs show that the recurrence width is a sufficient condition for the fast computability of the matrix-vector product (after some pre-processing)._x000D_
_x000D_
The questions discussed are the following:_x000D_
_x000D_
1. Can one characterize matrices A for which Ax can be computed in near-linear time? Several sufficient conditions are known, and the PIs propose an "algebraic" one that appears to capture many of the known classes._x000D_
2. Given an arbitrary matrix A, can we compute the closest "low width" approximation? (this is analogous to low-rank matrix approximation)._x000D_
3. Given a low-width matrix, can its inverse be computed efficiently? (At least in the sense of allowing the computation of A^{-1} b)_x000D_
4. For what matrices A can we solve the "sparse recovery" problem of being able to compute 'b' from (Ab + error) in time that only depends on the sparsity of 'b'?_x000D_
_x000D_
All of these questions are quite fundamental, and thus progress on them would have immediate applications (deep learning being one, if we assume that "auto-differentiation" can also be done efficiently._x000D_
_x000D_
The PIs have a history of collaboration, and have also worked on earlier incarnations of this idea, towards computing database joins. Their prior work examines the notion of width proposed, and acts as a basis for the proposal._x000D_
_x000D_
Negatives:_x000D_
The main issue is that while the problems posed are all significant, the proposal lacks a rough plan/approach towards a majority of these questions. _x000D_
_x000D_
Also, in application areas such as deep networks, it is not clear if one definition of width is better than another (or they may be equivalent, if one increases the size slightly) if such a restricted architecture is to be used while training. If it is to be used post training, then one needs to analyze how the approximation behaves after applying non-linear transformations at each level._x000D_
_x000D_
In the context of the five review elements, please _x000D_
evaluate the strengths and weaknesses of the proposal with respect to broader impacts._x000D_
_x000D_
The PIs propose to organize a workshop bringing together different communities._x000D_
_x000D_
PIs have strong credentials w.r.t. training of undergraduates._x000D_
_x000D_
PIs express a strong encouragement for women and under-represented groups in CS._x000D_
_x000D_
PI Rudra has also been involved in organizing events for local K-12 students._x000D_
_x000D_
Please evaluate the strengths and _x000D_
weaknesses of the proposal with respect to any additional solicitation-specific review criteria, if _x000D_
applicable_x000D_
_x000D_
_x000D_
_x000D_
Summary Statement_x000D_
_x000D_
In summary, the PIs consider the broad question of matrix operations on dense matrices in near linear in n time. They propose a notion of width to characterize this, and explore various fundamental questions. Progress on these would have great practical impact, but the proposal doesn't appear to show plausible directions for many of the questions._x000D_
_x000D_
The PIs are well-qualified and have a record of working together on related problems._x000D_
_x000D_
</t>
  </si>
  <si>
    <t xml:space="preserve">In the context of the five review elements, please _x000D_
evaluate the strengths and weaknesses of the proposal with respect to intellectual merit._x000D_
_x000D_
This proposal is mostly about obtaining faster algorithms for certain linear algebraic operations, when the main matrix involved has some special structure. A key insight of the PIs is their concept of "recurrence width". Having low width makes certain tasks easier; e.g., matrix-vector multiplcation becomes admits a faster O(t^2 N + preprocessing) time algorithm for N x N matrices of width t. Their notion of width generalizes sparsity (low number of nonzeros) and the kind of low complexity seen in e.g., Toeplitz, Hankel, Vandermonde matrices._x000D_
_x000D_
The PIs are proposing to study questions around their above-mentioned result; for instance: (1) characterize those N x N matrices that allow O~(N)-time matrix vector multiplication; (2) given matrix A, find an "easy" nearby matrix B; (3) remove the cost of preprocessing, which currently depends on the matrix-matrix multiplication exponent, in their above result; (4) extend this line of work to solving a linear system whose matrix has low width._x000D_
_x000D_
Matrix-vector multiplication is an "inner loop" task in deep learning. Based on this, the proposal hints at impact of this work in deep learning._x000D_
_x000D_
A thorough understanding of the consequences of small recurrence width can also have an impact in coding theory, through efficient algorithms for multipoint evaluation of multivariate polynomials._x000D_
_x000D_
Strengths:_x000D_
_x000D_
+ The proposal is about seeking efficiency for basic tasks that should be widely applicable._x000D_
+ The PIs seem to have a nice insight (recurrence width) whose implications haven't yet been fully worked out._x000D_
+ They have in the past made surprising progress on the decades old problem of computing relational joins (through a very different theoretical insight)._x000D_
_x000D_
Weaknesses:_x000D_
_x000D_
- The proposal sometimes reads like a long wish list, with no hint about how the wished for results might be obtained._x000D_
- Some key questions are too general (e.g., question 2.1, 2.6, 2.11); the proposal could be improved by spending a few words saying what kind of result can reasonably be expected._x000D_
_x000D_
_x000D_
_x000D_
In the context of the five review elements, please _x000D_
evaluate the strengths and weaknesses of the proposal with respect to broader impacts._x000D_
_x000D_
The project will one graduate student at each university, plus several undergraduates through an REU supplement to be applied for. The PIs will organize a workshop to bring together the relevant communities. PI Rudra is in the process of writing a book on coding theory. _x000D_
_x000D_
_x000D_
_x000D_
Please evaluate the strengths and _x000D_
weaknesses of the proposal with respect to any additional solicitation-specific review criteria, if _x000D_
applicable_x000D_
_x000D_
_x000D_
_x000D_
Summary Statement_x000D_
_x000D_
This is a good proposal on an important problem, exploring a novel approach for obtaining faster algorithms and also exploring surrounding theoretical questions. It could be improved by adding more detail such as solution approaches to some of the problems, and more precise statements of possible theorems to be obtained._x000D_
_x000D_
_x000D_
</t>
  </si>
  <si>
    <t xml:space="preserve">In the context of the five review elements, please _x000D_
evaluate the strengths and weaknesses of the proposal with respect to intellectual merit._x000D_
_x000D_
This proposal aims to obtain new algorithms for linear algebra operations whose performance is evaluated in the context of parameterized complexity. In particular, the PIs suggest to make a study similar to their notion of "recurrence width". It seems to me that much of the proposal is based on this notion that is not well-justified neither very well connected to the claimed applications. This notion appears in a technical report (posted online about a year ago), which is probably accepted in SODA 2016, by the PIs and their collaborators. Furthermore, the proposal uses somewhat non-standard language referring to fixed-parameter tractability as "non-worst case", which seems to me neither true nor appropriate in this context. Please, by changing the parameter of the running time (or by restricting the inputs to specific matrices) we do not change the nature of worst-case analysis. Despite this the idea that the proposed research is not about "worst-case" keeps repeating throughout the proposal. This is an example that shows that the whole proposal can be greatly benefitted by rewriting it and putting things in proper context. Finally, in my opinion the various discussions about connections to other areas are elussive. For example, I do not understand why by restricting the matrices used in the layers of DNNs will help the learning process (there is only a very unclear and speculative discussion on this). I understand that after one has the trained model these algorithms will work faster, but learning the model itself doesn't seem an easier task._x000D_
_x000D_
In the context of the five review elements, please _x000D_
evaluate the strengths and weaknesses of the proposal with respect to broader impacts._x000D_
_x000D_
+ both PIs have very good record in a number of important areas in theory of computing. PI Re has also made substantial contributions in the interface between theory and practice. _x000D_
_x000D_
+ very good broader impacts section._x000D_
_x000D_
- unclear if the new parameterized complexity for matrices will advance the field._x000D_
_x000D_
- unclear connection to applications in machine learning._x000D_
_x000D_
Please evaluate the strengths and _x000D_
weaknesses of the proposal with respect to any additional solicitation-specific review criteria, if _x000D_
applicable_x000D_
_x000D_
_x000D_
_x000D_
Summary Statement_x000D_
_x000D_
As explained above I am not in favor in supporting this proposal._x000D_
_x000D_
</t>
  </si>
  <si>
    <t xml:space="preserve">In the context of the five review elements, please _x000D_
evaluate the strengths and weaknesses of the proposal with respect to intellectual merit._x000D_
_x000D_
This proposal is well written, the PIs have a very good track record with a lot_x000D_
of "best paper" awards, and the ideas for how to approach some of these_x000D_
problems seem solid._x000D_
_x000D_
The PIs want to study classes of matrices that have parsimonious descriptions_x000D_
such as low-rank matrices and other matrices whose structure makes it possible_x000D_
to express them in a compressed format.  In particular, they're interested in_x000D_
matrices with low "recurrence width".  Goals include: designing fast algorithms_x000D_
for computing with these matrices; approximating a general matrix with one that_x000D_
has low recurrence width, or is a sparse perturbation of such a matrix; and_x000D_
taking advantage of the properties of these matrices in neural nets and in_x000D_
coding theory._x000D_
_x000D_
There's a lot to like about this story.  The PIs have preliminary work showing_x000D_
that they can do fast matrix-vector multiplies with matrices with low_x000D_
recurrence width, as well as solving linear systems somewhat quickly (e.g.,_x000D_
multiplying the inverse of a matrix by a vector).  (They also provide analogies_x000D_
to their past very successful work on "fractional hypertree width" for fast_x000D_
database join algorithms.)  They take steps toward unifying low-rank matrices_x000D_
(which enable fast computations via the SVD) with "displacement-structured"_x000D_
matrices, e.g., Toeplitz, Hankel, Vandermonde, Cauchy; and they can do the same_x000D_
fast matrix operations with this broader class of matrices.  One of the_x000D_
proposed research problems is to *completely* characterize the family of_x000D_
matrices for which we can do these operations quickly; I suspect that is asking_x000D_
a little too much, but the question points in a fruitful direction.  Another_x000D_
research problem is, given an arbitrary matrix not in this family, find the_x000D_
"nearest" matrix that is in the family._x000D_
_x000D_
The authors then discuss how these methods could speed up applications in_x000D_
neural networks or algebraic coding theory.  I like the PIs' efforts to link_x000D_
their ideas about "beyond sparse" linear algebra to applications._x000D_
_x000D_
However, I think there are opportunities for the PIs to take this further._x000D_
Are there particular properties of "displacement-structured" matrices_x000D_
(Toeplitz, Hankel, Vandermonde, Cauchy, etc.) that might make them particularly_x000D_
suitable for these applications?  (Other than, of course, the speed of matrix_x000D_
computations.)_x000D_
_x000D_
Let me give an example of what I mean.  In ongoing work (not yet published),_x000D_
Inderjit Dhillon and his students have been exploring deep learning where they_x000D_
replace the usual matrices between layers of neurons with an SVD_x000D_
representation, where the orthogonal matrices are further reduced to_x000D_
Householder transformations.  The gradient descent training procedure is_x000D_
constrained so that all the singular values of each matrix must remain close_x000D_
to 1.  This solves the "exploding gradient problem" and greatly reduces the_x000D_
"vanishing gradient problem" in time-dependent neural nets like LSTMs._x000D_
I think it's a great example how by controlling the representation of a matrix,_x000D_
one can impose constraints that improve the neural net's performance and_x000D_
generalization.  I would like to know whether the PIs have any thoughts about_x000D_
whether displacement-structure matrices and low-rank matrices have potential to_x000D_
impose other useful constraints that might help better regularize a neural net,_x000D_
or solve some other problems.  (The proposal mentions that Google found that_x000D_
Toeplitz-like matrices were particularly effective for mobile speech_x000D_
recognition, but it doesn't tell us why.)  I feel like the PIs left the_x000D_
proposal hanging here--I'd like to believe that "beyond sparse" matrices might_x000D_
have some structure that can aid applications above and beyond merely making_x000D_
matrix-vector computations faster, but I suspect the PIs haven't thought this_x000D_
through._x000D_
_x000D_
Other "questions" the PIs propose to solve that I particularly like are_x000D_
Questions 2.5, 2.9, and 2.19/2.20.  (I appreciate some attention to numerical_x000D_
stability.)  I don't really understand the point of Question 2.6, and wish the_x000D_
PIs would explain it a bit more._x000D_
_x000D_
One minor quibble is that while the PIs have many "best paper" awards, which_x000D_
would seem to be an excellent endorsement of their abilities, the overly short_x000D_
section on "Results from Prior NSF Support" missed the opportunity to explain_x000D_
to we reviewers *why* the authors won so many best paper awards, which I think_x000D_
would have strengthened the proposal.  (I'm also curious if the results on fast_x000D_
database join operations are as big a deal as they sound like they might be.)_x000D_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Rudra is coauthoring_x000D_
a book on coding theory, so research ideas are likely to be incorporated there_x000D_
as well.  There is some discussion of encouraging female students._x000D_
_x000D_
More unusually, Rudra organized events for CS Ed Week that reached large_x000D_
numbers of grade school students, and plans to continue this annually._x000D_
_x000D_
The PIs propose to organize a workshop to bring together researchers from_x000D_
coding theory, complexity theory, database theory, machine learning, and signal_x000D_
processing.  It does seem plausible that the proposed research could foster_x000D_
such cross-CS research collaborations._x000D_
_x000D_
The PIs say they "plan to validate our work within DeepDive", but don't tell us_x000D_
what that *means*.  I wish the PIs would say more about whether their project_x000D_
will generate any usable software._x000D_
_x000D_
There is an intriguing phrase about "work used in the fight against human_x000D_
trafficking."  If there's anything substantial there, the PIs really ought to_x000D_
elaborate._x000D_
_x000D_
I would advise the PIs that it's better to commit to just one or two very_x000D_
concrete, detailed, committed "Broader Impacts", rather than a bunch of vague_x000D_
ones._x000D_
_x000D_
_x000D_
Please evaluate the strengths and _x000D_
weaknesses of the proposal with respect to any additional solicitation-specific review criteria, if _x000D_
applicable_x000D_
_x000D_
_x000D_
_x000D_
Summary Statement_x000D_
_x000D_
I rate this proposal somewhere between "Good" and "Very Good"--I'll mark it at_x000D_
the low end of "Very Good".  It's a well-written proposal by a capable team_x000D_
with a very strong track record.  The ideas are really interesting, and they_x000D_
might have the potential to make an impact in applications, though the PIs_x000D_
haven't substantiated this to as great a degree as I suspect is possible._x000D_
The "Broader Impacts" are average among proposals of this type._x000D_
_x000D_
_x000D_
</t>
  </si>
  <si>
    <t>Modern data science applications involve multi-stage pipelines with multiple potential bottlenecks.  To optimize these systems, it is important to understand the limits of their performance.  Recent work by the PIs has proven new results by using the notion of a width to produce parameterized complexity bounds for common data-driven algorithms. A width is a measure of the structural complexity of a problem: low width implies parsimony, a simple and elegant structure._x000D_
_x000D_
While the long-term trajectory of the PIs' work is to further progress widths in general, work under the scope of this proposal focuses on the domain of linear algebra. This proposal will explore new applications and algorithms using a new width: the recurrence width.  Specifically, the proposal will: (1) develop fast algorithms on low recurrence width matrices for (exact) matrix operations and decompositions; (2) determine how a general matrix can be best approximated by a low-recurrence-width matrix, and whether this approximation can, as with the spectral decomposition, be used to extract useful structural properties of a matrix via a decomposition; and (3) consider specific approximate linear algebra operations (e.g. the sparse recovery problem) and consider other practical issues (e.g. numerical stability), which would be crucial for successful implementation of the developed algorithms in real systems._x000D_
The results obtained from these goals will be applied  to machine learning (especially neural networks) and algebraic coding theory._x000D_
_x000D_
Key Words: Parameterized complexity, linear algebra, neural networks, coding theory, matrix vector multiplicationA variety of problems in modern data science have been successfully characterized using a width; for example, one of the most common widths, the rank of a matrix, has a near-ubiquitous use across many applications. This proposal significantly expands the understanding of several recently-proposed widths and to extract their full potential for positive practical outcomes.  The theoretical work is expected to significantly contribute to the recently growing work on beyond worst-case analysis especially in linear algebra, machine learning and coding theory.Theoretical improvements in knowledge about widths have historically had significant impact within broad areas of machine learning.  Once the properties of the recurrence with are uncovered, for example, it is expected to be able to be leveraged to improve the performance of systems on some problems---problems with low recurrence width but high rank---by orders of magnitude. The ideas generated from this proposal will also ultimately be implemented in widely deployed systems._x000D_
_x000D_
The PIs will organize a workshop to bring together communities related to this proposal and will involve undergraduate researchers in this project. The PIs will also participate in outreach activities to K-12 students. The project will support the training of graduate students, and results will be disseminated via research publications, presentations, and course materials.</t>
  </si>
  <si>
    <t>1763557</t>
  </si>
  <si>
    <t xml:space="preserve"> Panel Summary       
 SUMMARY OF PROPOSED RESEARCH ACTIVITY_x000D_
_x000D_
Description: This proposal concerns sublinear space algorithms for foundational problems on data streams. About 18-20 years ago, a handful of influential papers showed us that it is possible to use only O(polylog n) space to estimate the number of distinct elements in a stream over {1,2,...,n}; estimate the L2-norm of such a stream; identify (approximately) the heavy hitters in the stream, both in the usual sense and the L2 sense; and sample from {1,2,...,n} approximately according to presence/absence in the stream (L0 sampling) or square-of-frequencies (L2 sampling). These algorithmic tasks are sometimes used as building blocks in other data streaming or sketching algorithms. Significantly, about 5 years ago, another influential paper showed how to obtain O(n polylog n)-space algorithms for several problems on undirected graphs._x000D_
_x000D_
Typically, the first algorithms proposed for these problems did not have optimal dependence on the key parameters: the universe size (n), the stream length (m), the accuracy of the estimate (epsilon, for a 1+epsilon multiplicative approximation), the probability of an inaccurate answer (delta), etc. Over time, theoretically better algorithms have been found for several of these problems. In some cases, improved lower bounds were shown to close the gap between the best upper bound and the best lower bound._x000D_
_x000D_
This proposal identifies several instances where gaps of this sort remain, and proposes to close these gaps. It is written in a way that suggests that gaps will be closed by giving better algorithms though of course it's possible that in some cases the algorithms are already optimal and what's needed is a better lower bound._x000D_
_x000D_
INTELLECTUAL MERIT_x000D_
The PIs have carefully laid out some very specific questions where gaps remain. Here are three representative examples: (1) Improve the space complexity of norm estimation when the stream is built using "positive updates" only (no deletions). (2) Improve the space complexity of a norm estimation algorithm that must provide an estimate after every update (both insertions and deletions). (3) Improve the space complexity of estimate the global min cut size of a streamed graph._x000D_
_x000D_
Strengths_x000D_
* The proposal is very well written. Each question posed is crisply defined and the state of the art on it is carefully described._x000D_
* The PIs are aiming for very precise answers to questions of the form "what is the optimal streaming algorithm for this problem?"_x000D_
* For several of the questions, some partial progress is indicated, making it likely that the PIs will indeed solve them soon._x000D_
* The PIs have a strong track record in the area, both on the upper bound and the lower bound side._x000D_
_x000D_
Weaknesses_x000D_
* The proposal's biggest weakness is that it does not aim high enough for a MEDIUM project._x000D_
* For almost all the problems being considered, the "next step" as proposed here would not be transformative. For most of these problems, we already have highly optimized algorithms and what's left is to eliminate a final log or log log factor. There is no indication that doing so would lead to either a more practical algorithm or significantly new mathematics._x000D_
* The project would not give us new streaming algorithms for problems where we don't already have an efficient algorithm. The closest it comes to doing so is the potential O(n/epsilon) space algorithm for global mincut, improving from O(n/epsilon^2)._x000D_
_x000D_
BROADER IMPACTS_x000D_
_x000D_
Strengths_x000D_
* Algorithms for some of these problems could end up being implemented in a streaming algorithms toolbox._x000D_
* The senior PI has an impressive track record of significant outreach to high school students, leading an intensive program to get high quality students interested in programming and algorithms. This is well beyond the usual outreach of giving a lecture or two at a high school._x000D_
_x000D_
Weaknesses_x000D_
* Nothing to note._x000D_
_x000D_
ADDITIONAL REMARKS_x000D_
_x000D_
Research plan: The project can reasonably be expected to deliver the promised results within the proposed duration._x000D_
_x000D_
Collaboration plan: The PIs are both in the Boston area and can meet as frequently as they wish. They are well suited to collaborating deeply._x000D_
_x000D_
Postdoc Mentoring plan: The PIs have described adequate plan for mentoring a postdoc by integrating the postdoc into their professional network and getting them involved in writing a grant proposal of their own. The postdoc will also be encouraged to mentor a grad or undergrad student._x000D_
_x000D_
Data Management Plan: The PIs will place all generated publications on open access systems. They state that they will make all implementations and code available on the web. No further details are given._x000D_
_x000D_
Results of prior support: Only one PI has prior (ongoing) NSF support. He describes one of his two grants, the one closer to the current proposal. Its most significant findings are succinctly and adequately described. The outreach activities resulting from it (workshop organization, talks given) are also summarized._x000D_
_x000D_
Justification for Panel Rating: This proposal is about closing the space complexity gaps for several foundational problems in data streaming. Though these problems were seen as fundamental, the panel agreed that these goals aren't sufficiently ambitious for a MEDIUM proposal._x000D_
_x000D_
Panel Rating:_x000D_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</si>
  <si>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Dynamic data structures for vectors and graphs in sublinear memory_x000D_
_x000D_
L: 1763557 Nguyen, Huy Northeastern University $  574,949_x000D_
N: 1763504 Nelson, Jelani Harvard University $  475,000_x000D_
_x000D_
_x000D_
P180637 LC AF Medium Panel /  Dec 11-12 (9 panelists),_x000B_  on 12/12/2017, recommended as Low Competitive (V,G,G,G)_x000D_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</si>
  <si>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proposed project concerns basic streaming and sketching problems: norm estimation, sparse recovery, basic graphs problems such as min cut, and related topics. Many of these problems have been studied since the beginning of the modern era of streaming algorithms (the paper of Alon-Matias-Szegedy). The proposal lists many concrete problems to be explored, such as the following._x000D_
1. Improve the space complexity of computing a 1+epsilon estimate to the L2 norm of a stream built using only insertions, that uses O(1/epsilon^2 + log n) space, instead of the known O(1/epsilon * log n)._x000D_
2. Improve the space complexity of finding the "epsilon-L2-heavy-hitters" of a stream (those that contribute more than an epsilon fraction of the L2 mass) to O(k) words, where k = 1/epsilon^2. The current record is O(k log k) by PI Nelson, itself an improvement of an O(k log k log log n) bound from a year ago._x000D_
3. What is the optimal way to "track" the L2 norm of an evolving stream, meaning provide an estimate of L2 after every update? There is a trivial way to do this using a one-shot L2 estimator and blowing up its space usage by O(log m). Can this be improved? _x000D_
4. Determine the optimal space complexity of a (k,d1,d2)-sampler for a vector x created using coordinate updates. Such a sampler is supposed to "fail" with probability at most d1 and, when it succeeds, must output a sample of k elements from support(x) that should be d2-close to a uniform sample. This is a basic subroutine is recent graph sketching algorithms (Ahn-Guha-McGregor)._x000D_
5. Preserving all cuts in a graph to within 1+/-epsilon requires space about O(n/epsilon^2), but if we want only the global mincut, is there a streaming algorithm that uses says O(n/epsilon) space? _x000D_
_x000D_
Strengths:_x000D_
_x000D_
+ Both PIs have strong track records in obtaining many tight space bounds in data streaming/sketching._x000D_
+ The problems considered here are fundamental in nature._x000D_
+ The PIs are located in the same area (Boston) and have many previous collaborations._x000D_
_x000D_
Weaknesses:_x000D_
_x000D_
- These problems are, by their nature, very narrow and technical._x000D_
- Much of the proposed work is about optimizing away a final log n (sometimes even log log n) type factor in a space bound. It's not clear that this matters to potential users of streaming/sketching algorithms and the proposal doesn't try to make any such case._x000D_
- Theory for its own sake is fine, but the proposal doesn't make a case that solving these problems will teach us broader lessons within theory._x000D_
_x000D_
_x000D_
_x000D_
In the context of the five review elements, please _x000D_
evaluate the strengths and weaknesses of the proposal with respect to broader impacts._x000D_
_x000D_
_x000D_
The project will train one postdoc, and two or three graduate students in the general area. _x000D_
_x000D_
One of the PIs has been doing an impressive amount of outreach to high school students in Ethiopia and US Virgin Islands and will continue this work. The other PI's institution has a "coop program" through which undergraduates can be recruited to work on this research._x000D_
_x000D_
_x000D_
Please evaluate the strengths and _x000D_
weaknesses of the proposal with respect to any additional solicitation-specific review criteria, if _x000D_
applicable_x000D_
_x000D_
_x000D_
_x000D_
Summary Statement_x000D_
_x000D_
This is a good proposal from two PIs who are well-equipped to work on these problems. It feels too narrow for a "medium" proposal, which ought to aim higher._x000D_
_x000D_
_x000D_
</t>
  </si>
  <si>
    <t xml:space="preserve">In the context of the five review elements, please _x000D_
evaluate the strengths and weaknesses of the proposal with respect to intellectual merit._x000D_
_x000D_
This proposal suggests the topic of designing sublinear memory dynamic data structures for vectors and graphs. For the case of vectors, the PIs focus mostly on the insertions-only case, for which a frequency vector needs to be maintained while a stream of token is realized. The case of graphs is closely related with that of vectors, since a graph could be represented as a sequence of edges that are dynamically added or removed, so the PIs propose a sequence of questions for graphs as well._x000D_
_x000D_
The proposal is very well organized and the authors provide a smooth introduction into the topic with some appropriate definitions and context in the beginning. Given their prior work, both together and sepparately, the PIs appear to be well-positioned for attacking these problems. The problems appear to be quite fundamental, many of them having been studied for many decades, and the proposed questions would indeed make progress toward a deeper understanding of the power and limitations of small-space data structures._x000D_
_x000D_
_x000D_
In the context of the five review elements, please _x000D_
evaluate the strengths and weaknesses of the proposal with respect to broader impacts._x000D_
_x000D_
PI Nelson has a very strong record of outreach to underrepresented communities and younger students, which appears to be ongoing._x000D_
_x000D_
Appart from providing us with a deeper theoretical understanding of the proposed problems and streaming algorithms, the proposed problems also appears to be quite interesting not only from a theoretical perspective, but also from a practical one. Given the substantial interest from industry in optimizing some of the streaming algorithms discussed in this proposal, it seems likely that some of the results could have an immediate impact. A partial testatement to this fact is that some of the prior work of the PIs has appeared at applied conferences._x000D_
_x000D_
_x000D_
Please evaluate the strengths and _x000D_
weaknesses of the proposal with respect to any additional solicitation-specific review criteria, if _x000D_
applicable_x000D_
_x000D_
_x000D_
_x000D_
Summary Statement_x000D_
_x000D_
The proposed problems are interesting both from a theoretical and a practical perspective and the authors are well-positioned to attack them. The proposal is well organized, and the PI has a strong record of outreach._x000D_
_x000D_
</t>
  </si>
  <si>
    <t xml:space="preserve">In the context of the five review elements, please _x000D_
evaluate the strengths and weaknesses of the proposal with respect to intellectual merit._x000D_
_x000D_
The proposal deals with sketching and streaming algorithms for vectors and graphs. The focus is on deriving tight space bound. This includes_x000D_
- l_2-estimation and heavy hitters in insertion-only streams_x000D_
- impact of continuous estimation (rather than estimating at end of stream) on complexity_x000D_
- sparse recovery (or support finding) in turnstile streams_x000D_
- (dynamic and static) global min cut_x000D_
- cuts and connectivity in hypergraphs_x000D_
_x000D_
These are all important problems of continuing scientific interest. The description indicates that the PIs have many good ideas for tackling these problems._x000D_
_x000D_
The PIs have authored many of the most recent bounds for these problems, that appear in select conferences, and are eminently qualified to push the state-of-the-art further._x000D_
_x000D_
The downside is that the problems are quite narrow and focused on resolving the exact complexity of the problems. As this often revolves around logarithmic gaps, this seems not likely to involve fundamental underlying issues with greater implication (than to the specific problems considered). A proposal in the Medium category would need a more transformational potential._x000D_
_x000D_
_x000D_
In the context of the five review elements, please _x000D_
evaluate the strengths and weaknesses of the proposal with respect to broader impacts._x000D_
_x000D_
The problems are of industrial interest, and the result may well have industrial applications._x000D_
The PIs have a track record of outreach, both to K-12 and popularizing CS research to undergraduates._x000D_
_x000D_
The impact on society is though likely to be very indirect (as is the case with most theory research)._x000D_
_x000D_
_x000D_
Please evaluate the strengths and _x000D_
weaknesses of the proposal with respect to any additional solicitation-specific review criteria, if _x000D_
applicable_x000D_
_x000D_
_x000D_
_x000D_
Summary Statement_x000D_
_x000D_
Sketching and streaming algorithms for various fundamental problems on vectors and graphs. PIs have developed some of the main related results, and the project is highly likely to be successful. _x000D_
_x000D_
_x000D_
</t>
  </si>
  <si>
    <t xml:space="preserve">In the context of the five review elements, please _x000D_
evaluate the strengths and weaknesses of the proposal with respect to intellectual merit._x000D_
_x000D_
_x000D_
The current proposal is concerned with the design and analysis_x000D_
of sublinear data structures for vectors and graphs. Such data_x000D_
structures find tremendous applications within "streaming" _x000D_
applications. A fair amount of work has been undertaken in this _x000D_
field and quite a few results have been obtained in the literature._x000D_
_x000D_
The PIs have done a good job of surveying the literature and _x000D_
placing their proposed work in context. The research that they_x000D_
plan to conduct has been partitioned into 18 separate questions._x000D_
Prior to stating the research problem, they have clearly explained_x000D_
their prior work and the proposed plan of approach. Some of the_x000D_
questions are rather vague; however, for the most part, the_x000D_
research challenges have been clearly explained. The PIs have_x000D_
discovered the best bounds for some of the problems described_x000D_
and this lends a lot of credibility to their work._x000D_
_x000D_
_x000D_
The PIs and their assembled team are extremely well-qualified to_x000D_
undertake the tasks outlined in the proposal._x000D_
_x000D_
The institutions of the PIs have adequate resources to ensure that_x000D_
they carry out the proposed activities._x000D_
_x000D_
In the context of the five review elements, please _x000D_
evaluate the strengths and weaknesses of the proposal with respect to broader impacts._x000D_
_x000D_
The broader impacts are fairly standard. They have both involved_x000D_
underrepresented minorities and women in their work._x000D_
_x000D_
If the work is actually implemented in the toolboxes of companies_x000D_
such as Amazon and Google, then there will be a broad societal_x000D_
impact as well. The PIs have alluded to such applications, but_x000D_
they need to concretize the same._x000D_
_x000D_
Please evaluate the strengths and _x000D_
weaknesses of the proposal with respect to any additional solicitation-specific review criteria, if _x000D_
applicable_x000D_
_x000D_
_x000D_
_x000D_
Summary Statement_x000D_
_x000D_
This proposal is concerned with small-space data structures for_x000D_
streaming algorithms. The problems proposed have been heavily_x000D_
studied by the PIs as well as a host of others. This indicates_x000D_
that new results will have immediate recognition and impact._x000D_
_x000D_
The proposal has been crafted well and the PIs have a strong_x000D_
track record._x000D_
_x000D_
</t>
  </si>
  <si>
    <t>Sublinear space data structures have been of major recent interest, with applications for example in streaming algorithms, distributed computation, randomized linear algebra, and compressed sensing. Small space solutions have the advantage of fitting in fast cache, thus providing time speedups as well, and also require less storage and bandwidth in distributed settings. This proposal aims to develop novel methods for designing and analyzing sublinear space data structures for two seemingly different but closely related objects: vectors and graphs. In the former case, some high-dimensional vector x receives coordinate-wise updates, while in the latter a graph is subject to edge insertions/deletions and various queries._x000D_
Small-space dynamic data structures supporting vector updates, so-called "streaming algorithms", have been heavily studied beginning with the influential work of Alon, Matias, and Szegedy on supporting L_p-norm estimation queries on x [6]. Strikingly, despite tremendous progress in streaming over the last 20 years since that work, many basic problems remain open including understanding the space complexity of one of problems originally studied in [6]: namely that of estimating L2 of x when every update is simply increasing some x_i by 1. This problem, along with several fundamental problems on vectors, form the technical core of many streaming algorithms in different domains._x000D_
One such application domain of small-space dynamic data structures for vectors is to then obtain such data structures for dynamically changing graphs. Graphs are powerful common abstractions for a wide variety of real world objects such as social networks, the Internet, images, etc., and many of these graphs are dynamically changing over the course of an update stream. Recent work beginning with [3] showed that many graph queries, such as connectivity, can be supported via small-space data structures effectively by reduction to vector-update problems on an edge indicator vector x in R^{(n choose 2)}; see for example the survey [69]._x000D_
This proposal aims to further our understanding of fundamental questions related to small-space dynamic data structures for vector updates, and especially as they relate to graph problems._x000D_
- Small-space vector update data structures: the insertion-only case. In the insertion-only case, vector updates increment coordinates of x, so that x is a frequency count vector of the number of occurrences of various items in a data stream. The PIs plan to attack some of the most fundamental problems in this model, such as norm estimation, heavy hitters, and continuous monitoring of statistics._x000D_
- Fully dynamic streams and applications to graphs. Many of the best known small-space dynamic data structures for graph problems operate by reducing to vector update problems. For example, the only known nearly linear space algorithm for spectral sparsifiers operates by reduction to L2 heavy hitters [52], and algorithms for connectivity, k-edge connectivity, minimum spanning tree, and several others reduce to vector coordinate-sampling problems [3] (see also the survey [69]). Many open problems though still remain, e.g. what is the optimal space complexity for connectivity in dynamic streams? We also plan to investigate several other dynamic graph and hypergraph problems._x000D_
Keywords: streaming; graphs; data structuresThe proposed research directions concern problems in the foundations of small-space data structures and streaming algorithms. Many of the problems proposed are some of the first topics covered in courses covering streaming algorithms, and improvements are likely to generate new techniques to tackle many other problems. Also, the PIs are experts in the discussed problem domains and are well-equipped to make progress. They furthermore have an established record of joint productivity, with six jointly published works in the last 5 years in top venues [81, 78, 79, 80, 65, 66].The PIs plan to teach advanced graduate courses whose topics overlap with contents in this proposal. Furthermore, both PIs plan to train and mentor graduate and undergraduate students students in research, organize workshops, and write survey articles. PIs plan to also participate in outreach activities both to non-computer scientists, to K-12 students, and to broaden participation in computing. The research itself may also have industrial impact, being related to databases, network traffic analysis, and data mining.</t>
  </si>
  <si>
    <t>1763717</t>
  </si>
  <si>
    <t>Cheng</t>
  </si>
  <si>
    <t xml:space="preserve"> Panel Summary       
 Description:  The PIs propose to develop algorithms for counting roots of_x000D_
a system of polynomials over a finite field, counting points in the image of_x000D_
a system of polynomials over a finite field, decomposing an ideal over a finite_x000D_
field, and related tasks._x000D_
_x000D_
_x000D_
INTELLECTUAL MERIT_x000D_
_x000D_
Strengths_x000D_
_x000D_
+ The discussion of individual problems is very well-written.  From the point_x000D_
  of view of someone well-versed in the field, the proposal is well-structured_x000D_
  and organized._x000D_
+ The panel thought that a highlight of the proposal is on page 10:  if the_x000D_
  SPS-conjecture (that for all h in SPS(k, m, t, d), the number of roots of h_x000D_
  in Z is polynomial in k, m, t, and log d) and thus the consequence of_x000D_
  Theorem 1.17 is true, thus establishing a new separation in the direction of_x000D_
  VP != VNP, that would be an exciting result._x000D_
+ The PIs' past work is extremely impressive._x000D_
_x000D_
Weaknesses_x000D_
_x000D_
- The motivations for the proposed research are missing, as well as any_x000D_
  indication of which problems are more important and why._x000D_
- The proposal does not tell the panelists whether these results would_x000D_
  be important in some larger context, for example number theory or complexity_x000D_
  theory._x000D_
_x000D_
_x000D_
BROADER IMPACTS_x000D_
_x000D_
Strengths_x000D_
_x000D_
+ PI Rojas and his REU students obtained results that yield one of the best_x000D_
  parts of the proposal (page 11), showing an ability to employ undergraduate_x000D_
  researchers effectively._x000D_
_x000D_
Weaknesses_x000D_
_x000D_
- The Broader Impacts are standard and nothing else (besides the strength_x000D_
  above) stands out._x000D_
_x000D_
_x000D_
Suggestions to PI(s):_x000D_
_x000D_
Medium (and Large) proposals need to be written with a wide range of reviewers_x000D_
in mind.  Do not assume that all the reviewers know specifics about your_x000D_
subfield--especially what is considered important or impressive work.  Provide_x000D_
context and motivations; place your proposed research in the context of math_x000D_
and Algorithmic Foundations as a whole.  Explain what would be the impact of_x000D_
the outcomes of this research on other theoretical research (or applications)._x000D_
It would help if the PIs shorten the list of problems to make room for the big_x000D_
picture._x000D_
_x000D_
_x000D_
Justification for Panel Rating:_x000D_
_x000D_
The PIs did not make it clear to the panel why we should be excited about this_x000D_
research._x000D_
_x000D_
_x000D_
Panel Rating:_x000D_
_x000D_
_ Highly Competitive_x000D_
_x000D_
_ Competitive_x000D_
_x000D_
X Low Competitive_x000D_
_x000D_
_ Not Competitive_x000D_
_x000D_
The summary was read by/to the panel and the panel concurred that the summary_x000D_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</si>
  <si>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AF:Medium:Collaborative Research: Algorithms and Complexity of Polynomial Systems_x000D_
_x000D_
L: 1763717 Cheng, Qi U of Oklahoma $  298,823_x000D_
N: 1763635 Wan, Daqing U of Cal Irvine $  299,950_x000D_
N: 1763644 Gao, Shuhong Clemson University $  299,918_x000D_
N: 1763774 Rojas, J. Maurice Texas A&amp;M Main Campus $  300,000_x000D_
_x000D_
_x000D_
P180637 LC AF Medium Panel /  Dec 11-12 (9 panelists),_x000B_  on 12/12/2017, recommended as Low Competitive (V,V,F,F)_x000D_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</si>
  <si>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work here is in computational algebraic geometry over finite fields. The proposal would support four well-qualified PIs.  It follows up a current joint CCF medium grant, which has been productive._x000D_
_x000D_
There are three main foci: counting the number of solutions to a system of polynomial equations over finite fields, decomposing polynomial ideals into prime parts, and an algebraic geometry attack on a lower bound for computation of the permanent.  All of these seem quite difficult and the proposal lays out convincing approaches to each of them._x000D_
Finding prime decompositions of ideals for families of polynomials over finite fields is a tool used both in counting roots and for the potential complexity result.    _x000D_
_x000D_
Strengths_x000D_
_x000D_
- existing team, clear goals, strong intellectual merit_x000D_
- these are useful tools for algebraic computation_x000D_
_x000D_
Weaknesses_x000D_
_x000D_
- the community to which this work would be of direct interest is pretty small.  A stronger tie to one or two particular applications would be great._x000D_
_x000D_
In the context of the five review elements, please _x000D_
evaluate the strengths and weaknesses of the proposal with respect to broader impacts._x000D_
_x000D_
The PIs are all involved educators. PI Rojas has used this material in REU programs, and actually produced and published some of the interesting preliminary work with his REU team._x000D_
_x000D_
Please evaluate the strengths and _x000D_
weaknesses of the proposal with respect to any additional solicitation-specific review criteria, if _x000D_
applicable_x000D_
_x000D_
_x000D_
_x000D_
Summary Statement_x000D_
_x000D_
High-quality proposal in a somewhat narrow area._x000D_
_x000D_
</t>
  </si>
  <si>
    <t xml:space="preserve">In the context of the five review elements, please _x000D_
evaluate the strengths and weaknesses of the proposal with respect to intellectual merit._x000D_
_x000D_
This proposal is mostly about computational algebra. The two central problems to be studied are: (1) count the common roots of a system of _x000D_
polynomials over some finite ring; and (2) count the number of points in the image of such a polynomial map. A number of more abstract problems_x000D_
in the same spirit are also considered, e.g., computing the radical of an ideal, and computing a primary decomposition. For the most part, the _x000D_
PIs seek to develop algorithms for the various problems they consider._x000D_
_x000D_
The problems are introduced using an unnecessarily heavy amount of jargon and there are many references to theorems and concepts from pure _x000D_
mathematics that are unfamiliar to a typical theoretical computer scientist._x000D_
_x000D_
Towards the end, the proposal gives an "SPS-conjecture" which is a conjectured upper bound on the number of integer roots of a certain type of _x000D_
polynomial, and mentions that this conjecture would separate VP from VNP. The PI's don't seem to be proposing to attack the conjecture but say _x000D_
that a special case of it can be attacked using their technique of "A-discriminants". They never get around to explaining what an A-discriminant_x000D_
is._x000D_
_x000D_
The work being proposed here, though nominally about algorithm design, is really about computational questions in commutative algebra. The _x000D_
authors' own relevant publication record, as mentioned in their biosketches, has hardly any intersection with the standard venues of theoretical_x000D_
computer science._x000D_
_x000D_
Strengths_x000D_
+ The first two problems mentioned are basic problems in mathematics and it would be good to understand special cases of them algorithmically._x000D_
+ The PIs have had a successful collaboration on these types of problems in the recent past._x000D_
_x000D_
Weaknesses_x000D_
- The proposal is not written to be understood by a standard TCS audience and may in fact be more appropriate as a mathematics proposal._x000D_
- The PIs' track record of publication is not in TCS venues._x000D_
_x000D_
_x000D_
_x000D_
In the context of the five review elements, please _x000D_
evaluate the strengths and weaknesses of the proposal with respect to broader impacts._x000D_
_x000D_
The PIs have successfully worked with undergraduate students through an REU._x000D_
_x000D_
The broader impacts are otherwise standard._x000D_
_x000D_
_x000D_
Please evaluate the strengths and _x000D_
weaknesses of the proposal with respect to any additional solicitation-specific review criteria, if _x000D_
applicable_x000D_
_x000D_
_x000D_
_x000D_
Summary Statement_x000D_
_x000D_
This is a densely written proposal on esoteric mathematical problems that may be important, but are not well explained to a TCS audience._x000D_
_x000D_
_x000D_
</t>
  </si>
  <si>
    <t xml:space="preserve">In the context of the five review elements, please _x000D_
evaluate the strengths and weaknesses of the proposal with respect to intellectual merit._x000D_
_x000D_
The strengths of this proposal are that it is well written, the PIs clearly_x000D_
have a very good track record indicating their fitness to solve the problems_x000D_
they propose to solve, and the ideas for how to approach some of these problems_x000D_
seem solid.  I like Section 2, which does a good job of explain the PIs' past_x000D_
track record and capabilities._x000D_
_x000D_
The main weakness of this proposal--and it's a big one--is that there is_x000D_
virtually no discussion of what I call "The Big Picture".  If the PIs fully_x000D_
succeed in accomplishing everything they propose, what larger impact will it_x000D_
have on this field of mathematics?  What impact will it have on applications?_x000D_
Why do the PIs want to solve these particular problems?  Of all the problems_x000D_
the PIs propose to solve, which are the most important, and why?  Of all the_x000D_
problems the PIs *could* propose to solve, why did they choose these ones?  How_x000D_
do the PIs prioritize, and how should we reviewers prioritize?  The PIs have_x000D_
devoted years of their lives to these sorts of problems, so they must have_x000D_
strong motivations for doing so, but what are those motivations?  Why do these_x000D_
questions excite the PIs?  I argue that answering these questions is the most_x000D_
important part of a proposal.  But this proposal devotes approximately zero_x000D_
attention to them.  There's literally no hint *why* the PIs care at all._x000D_
_x000D_
As reviewers, we are asked to prioritize different proposals, and to evaluate_x000D_
the importance of problems addressed in those proposals.  It is the_x000D_
responsibility of the proposal authors to help us reviewers in this task by_x000D_
giving us their view of what is important and why.  I, personally, can read and_x000D_
understand this proposal, but I have no idea which of these problems are worth_x000D_
solving or why.  (I hope the PIs are aware that not all of the reviewers are,_x000D_
or should be, experts in precisely the same subfield as the PIs.  The proposal_x000D_
needs to reach out to those of us who are experts in adjacent fields--for_x000D_
example, geometry, scientific computing, and numerical analysis in my case--and_x000D_
convince us that you've chosen problems worth solving.)_x000D_
_x000D_
Lacking all context about the PIs' motivations or the Big Picture, this_x000D_
proposal becomes a numbingly long list of undifferentiated problems the PIs_x000D_
propose to solve.  I can only guess if any of them are worth solving, or if the_x000D_
research plan adds up to some bigger vision.  The proposal would benefit_x000D_
greatly from discussing fewer problems and using that space to provide context,_x000D_
motivations, and the PIs' reasons for being enthusiastic.  The Big Picture._x000D_
_x000D_
Having said that, here are a few things that strike me as cool and interesting:_x000D_
Target Result 1.5, Target Result 1.11, and the geometric study by Rojas and REU_x000D_
students discussed in Section 1.5.1 and subsequent discussion up to Target_x000D_
Result 1.24.  My response to most of the rest of the technical section is, "Why_x000D_
do you want to solve that?"  Target Result 1.2 strikes me as archetypal of the_x000D_
proposal's deficient motivation:  I spent much time pondering, why do you care_x000D_
about Target Result 1.2?  (Repeat through much of the rest of the proposal...)_x000D_
_x000D_
I have a question.  Solving polynomials over the finite fields and solving_x000D_
polynomials over the reals are very different problems with different_x000D_
techniques.  This proposal is concerned with the former topic, but there is_x000D_
much interest in the latter topic among geometers and geometric modelers.  Are_x000D_
there any relationships between the two problems?  Would progress on the finite_x000D_
fields problem have any influence on the real-valued problem?  If so, a note_x000D_
about the connections could strengthen the proposal._x000D_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They also point out_x000D_
that their work has fostered interdisciplinary collaborations among their_x000D_
students.  More unusually, Rojas has participated in outreach programs for_x000D_
middle school students and "expository talks to students of all ages".  He has_x000D_
taught a longstanding summer course on algorithmic algebraic geometry to_x000D_
undergrads.  Wan "plans to give a series of talks to the UCI undergraduate Math_x000D_
Club on algorithmic number theory and complexity".  The PIs "plan to create_x000D_
elementary activities based on boolean and algebraic circuits."_x000D_
_x000D_
The proposal fails to explain whether the intellectual output of the proposed_x000D_
work itself has the potential to "benefit society", as I explained above in my_x000D_
remarks on the lack of a Big Picture._x000D_
_x000D_
_x000D_
Please evaluate the strengths and _x000D_
weaknesses of the proposal with respect to any additional solicitation-specific review criteria, if _x000D_
applicable_x000D_
_x000D_
_x000D_
_x000D_
Summary Statement_x000D_
_x000D_
A well-written proposal by a capable team with a very strong track record,_x000D_
addressing problems in polynomials over finite fields such as computing or_x000D_
counting roots and decomposing ideals.  However, I have difficulty evaluating_x000D_
this proposal because of its total failure to explain the context, importance,_x000D_
or potential impact of the proposed research on either our understanding of_x000D_
mathematics or on any practical applications.  The most important part of the_x000D_
proposal, what I call "The Big Picture", is entirely absent; therefore, I_x000D_
cannot recommend funding.  The "Broader Impacts" are average among proposals of_x000D_
this type._x000D_
_x000D_
_x000D_
</t>
  </si>
  <si>
    <t xml:space="preserve">In the context of the five review elements, please _x000D_
evaluate the strengths and weaknesses of the proposal with respect to intellectual merit._x000D_
_x000D_
_x000D_
This proposal is concerned with algorithms for and complexity of_x000D_
computing the roots of multivariate polynomial systems of equations._x000D_
Towards this end, the PIs focus their efforts on studying primary_x000D_
decomposition of ideals._x000D_
_x000D_
The proposal is well-structured and the PIs have organized the_x000D_
proposal as a collection of Theorems and Target Results. _x000D_
The Theorems (nine in all) describe their current progress_x000D_
and there is plenty of progress given the large number of_x000D_
publications that they have produced._x000D_
The Target Results (9 in all) detail what problems they _x000D_
intend to attack. The narrative is lucid and includes all_x000D_
the latest results in the field. _x000D_
The authors link their work to circuit complexity, and the_x000D_
polynomial hierarchy,  which is_x000D_
interesting and informative in its own right. _x000D_
_x000D_
The investigative team is extremely well-qualified to undertake_x000D_
the problems outlined in this proposal. Furthermore, the_x000D_
institutions of the PIs have adequate resources to ensure that_x000D_
the PIs can carry out their work._x000D_
_x000D_
In the context of the five review elements, please _x000D_
evaluate the strengths and weaknesses of the proposal with respect to broader impacts._x000D_
_x000D_
_x000D_
The broader impacts are mostly concerned with graduate and_x000D_
undergraduate education. Pretty standard stuff._x000D_
_x000D_
It should be noted that the work can be directly_x000D_
applied to cryptography._x000D_
_x000D_
Please evaluate the strengths and _x000D_
weaknesses of the proposal with respect to any additional solicitation-specific review criteria, if _x000D_
applicable_x000D_
_x000D_
_x000D_
_x000D_
Summary Statement_x000D_
_x000D_
_x000D_
This is a strong proposal in computational number theory. The team_x000D_
is well-qualified and capable of making significant advances in_x000D_
the field._x000D_
_x000D_
</t>
  </si>
  <si>
    <t>Precise quantitative information about zero sets of equations over finite rings is the key to reliable encryption protocols and communication systems. Furthermore, estimates on the number of real solutions for structured polynomials are now known to lead to new lower bounds for circuit complexity.  However, the precise quantitative bounds and algorithms needed remain challenging open problems. Our main research effort will thus concentrate on (1) new algorithms and complexity lower bounds for estimating the image and kernel size of polynomial maps over finite rings,  (2) primary decomposition of ideals over fields of positive characteristic,  and (3) a new approach to circuit complexity via cA-discriminants._x000D_
_x000D_
Keywords: algorithm and complexity; computer algebra; algorithmic number theory; computational algebraic geometryOur team has extensive experience with zeta functions, fewnomial theory, algorithmic number theory, computational algebra, and applying these ideas to get useful new quantitative results. Also, our proposed techniques provide fundamentally new algorithmic results over finite rings. For instance, our proposed approach to primary decomposition combines and advances techniques from Grobner bases and toric resultants, and leads us to the first algorithms for counting roots of univariate polynomials over prime power rings, with complexity polylogarithmic in the ring size. Faster point counting over prime power rings will in turn enable us to completely settle the complexity of Igusa local zeta functions, and give  _x000D_
new fixed parameter tractable algorithms for Hasse-Weil zeta functions.  Also, our use of cA-discriminants provides a new route toward proving circuit complexity lower bounds, avoiding the obstructions encountered in geometric complexity theory. Our work thus further strengthens the links  between computational complexity theory, computer algebra, algorithmic number theory, and arithmetic algebraic geometry.Our team is distributed across the US (with members from coastal states and plain states), ranging from traditional research centers such as California and Texas, to EPSCoR states such as Oklahoma and South Carolina. The ingredients behind our approach to circuit complexity have already been successfully taught in recent REUs and will continue to be a fertile source of problems for undergraduate and graduate students. Our interdisciplinary approach also serves as an ideal way to attract mathematically talented students to theoretical computer science and number theory. Our team will work on introductory materials, suitable for high school and undergraduate students, on computational complexity, algebra and number theory. This project will also hire at least 4 Ph.D. students and train them, together with other students, in the interdisciplinary areas of Mathematics and Computer Science.</t>
  </si>
  <si>
    <t>1763733</t>
  </si>
  <si>
    <t>Gleich</t>
  </si>
  <si>
    <t xml:space="preserve"> Panel Summary       
 SUMMARY OF PROPOSED RESEARCH ACTIVITY_x000D_
_x000D_
Description : The proposal considers the problem of computing eigenvectors of higher dimensional tensors, and aims to develop numerical computation techniques. Tensor eigenvalues and vectors have received attention because (a) they are natural extensions of the simple and ubiquitous notions of matrix eigvenvalues, and (b) these eigenvalues provide useful structural insights into data, and help in uncovering multiway relationships. The problem has potential connections to algebraic geometry, computational complexity, and information theory. _x000D_
_x000D_
The project proposes two iterative algorithms for computing eigenvectors, motivated (a) by random restarts in fast pagerank computation, and (b) by ideas from dynamical systems. Approaches towards performing such computations at scale are also discussed._x000D_
_x000D_
INTELLECTUAL MERIT_x000D_
_x000D_
Strengths_x000D_
_x000D_
+ Tensors are arising in more and more applications, and the research has the potential to be transformative and impact many areas._x000D_
+ The PIs have a very promising recent work (proposing the 'spacey walk'), which lays the foundation for the proposal._x000D_
+ The second approach is technically interesting. It does a "combined" update of the eigenvalue, vector pair. _x000D_
_x000D_
Weaknesses_x000D_
_x000D_
- Iterative algorithms such as the ones proposed are often very difficult to analyze. The proposal does not provide an approach to such an analysis._x000D_
- For the second method, the question of understanding eigenvectors that are 'attractors' and those that are not seems very difficult. No attempt is made at a systematic analysis._x000D_
- The scope of the algorithmic contribution did not seem broad enough for a medium proposal._x000D_
_x000D_
BROADER IMPACTS_x000D_
_x000D_
Strengths_x000D_
_x000D_
+ Organizing a workshop that brings together theory and applied researchers on tensors._x000D_
+ PIs are quite invested in undergraduate level and high-school research._x000D_
_x000D_
Weaknesses_x000D_
_x000D_
No specific weaknesses._x000D_
_x000D_
_x000D_
ADDITIONAL REMARKS_x000D_
_x000D_
Collaboration plan: the PIs have a history of collaboration, as well as a concrete collaboration plan._x000D_
_x000D_
Data Management Plan: the plan is adequate._x000D_
_x000D_
Results of prior support:  results have been clearly stated._x000D_
_x000D_
Suggestions to PI(s): _x000D_
For a theory audience, the PIs need to provide concrete approaches towards analyzing the algorithms proposed. What kind of guarantees can one expect to obtain? Are there concrete conjectures?_x000D_
_x000D_
The section on faster algorithms could also use more detail. _x000D_
_x000D_
Justification for Panel Rating: _x000D_
The panel was not convinced that the approaches presented in the proposal go far enough towards achieving its goals. Some panelists felt that the PIs' records are strong on the experimental and algorithm design fronts, but not on the analytic directions that are proposed. Finally, the questions proposed seemed limited in scope for a MEDIUM level proposal._x000D_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</si>
  <si>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Principled Numerical Methods for Tensor Computations_x000D_
_x000D_
L: 1763733 Gleich, David Purdue University $  508,040_x000D_
N: 1763455 Benson, Austin Cornell University $  591,393_x000D_
_x000D_
_x000D_
P180637 LC AF Medium Panel /  Dec 11-12 (9 panelists; 1 decl confl),_x000B_  on 12/12/2017, recommended as Low Competitive (V,V/G ,G)_x000D_
Std competition rank 9 of 17 rated projects: 2 HC, 6 C, 8 LC, 1 NC _x000D_
_x000D_
Ad hoc reviews (1): G, with last on 12/10/2017_x000D_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</si>
  <si>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proposal considers the problem of computing "eigenvectors" of three dimensional tensors, and aims to develop numerical computation techniques. Tensor eigenvalues and vectors have received attention because (a) they're natural analogs of the simple and ubiquitous matrix eigvenvalue theory, and (b) these eigenvalues provide useful structural insights into data, uncovering multiway relationships._x000D_
_x000D_
There are three main technical aims: _x000D_
_x000D_
The first is to compute specific eigenvectors (e.g., the "top" eigenvectors of non-negative tensors) via a random-walk approach. Taking inspiration from the matrix case, in which laziness and random "jump to start" approaches make the computation better behaved, the PIs propose a similar iterative approach for tensor eigenvalues. The walk itself was studied in an earlier work by PI Benson, and is referred to as the 'spacey' walk._x000D_
_x000D_
The second aim is to use ideas from dynamical systems to compute arbitrary eigenvalues and vectors (the discussion in Aim 1 appears to only consider the top eigenvalue of non-negative tensors).  The rough idea is to write down a dynamic system whose fixed points are the Z-eigenvectors with eigenvalue 1. To handle other eigenvalues, they consider a dynamic system where the pair (x, \lambda) evolves with time, an interesting idea. The questions posed then are if this system converges, and if all the eigenvector, value pairs can be produced in this manner. _x000D_
_x000D_
The third aim is to scale up the research proposed towards dealing with large tensors. Towards this end, many ideas are proposed, including taking advantage of structure, Monte Carlo methods, using sketching techniques and low rank decompositions, etc._x000D_
_x000D_
The overall goal is to come up with a suite of numerical tools for the eigenvector/value problem for three dimensional tensors and a comprehensive understanding of their convergence behavior. This could have interesting consequences in the analysis of high dimensional data with many-way correlations. _x000D_
_x000D_
The PIs are both well-qualified to carry out the work proposed. They have quite a few nice recent results on precisely this topic._x000D_
_x000D_
Negatives:_x000D_
_x000D_
One main question is the significance of computing tensor 'eigenvectors'. While decompositions have a direct connection to learning, etc., with eigenvalues/vectors it is less clear. The proposal itself doesn't make too much of a case for this; in the applications in Section 5, potential uses are mentioned, but a more definitive case for them would definitely help._x000D_
_x000D_
The questions proposed in Section 4.3 are somewhat tentative, and it would be nice to see a proof of concept (e.g., for the sketches and CP decomposition parts -- how could this structure be used to speed up the dynamic system computation?)_x000D_
_x000D_
In the context of the five review elements, please _x000D_
evaluate the strengths and weaknesses of the proposal with respect to broader impacts._x000D_
_x000D_
The PIs propose organizing a workshop that brings together applied researchers with those who have made theoretical contributions to tensor computations._x000D_
_x000D_
PI has been actively involved in undergraduate research, as well as mentoring of high school students. _x000D_
_x000D_
Both PIs encouraging of diversity and representation from all groups in research._x000D_
_x000D_
Please evaluate the strengths and _x000D_
weaknesses of the proposal with respect to any additional solicitation-specific review criteria, if _x000D_
applicable_x000D_
_x000D_
_x000D_
_x000D_
_x000D_
Summary Statement_x000D_
_x000D_
The goal of the proposal is to come up with a suite of numerical tools for the eigenvector/value problem for three dimensional tensors and a comprehensive understanding of their convergence behavior. This could have interesting consequences in the analysis of high dimensional data with many-way correlations. However, these consequences are not made explicit in the proposal, so the scope seems to be somewhat limited._x000D_
_x000D_
The PIs are both well-qualified to carry out the work proposed. They have quite a few nice recent results on precisely this topic._x000D_
_x000D_
</t>
  </si>
  <si>
    <t xml:space="preserve">In the context of the five review elements, please _x000D_
evaluate the strengths and weaknesses of the proposal with respect to intellectual merit._x000D_
_x000D_
This proposal concentrates on the problem of computing tensors, which are widely used in a diverse and long list of scientific disciplines. However, computing such tensors is intractable in general, and hence most of the literature has focused on special cases. The PIs propose to study the use of regularization and dynamical systems in computing the eigenvectors of tensors, aiming for both theoretically and practically appealing algorithms. Although there exists prior work on computing these eigenvectors, the PIs argue that previous methods are either incomplete (there exist tensor eigenvectors that they cannot compute) or they are not scalable. _x000D_
_x000D_
Although the technical content is often a bit too dense and hence hard to follow, the proposal seems to be otherwise well organized and the PIs appear to be well-equipped in dealing with the proposed problems. The set of results that the PIs seek to provide a bridge or at least to narrow down the gap between the theoretical and the practical work on this topic, possibly providing more opportunities for interdisciplinary research._x000D_
_x000D_
_x000D_
In the context of the five review elements, please _x000D_
evaluate the strengths and weaknesses of the proposal with respect to broader impacts._x000D_
_x000D_
Other than some more standard broader impacts on education and mentoring, the main contribution of this proposal may be the fact that it focuses on a problem at the interface of theory and industry, and the impact of the results could be supported by the PIs connections to both theoreticians and practitioners of the field._x000D_
_x000D_
Please evaluate the strengths and _x000D_
weaknesses of the proposal with respect to any additional solicitation-specific review criteria, if _x000D_
applicable_x000D_
_x000D_
_x000D_
_x000D_
Summary Statement_x000D_
_x000D_
This proposal focuses on the problem of tensor computation that has attracted some attention from both theoreticians and practitioners. The solutions to the questions proposed in this proposal would aim to narrow down the gap between the corresponding approaches. _x000D_
_x000D_
_x000D_
</t>
  </si>
  <si>
    <t>WK0595541</t>
  </si>
  <si>
    <t>Park</t>
  </si>
  <si>
    <t>hpark@cc.gatech.edu</t>
  </si>
  <si>
    <t xml:space="preserve">In the context of the five review elements, please _x000D_
evaluate the strengths and weaknesses of the proposal with respect to intellectual merit._x000D_
_x000D_
The proposed work involves tensor computations especially for establishing foundation of tensor eigenvalue problems through study of relationship between tensor eigenvector computation problems and stochastic processes and dynamical systems. Use of regularization and use of dynamical systems will play the key role. Another major activity will involve study of issues related to large-scale implementations of the developed algorithms for handling the scale of modern data sets._x000D_
_x000D_
The preliminary results shown in the figures look promising. I suggest that they include the æextreme reliable' methods mentioned at the end of Section 3 in their performance comparisons for smaller sized problems : there are many important real-life applications that are not necessarily very large and these æreliable' methods can help understanding of the problems at hand._x000D_
_x000D_
Strengths: _x000D_
The two PIs are well qualified. They have  proven track records in the relevant areas for successfully carrying out the proposed work. The proposed problems are challenging and the proposed directions are unique. The activities for exploration are well organized step by step (e.g. page 7:  RA1-1 to RA1-4: Relating the regenerative spacey random walk process to the PageRank process on a graph, goal of polynomial time algorithm characterizing the related study, limiting behavior, acceleration techniques,  and  then the plans for RA2,  and RA3, etc. are all well organized), and promising û in some places, it is very sketchy and some more high level justification would have been helpful._x000D_
_x000D_
The work is motivated to close the gap between the applications, where tenor computations can play significant roles, and the algorithm development with solid theoretical foundations. _x000D_
_x000D_
The collaboration plan with the leaders in the tensor research area is very good. The letters of collaboration show their commitment._x000D_
_x000D_
Weaknesses: _x000D_
Although the above motivation of reducing the gap between foundational work and application is very important,  the connection between the proposed research directions and applications is weak: The foundational work is focused around eigenvalue related problems. However, the applications listed are much broader, mostly about problems where tensor computation is needed where the computational need is not necessarily about tensor eigenvalue problems. E.g. Section 5.1 lists the emerging sources for higher-order data but how are they related to the tensor eigenvalue problems? The key problems there are either low rank approximations or connection to the eigenvalue problem is not clearly established. In addition, there is no explanation on how the foundational solutions proposed can solve the problems listed in the applications. Suppose a robust method that can compute all types of eigenvalues, e.g. unstable ones, a specific one which is not necessarily the leading one, etc. are developed as a result of this research. Then how can this result be used in any of the applications listed?  Some equations or even just some high level clear conceptual explanations would have been helpful._x000D_
_x000D_
Although the proposed research topics are challenging and important, the scope of the proposed research is rather narrow, and more of that of the æSmall' category: There are two PIs only and the scope of the four Aims are more of a Small category proposal._x000D_
_x000D_
The PI David Gleich has a current funding 'III:Small: Multi-dimensional spectral clustering of multi-way data and networks with tensor eigenvectors'. I wonder how much overlap there is between the two proposals._x000D_
_x000D_
_x000D_
In the context of the five review elements, please _x000D_
evaluate the strengths and weaknesses of the proposal with respect to broader impacts._x000D_
_x000D_
Strengths:  _x000D_
I highly regard the plan for tensor computation community building via data exchange for sharing data developed in the course of tensor research. It will contribute to tensor research community significantly._x000D_
The PI Gleich has a proven record of successfully mentoring undergraduate and high school students. _x000D_
The budget shows that the collaboration between the two PIs and the activities are appropriately _x000D_
_x000D_
Weaknesses: I wish the connection between the foundational work and applications is a lot clearer. I think the potential applicability of the proposed research is strong but the proposal did not justify it well enough. Therefore potential impact of the proposed work beyond theoretical and algorithmic research is not clear._x000D_
_x000D_
_x000D_
Please evaluate the strengths and _x000D_
weaknesses of the proposal with respect to any additional solicitation-specific review criteria, if _x000D_
applicable_x000D_
_x000D_
Please see the comments regarding the proposal being in 'Medium' category._x000D_
_x000D_
Summary Statement_x000D_
_x000D_
The description of the proposed work starts with a motivation to close the gap between theoretical work and applications. But then the major part of the proposed research is about theoretical and foundational study for which the applications are not clearly justified. The proposed research by itself is certainly of significant value especially since the problem is very challenging. For example, so far there has been no good method that can solve the problems such as computing unstable eigenvalues.  The presentation of the proposed research could have been more appropriately done to reflect the content. The proposed research is more of a Small category than Medium in terms of scope and personnel involved. Some of the proposed activities for the community building is significant._x000D_
_x000D_
</t>
  </si>
  <si>
    <t xml:space="preserve">In the context of the five review elements, please _x000D_
evaluate the strengths and weaknesses of the proposal with respect to intellectual merit._x000D_
_x000D_
The proposal is strong in terms of theoretical aims, ideas for approaching the_x000D_
problems, and practical value.  (The figure on the first page is great as a_x000D_
brief sketch of the whole proposal.)_x000D_
_x000D_
The theoretical aims are to design better algorithms for computing tensor_x000D_
eigenvectors, to understand the reasons why those eigenvectors are sometimes_x000D_
difficult to compute, to develop dynamic systems that converge to the_x000D_
eigenvectors, and to scale those computations to big data.  Computing tensor_x000D_
eigenvectors seems to be fundamentally more difficult than computing matrix_x000D_
eigenvectors, at least for some eigenvectors; it seems there is a need to_x000D_
characterize what makes some eigenvectors intractable, and to understand those_x000D_
difficulties so that algorithms can be developed that deal with those harder_x000D_
cases._x000D_
_x000D_
The PIs have done good, creative preliminary work that makes a convincing case_x000D_
that they can solve these problems, including what they claim is "the first_x000D_
algorithm ... where the solution can be computed in polynomial time for_x000D_
problems arbitrary close to a tensor eigenvector problem."  They show that for_x000D_
some eigenvectors that might be fundamentally hard to compute, they can get_x000D_
close to the solution by solving a regularized problem (thereby_x000D_
sort-of-solving, in practice though not in theory, an open problem of Kolda and_x000D_
Mayo)._x000D_
_x000D_
The PIs' approaches are based on stochastic processes and dynamical systems,_x000D_
which adds new tools to the traditional algebraic toolbox for matrix_x000D_
computations.  The creativity of the approach is part of what makes this_x000D_
proposal stand out._x000D_
_x000D_
The practical applications of this work appear to be numerous:  human dynamics;_x000D_
traffic analysis; magnetic resonance imaging; genomics; moment-based tensors_x000D_
for statistical machine learning; multi-way drug interactions; compressing_x000D_
physical simulation data; hypergraphs; and more.  The PIs say they plan to_x000D_
release software and demonstrate it on real-world datasets._x000D_
_x000D_
I like the research questions RA1-1 through RA1-4, RA2-1 through RA2-5, and_x000D_
RA3-1 through RA3-4.  (Figure 1 and its caption are particularly helpful.)_x000D_
This part of the proposal is very interesting and well written, full of good_x000D_
ideas._x000D_
_x000D_
The section on cross-cutting research themes is also very well thought out, and_x000D_
makes a convincing case for why the proposed research might benefit many_x000D_
different applications, and moreover, why the proposed research might inform_x000D_
many other areas of theory.  I've rarely seen a proposal give so much excellent_x000D_
attention to the big picture.  Not only do we learn the technical details of_x000D_
the proposal, but we also learn how those details are situated among practical_x000D_
needs and how they are situated among the landscape of theoretical computer_x000D_
science, applied mathematics, and statistics.  I'm intrigued by the possible_x000D_
connections to algebraic geometry, computational complexity, and information_x000D_
theory._x000D_
_x000D_
I can't really identify any notable weaknesses in this proposal, which is_x000D_
unusual.  I would have liked an explanation for why spacey random walks work,_x000D_
though.  The proposal explains what they are, but not why that particular idea_x000D_
should work or how the PIs thought of it.  I would also like some speculation_x000D_
about what *other* computations besides eigenvectors/eigenvalues these_x000D_
techniques might enable; e.g. tensor decompositions?  With just a little more_x000D_
thought, perhaps the PIs could expand the ambition of this proposal_x000D_
dramatically._x000D_
_x000D_
_x000D_
In the context of the five review elements, please _x000D_
evaluate the strengths and weaknesses of the proposal with respect to broader impacts._x000D_
_x000D_
I think this proposal has the potential to "benefit society" simply from the_x000D_
impact of the ideas and algorithms themselves, which are likely to enable new_x000D_
capabilities in multiple application areas.  To justify this statement,_x000D_
consider the huge impact that our understanding of matrix decompositions has_x000D_
had over the last half century, enabling advances across computer science.  If_x000D_
tensor decompositions have only 5% of the impact that matrix decompositions_x000D_
have had, it will still be tremendous.  So I certainly encourage work in this_x000D_
general area.  The main question is, how big a piece of this area can the PIs_x000D_
carve out for themselves?_x000D_
_x000D_
The PIs plan to release software, which will have broader impacts if it gets_x000D_
used (and not if it doesn't).  There is potential for large impact, though with_x000D_
software it's always a bit of a lottery._x000D_
_x000D_
The broader impacts include one unusually novel idea that I like:  the_x000D_
suggestion to build a "higher-order data exchange" to share data from tensor_x000D_
applications.  Another good idea:  the PIs also plan to hold a workshop or two_x000D_
that mixes theoreticians and practitioners from many different areas touched by_x000D_
tensors._x000D_
_x000D_
The PIs include the usual stuff about educating grad and undergrad students,_x000D_
and incorporating research ideas into graduate courses.  More unusually, Gleich_x000D_
appears to have a genuine continuing effort in bringing high-school students_x000D_
into research, with a Science Talent Search success to point to.  Gleich also_x000D_
has several outreach activities for women in computing to his credit.  There_x000D_
are vague assurances that this outreach will continue (which I choose to_x000D_
believe based on past performance)._x000D_
_x000D_
_x000D_
Please evaluate the strengths and _x000D_
weaknesses of the proposal with respect to any additional solicitation-specific review criteria, if _x000D_
applicable_x000D_
_x000D_
_x000D_
_x000D_
Summary Statement_x000D_
_x000D_
I would place this proposal half way between "Very Good" and "Excellent"._x000D_
Tensor computations are full of wide-open problems that are very interesting_x000D_
and probably still full of low-hanging fruit.  The potential benefits and_x000D_
impact might be very large.  The PIs have good ideas, great preliminary_x000D_
results, and a good track record.  The proposed "Broader Impacts" are somewhat_x000D_
stronger than in most proposals.  If the scope of the proposal was just a_x000D_
little more ambitious (but still viable for the time period and funding_x000D_
level)--say, if it went beyond eigenvectors to tensor decompositions--it could_x000D_
move up to "Excellent"._x000D_
_x000D_
_x000D_
</t>
  </si>
  <si>
    <t>Tensor computations are algorithms that analyze and process coordinate representations of tensor products of vectors spaces. More commonly, they are viewed as algorithms for multidimensional arrays of data.  However, applying emerging theory on tensor computations is often stymied because of fundamental hardness results or dependencies on highly technical mathematical tools designed without applications or large-scale data in mind.  On the side of applications, there has been empirical success in data science, machine learning, and scientific data analysis, but the employed methods typically lack theoretical assurances and have limited generality.  This has led to a significant split between theory and practice in the study of tensor computations that is urgent to resolve given the increasingly important application domains using tensor computations, such as biomedical imaging and genomics._x000D_
    The PIs have recently designed a number of new methods in the space of tensor computations that stem from an intrinsically different perspective utilizing novel relationships with stochastic processes. These offer a different set of tradeoffs than traditional tensor computations. For example, one of the methods is the first polynomial time algorithm that can provably solve a near-tensor-eigenvector problem, while another can compute so-called unstable tensor eigenvalues that scalable state-of-the-art methods cannot._x000D_
Keywords: Tensor computations; tensor eigenvector; stochastic processes; dynamical systems; low-rank approximation; vertex reinforced random walkThe proposed research will establish the foundation of these new methods and explore the possibilities they offer through a series of three investigative aims. Aims 1 and 2 establish the foundation of the PIs' new insights into near-eigenvector and eigenvector computations for tensors based on stochastic processes and dynamical systems, respectively. The goal is robust and reliable algorithms with useful theoretical guarantees. Aim 3 investigates the opportunities in large-scale implementations of these algorithms in order to handle the scale of modern datasets analyzed in domain applications. Throughout these three investigations, the PIs will also explore two cross cutting themes involving (1) novel representations of tensor data across the sciences and (2) multidisciplinary perspectives on tensor computations. These cross-cutting themes serve to establish theory and algorithms that connect diverse fields and perspectives._x000D_
    The key fundamental issue addressed by our proposal is to clarify the limits of tensor computation beyond the worst-case analysis regime through the exploration of these new algorithms and methodologies. The overall goal is to have algorithms that admit more rigorous analysis while retaining relevance to applications.Tensor computations are broadly used across the sciences. Firmly establishing the fundamental theory of these new methods will enable a host of new applications that demand reliable and robust tensor computation with good theoretical guarantees. For instance, tensors are already used to study MRI imaging, where they are used to resolve crossing behavior in white matter fiber track analysis, and genomics, where they identify key factors in multivariate genomics data._x000D_
    There is a community building aim (Aim 4), which will develop a higher-order data exchange to make sharing data developed in the course of tensor research easy. Associated with this exchange, the PIs will host workshops to develop the community of principled methods for tensor computations._x000D_
    The PIs are firmly committed to minority participation and will leverage connections with the Center for the Science of Information's summer schools (which typically have 50% participation rates from underrepresented groups) to foster research opportunities. Educational contributions planned in the project include modules in courses taught at Purdue and Cornell on data science algorithms, as well as the workshop listed above. Additionally, the PIs have successfully mentored undergraduate and high-school students, resulting in an undergraduate research award winner for one student and a third place in the Regeneron science talent search (associated with a $150k college scholarship) for another student. They plan to offer further undergraduate research opportunities in the context of this research.</t>
  </si>
  <si>
    <t>1763886</t>
  </si>
  <si>
    <t xml:space="preserve"> Panel Summary       
 Description:  The PIs want to develop better algorithms for semi-structured_x000D_
all-hexahedral mesh generation.  Novel features include adapting the mesh_x000D_
structure to the topology of the solution field, and updating the mesh_x000D_
incrementally through time to adjust to a changing solution field._x000D_
_x000D_
 _x000D_
INTELLECTUAL MERIT_x000D_
_x000D_
Strengths_x000D_
_x000D_
+ The proposal's agenda is ambitious, attacking important, difficult problems._x000D_
+ The proposed work has the potential for a large impact on applications._x000D_
+ Extending the PIs' past meshing ideas to 3D seems like a good direction._x000D_
_x000D_
Weaknesses_x000D_
_x000D_
- Panelists who are not in the area of mesh generation had difficulty reading_x000D_
  and understanding the proposal.  For the "Medium" or "Large" competitions,_x000D_
  PIs should not assume that all the panelists are experts in mesh generation._x000D_
  For example, the PIs do not explain why it is hard to construct a hexahedral_x000D_
  mesh._x000D_
- Panelists who are not in the area of mesh generation did not understand the_x000D_
  motivations, the priorities, or the "big picture" of the proposed work._x000D_
- The proposal lacks rigorous definitions and clear mathematical statements,_x000D_
  and uses a lot of jargon that isn't widely known._x000D_
- It is not clear if any theoretical analysis will be done or any theorems_x000D_
  will be proved._x000D_
- The panelist who is an expert in mesh generation felt that the PIs should_x000D_
  have more deeply explored the implications of the Poincare-Hopf Theorem, the_x000D_
  Euler characteristic, the recent advances in quadrilateral mesh generation_x000D_
  based on these observations, and how these generalize to hex meshes._x000D_
  A better mathematical characterization of the fundamental topological_x000D_
  constraints on hex meshing ought to precede algorithm development._x000D_
_x000D_
BROADER IMPACTS_x000D_
_x000D_
Strengths_x000D_
_x000D_
+ Zhang's long-term involvement in SESEY shows a sustained dedication to_x000D_
  a program for high school girls and underrepresented minorities._x000D_
+ University of Houston is a Hispanic-serving university._x000D_
+ Successful completion of the proposed work could have a large impact in_x000D_
  practical scientific computing problems in many different domains._x000D_
_x000D_
Weaknesses_x000D_
_x000D_
- The proposal fails to set a specific goal to write and distribute useful_x000D_
  software for a specific task._x000D_
 _x000D_
_x000D_
Suggestions to PI(s):_x000D_
_x000D_
Making this proposal succeed would probably require (1) writing it so it is_x000D_
understandable to a broader cross-section of algorithmic researchers, including_x000D_
those who are not familiar with mesh generation, (2) better describing why hex_x000D_
meshing is difficult and (what is known about) why hex meshing faces_x000D_
fundamental topological constraints, (3) better justifying why mesh topology_x000D_
should follow solution tensor properties, and (4) better matching the proposed_x000D_
algorithmic development to the requirements described._x000D_
_x000D_
The proposal should hew closer to the concerns of the Algorithm Foundations_x000D_
program, with greater emphasis on theoretical analysis (e.g., characterizing_x000D_
hex mesh topology, finding problems for which theorems can be proven or_x000D_
algorithms offer mathematical guarantees)._x000D_
_x000D_
(Here are some details of what panelists suggest should be defined--especially_x000D_
on page 1.  A short definition of a "mesh" and exactly how it is used would_x000D_
help.  What is meant by "adjusting locally some nodes"?  For a mesh to be_x000D_
"unstructured"?  What is a "tet-mesh"?  What are "mesh deficits"?  What is a_x000D_
"hierarchical view"?  (Here, a high-level explanation of the types of issues_x000D_
that may arise would be helpful.)  What is a "discretization"?  What is implied_x000D_
by "the transfer of simulation information"?  Define "irregular elements",_x000D_
"change discontinuously", "low distortion", "singularities", "Isogeometric_x000D_
Analysis".  "Second-order tensor fields", "multi-resolution representation",_x000D_
"separatrices".  Panelists note that there is a disconnect between Algorithmic_x000D_
Foundations, which typically builds on rigorous definitions and statements, and_x000D_
this proposal, which uses much vague terminology.)_x000D_
_x000D_
_x000D_
Justification for Panel Rating:_x000D_
_x000D_
Several panelists say that parts of the proposal are difficult to understand,_x000D_
the proposal is not written in the language of Algorithmic Foundations, and it_x000D_
is not clear that the proposed work will include mathematical analysis or_x000D_
theorems and proofs.  The proposal shows insufficient thinking about the_x000D_
topological difficulties of hex meshing, how the constraints on quad meshing_x000D_
(e.g., singularities) extend to constraints on hex meshing, and how progress in_x000D_
quad meshing that respects those constraints might generalize to hex meshing._x000D_
_x000D_
 _x000D_
Panel Rating:_x000D_
_x000D_
_ Highly Competitive_x000D_
_x000D_
_ Competitive_x000D_
_x000D_
X Low Competitive_x000D_
_x000D_
_ Not Competitive_x000D_
_x000D_
The summary was read by/to the panel and the panel concurred that the summary_x000D_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</si>
  <si>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Structure of Time-dependent Hexahedral Meshes: Theory and Applications_x000D_
_x000D_
L: 1763886 Chen, Guoning U of Houston $  599,997_x000D_
N: 1763948 Zhang, Eugene Oregon State University $  600,000_x000D_
_x000D_
_x000D_
P180637 LC AF Medium Panel /  Dec 11-12 (9 panelists),_x000B_  on 12/12/2017, recommended as Low Competitive (G,G,G/F,F)_x000D_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</si>
  <si>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Proposal to improve hex meshing algorithms for 3D domains.  Lays out a great set of objectives including matching the boundary shape within a tolerance, matching a 3D stress-strain field within a tolerance, element quality and mesh design to achieve low-loss transfer between steps of a simulation.  These are long-standing difficult problems and this agenda is clearly ambitious.  Recent work by PI Zhang on tensor field design, his work on polycube meshing and several recent papers of PI Chen on re-meshing and mesh improvement suggest that they can make progress.  The proposal lays out a framework in which an initial hex-mesh is constructed just based on surface geometry, and then at every simulation step it is adapted to the simulated field.  _x000D_
_x000D_
Strengths_x000D_
_x000D_
- Prior work is excellent_x000D_
- Well-formulated goals_x000D_
- Two realistic applications will be used for testing_x000D_
_x000D_
Weaknesses_x000D_
_x000D_
- Framework sounds unlikely; too many hard problems have to be solved to get there_x000D_
- Not a lot of strength in proving any of the approximation bounds_x000D_
- Why a hex-dominant mesh would not be sufficient is not clear_x000D_
- Singularities of the simulation might be quite complex, not leading to a good decomposition into base hexes_x000D_
_x000D_
In the context of the five review elements, please _x000D_
evaluate the strengths and weaknesses of the proposal with respect to broader impacts._x000D_
_x000D_
University of Houston is a Hispanic-serving institution (how is the percentage of Hispanic CS majors?).  PI Zhang routinely hosts students in a K-12 outreach program. _x000D_
_x000D_
The goals are indeed important for all kinds of physical simulations. _x000D_
_x000D_
_x000D_
_x000D_
Please evaluate the strengths and _x000D_
weaknesses of the proposal with respect to any additional solicitation-specific review criteria, if _x000D_
applicable_x000D_
_x000D_
_x000D_
_x000D_
Summary Statement_x000D_
_x000D_
This is an ambitious proposal, but there is not enough detail on how these goals will be achieved.  Some summary of the PIs relevant prior work and a clearer indication of how it will lead to advances in hex meshing would really strengthen this proposal._x000D_
_x000D_
</t>
  </si>
  <si>
    <t xml:space="preserve">In the context of the five review elements, please _x000D_
evaluate the strengths and weaknesses of the proposal with respect to intellectual merit._x000D_
_x000D_
This proposal focuses on the design of algorithms for generating high quality hexahedral meshes. The PIs argue that prior work has not yet let to scalable algorithms for constructing high precision meshes, and that the increasing demand for large scale simulations calls for a new meshing framework. _x000D_
_x000D_
Unfortunately, I was not able to follow most of this proposal. Rather than providing a smooth introduction to the field and a high level intuition and motivation regarding the types of problems that this project aims to tackle, the proposal dives directly into the details, using a lot of jargon. This compromises the sections where the PIs try to motivate the proposal which are either overly specific, using undefined concepts and terminology, or too vague._x000D_
_x000D_
Also, large sections of the proposal appear to serve no real purpose in defining and motivating the proposed problems or explaining how they will be solved. For instance, most of the "Pelvic floor dysfunction simulation" is dedicated to describing a figure that does not really provide any insights._x000D_
_x000D_
_x000D_
In the context of the five review elements, please _x000D_
evaluate the strengths and weaknesses of the proposal with respect to broader impacts._x000D_
_x000D_
It sounds reasonable that higher quality mesh generation algorithms could indeed have a significant impact on running large scale simulations or other graphics applications. However, given the drawbacks of the proposal discussed above, it is hard to evaluate whether these impacts are likely or not._x000D_
_x000D_
Please evaluate the strengths and _x000D_
weaknesses of the proposal with respect to any additional solicitation-specific review criteria, if _x000D_
applicable_x000D_
_x000D_
_x000D_
_x000D_
Summary Statement_x000D_
_x000D_
Although the problem itself sounds reasonably well-motivated, the proposal is not well structured and it is hard for a non-expert to follow. It is therefore hard to estimate the intellectual merit and the broader impacts of the proposed project unless the PIs revisit the proposal to provide a higher level understanding and motivation for the obstacles in mesh generation and the insights that can lead to improved algorithms._x000D_
_x000D_
</t>
  </si>
  <si>
    <t xml:space="preserve">In the context of the five review elements, please _x000D_
evaluate the strengths and weaknesses of the proposal with respect to intellectual merit._x000D_
_x000D_
This could have been a great proposal if written in a language more appropriate for the Algorithmic Foundations directorate of NSF. The PIs propose to theoretically investigate hexahedral meshes, which are of importance in various engineering and scientific disciplines. Unfortunately, the overall explanation of the necessary background information, but also the exposition does not include rigorous definition, mathematical statements, and mathematically well-articulated properties the PIs are after._x000D_
_x000D_
In the context of the five review elements, please _x000D_
evaluate the strengths and weaknesses of the proposal with respect to broader impacts._x000D_
_x000D_
strengths:_x000D_
_x000D_
+ great problem with practical significance _x000D_
+ PIs are very well qualified in conducting this research_x000D_
+ good broader impact section_x000D_
_x000D_
weaknesses:_x000D_
_x000D_
- inappropriate exposition for CCF_x000D_
_x000D_
_x000D_
_x000D_
Please evaluate the strengths and _x000D_
weaknesses of the proposal with respect to any additional solicitation-specific review criteria, if _x000D_
applicable_x000D_
_x000D_
_x000D_
_x000D_
Summary Statement_x000D_
_x000D_
I encourage the PIs to carefully read through abstracts and if possible examples of proposals submitted to the Algorithmic Foundations NSF directorate and thoroughly rewrite their proposal before resubmission. Also, try to make it easily accessible to an audience with general computer science and mathematics background._x000D_
_x000D_
</t>
  </si>
  <si>
    <t xml:space="preserve">In the context of the five review elements, please _x000D_
evaluate the strengths and weaknesses of the proposal with respect to intellectual merit._x000D_
_x000D_
The proposal addresses the difficult problem of generating semi-structured_x000D_
all-hexahedral meshes for finite element methods.  The authors call it_x000D_
"structured" but I call it "semi-structured", as the first step creates a very_x000D_
coarse hex subdivision of a (possibly complicated) geometry, and a second step_x000D_
refines the coarse subdivision into smaller hex elements._x000D_
_x000D_
It's a very hard problem.  Nobody has an algorithm that reliably succeeds at_x000D_
this problem, at least not when the geometry gets complicated.  The proposed_x000D_
research might make it much more reliable (but probably not perfectly reliable;_x000D_
I don't expect anybody to solve that problem any time soon).  What makes it so_x000D_
difficult is that there are fundamental constraints on the topologies of_x000D_
all-hex meshes, and these constraints are often at odds with the geometry and_x000D_
the desire for elements with reasonable shapes.  The tricky topology of all-hex_x000D_
meshes is not a well-understood problem.  Unlike triangular, tetrahedral, or_x000D_
quadrilateral meshes, hex meshes cannot usually be adapted in a purely local_x000D_
manner; changes made at one point tend to propagate through the mesh until they_x000D_
reach the boundaries._x000D_
_x000D_
However, there are some similarities between hex and quad meshing.  A lot of_x000D_
progress has been made on quad meshing in recent years by carefully choosing_x000D_
where to place "singularities", i.e., vertices with degree other than 4, and_x000D_
using the Poincare-Hopf theorem to know where some singularities must be_x000D_
tolerated (because any frame field satisfying the boundary conditions might_x000D_
necessarily have at least a certain number of true singularities).  Hex meshes_x000D_
must obey a related but much more complicated set of constraints governing both_x000D_
"singular edges" and "singular vertices"; but as the PIs say, "the_x000D_
singularities of cross fields and its topology are not well understood."  The_x000D_
PIs seem to plan to tackle this task, but they don't say as much about it as I_x000D_
hoped they would.  There is much discussion of singularities and local ways to_x000D_
remove them, but not much about the basic known mathematics of what_x000D_
singularities must appear; the PIs don't even review what's known about this_x000D_
topic for quad meshes.  It would seem to be critical to understand this if one_x000D_
wants to make progress on hexes.  The single best thing the PIs could do to_x000D_
strengthen this proposal is to go much deeper into this topic._x000D_
_x000D_
Although it's a hard problem, success in this problem could have a big impact_x000D_
in practical simulation problems in scientific computing.  There are many_x000D_
companies and energy labs that have invested a lot of infrastructure (software_x000D_
and trained analysts) in all-hex meshing, so this is a problem well worth_x000D_
solving!_x000D_
_x000D_
Beyond facing traditional issues in hex meshing, the authors propose two_x000D_
additional ideas that I have not seen addressed much in the past.  One, they_x000D_
want to design the mesh (and its singularities) so it is "conformal" to the_x000D_
fields being simulated.  That is, after obtaining a first solution to the_x000D_
physical/finite element problem, they want to adaptively update the mesh so_x000D_
that it is better suited to approximating that solution in two ways:  the_x000D_
hex element shapes/sizes/anisotropy matches the needs of the solution, and the_x000D_
singularities of the mesh are in some sense "conformal" to the singularities of_x000D_
the solution.  There is plenty of evidence that better solutions can be_x000D_
obtained by adapting the element shapes/sizes/anisotropy to fit the solution,_x000D_
including some evidence from PI Chen (discussed on page 9).  But is there any_x000D_
evidence that one wins by adapting the singularities of the mesh to the_x000D_
singularities of the solution?  I am not aware of such evidence.  Given that_x000D_
the PIs are proposing to spend a significant amount of effort on this problem,_x000D_
I would like to see a little more assurance that the effort would have some_x000D_
reward!  What if the PIs successfully achieve this goal and yet discover that_x000D_
it does not improve the solutions at all?_x000D_
_x000D_
Another question I have is, why do the PIs wish to adapt/re-mesh a mesh from_x000D_
a previous time step, rather than simply creating a new mesh from scratch to_x000D_
best fit the new conditions?  My guess is that by adapting the old mesh, the_x000D_
PIs might reduce the amount of error introduced by re-interpolating field_x000D_
values (or as the PIs call it, "Lossless Simulation Transfer") from an old mesh_x000D_
to a new one.  But I'm just guessing...the PIs don't tell us why, and they_x000D_
should._x000D_
_x000D_
While Section 3.1 is interesting and contains the meat of the PIs' method,_x000D_
I don't fully understand it.  I think I understand "sheets", but I didn't_x000D_
understand what a "chord" is.  I have only the vaguest idea what the PIs mean_x000D_
by "complexity", or why you can sum complexities, or why knowing the complexity_x000D_
would help you determine an optimal partition B.  I don't see why spectral_x000D_
analysis of a singularity connectivity matrix would give you meaningful_x000D_
information._x000D_
_x000D_
In Section 3.3.2, do I understand correctly that the search in the transition_x000D_
graph will require you to generate a full hex mesh H at each vertex of the_x000D_
graph you visit, so that you can check the condition Q(h) &gt;= sigma (which_x000D_
requires you to know H)?  Generating a bunch of hex meshes like that sounds_x000D_
slow.  At the top of page 12, the proposal talks of "using less time and less_x000D_
memory footprint", and I don't know why that would be true, especially if_x000D_
you're generating a whole bunch of complete hex meshes._x000D_
_x000D_
I like the line "we will conduct a comprehensive and in-depth study on the_x000D_
relations between the local/global mesh quality metrics and the local/global_x000D_
quality of the simulation in order to identify the appropriate quality metric_x000D_
for hex-mesh elements."  I also very much like the validation parts of the_x000D_
proposal (Section 3.4)._x000D_
_x000D_
The PIs' English is not great, and sometimes I can't tell exactly what they're_x000D_
saying.  They should give serious consideration to hiring an editor (whose_x000D_
first language is English) for their grants._x000D_
_x000D_
So in summary, I very much like what the PIs are proposing to do, and I think_x000D_
it's an important problem with much potential for impact, but I don't think_x000D_
they've fully thought through either the mathematical limitation nor fully_x000D_
explained their approach._x000D_
_x000D_
_x000D_
In the context of the five review elements, please _x000D_
evaluate the strengths and weaknesses of the proposal with respect to broader impacts._x000D_
_x000D_
If this proposal is successful, I think the biggest Broader Impact is that it_x000D_
will allow a wide swath of users in industry, academia, and government labs to_x000D_
run all-hex simulations on geometries more complicated than they can currently_x000D_
use.  The impact has the potential to be quite large, because there are already_x000D_
many people committed to all-hex meshes, despite the difficulty of generating_x000D_
them._x000D_
_x000D_
More unusually, the PIs are ongoing participants in programs for K-12 students,_x000D_
most notably through OSU's Summer Experiences in Science and Engineering for_x000D_
Youth (SESEY), targeted at high school girls and underrepresented minorities,_x000D_
in which E. Zhang has a decade-long history of continual participation.  He_x000D_
plans to sponsor two SESEY students each summer for 4 years.  (Based on past_x000D_
performance, I believe it.)_x000D_
_x000D_
The PIs say they "will dedicate to broaden the participation" of_x000D_
underrepresented minorities, including Hispanics.  They have mentored several_x000D_
women in research.  Note that co-PI Yue Zhang is also a woman._x000D_
_x000D_
The PIs include the usual stuff about educating grad and undergrad students,_x000D_
and incorporating research ideas into graduate courses.  (And an undergrad_x000D_
course--but does this advanced hex meshing stuff really belong in an undergrad_x000D_
course entitled "Numerical Analysis"?)_x000D_
_x000D_
Page 11 mentions a "software implementation", and page 14 mentions_x000D_
"dissemination of software and libraries", but the PIs never really tell us_x000D_
what software they're going to write.  Software could have a major impact, but_x000D_
I can't evaluate that unless the PIs make a more specific commitment about_x000D_
exactly what software they're going to write._x000D_
_x000D_
_x000D_
Please evaluate the strengths and _x000D_
weaknesses of the proposal with respect to any additional solicitation-specific review criteria, if _x000D_
applicable_x000D_
_x000D_
_x000D_
_x000D_
Summary Statement_x000D_
_x000D_
I rate this proposal in the middle of the "Good" category.  I think the value_x000D_
of the proposed research could be very high, but there are quite a few_x000D_
deficiencies in the details (and writing quality) of the proposal, especially_x000D_
in terms of explaining their ideas, and I'm not convinced that the PIs are the_x000D_
most suitable/prepared people to solve such a difficult problem.  The "Broader_x000D_
Impacts" are average among proposals of this type, but they could be above_x000D_
average if the PIs made a clear statement about what software they will write._x000D_
_x000D_
_x000D_
</t>
  </si>
  <si>
    <t>1763887</t>
  </si>
  <si>
    <t>Woodruff</t>
  </si>
  <si>
    <t xml:space="preserve"> Panel Summary       
 SUMMARY OF PROPOSED RESEARCH ACTIVITY_x000D_
Description: This proposal aims to develop new sketching and data-reduction techniques for many basic questions in machine learning and optimization. The first section focuses on developing coresets for unsupervised learning, aiming at new results for k-medians, k-means, and related problems. The second section aims to develop a unified framework for many problems that have non-convex formulations as matrix factorization problems, including matrix completion, robust PCA and weighted low-rank approximation. The third section aims to develop sketching techniques for deep neural networks, and the final section aims to prove property testing results for low-rank approximation recognition problems._x000D_
_x000D_
INTELLECTUAL MERIT_x000D_
_x000D_
Strengths_x000D_
Many of the problems studied involve fundamental links between optimization and machine learning - with the potential of developing new optimization techniques for novel learning applications._x000D_
_x000D_
There are several threads for which interesting first steps are outlined, such as the setting in the second section of giving a framework with a non-convex optimization problem with an L2 regularization for which there is the promise of a strong duality result that might be used to "convexify" the problem, and has been used to derive tight bounds for the sample complexity for matrix completion._x000D_
_x000D_
The PIs have a strong track record of obtaining results in this area._x000D_
_x000D_
Weaknesses_x000D_
_x000D_
The section of results on unsupervised learning appears to be limited to  incremental advances. Some panelists are skeptical that the proposed approach to deep learning is likely to be productive (e.g., there is no discussion of how, or whether, neural nets could be trained, given the proposed ideas on page 10.)_x000D_
_x000D_
BROADER IMPACTS _x000D_
_x000D_
Strengths_x000D_
_x000D_
The range of applications for the techniques being considered have the potential to effect a broad cross section of scientific disciplines._x000D_
The PIs have had extensive experience in organizing cross-discplinary workshops._x000D_
_x000D_
One of the PIs (Balcan) has a track record of working to attract underrepresented groups to work in this area._x000D_
_x000D_
Weaknesses_x000D_
There is nothing at all particularly innovative in the broader impact discussion of this proposal._x000D_
_x000D_
ADDITIONAL REMARKS_x000D_
Research plan: The scope of the results outlined in this proposal is consistent with the stated timeline for obtaining them._x000D_
_x000D_
Collaboration plan: The collaboration cites the previous collaboration of the PIs and their current co-advising of a PhD students as a mechanism for aiding working together (and is now aided by the fact that they are both at CMU)._x000D_
_x000D_
Data Management Plan: A minimal data management plan is outlined._x000D_
_x000D_
Results of prior support: A very succinct summary of prior results for Balcan is given, both for intellectual merit and broader impact, whereas for Woodruff, he has not received any prior NSF support._x000D_
_x000D_
Justification for Panel Rating: This is a proposal in an area of increasing importance -  providing theoretical support for the underpinnings of advances in learning; some of the questions posed here in advancing the state of the art are fundamental; the PIs have been significant contributors in the past to this area, though there was some thought that perhaps a somewhat more ambitious agenda would benefit the proposal. _x000D_
_x000D_
Panel Rating: _x000D_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</si>
  <si>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aims to develop new sketching and data-reduction techniques for many basic questions in machine learning and optimization. The PIs propose four main goals._x000D_
_x000D_
First, they propose to develop coreset techniques for unsupervised learning. This is a well-studied topic, and the PIs propose to study some questions that have resisted attack. These include coresets for k-median, optimal ones for k-means, etc. The PIs have partial progress on these as well._x000D_
_x000D_
The second goal is to develop a unified framework for many "matrix factorization" questions that have non-convex formulations.  These include matrix completion, robust PCA, matrix sensing and weighted low-rank approximation. The framework they propose captures some of the problems above, by having a non-convex optimization with an L2 regularization. The aim is to show that under reasonable assumptions, strong duality holds for this optimization problem, which can be used to "convexify" the problem.  The PIs mention that this approach succeeds in obtaining tight sample complexity for matrix completion (albeit non-constructive)._x000D_
_x000D_
The third goal is to use sketching techniques for deep neural networks. The PIs propose to approximate the weight matrices in the different layers of a neural net via low-rank approximations, while maintaining classification accuracy. While this is easy in the "linear" case, the challenge is to handle non-linearity. For this, the PIs propose a couple of interesting approaches, and relations to other problems._x000D_
_x000D_
The final goal is to prove property testing type results for problems such as low-rank approximation. This is a natural question, and has been studied in earlier works, such as Krauthgamer and Sasson. The PIs propose to obtain optimal non-adaptive sampling for this problem. They also consider similar approaches to problems such as stable rank computation._x000D_
_x000D_
Positives:_x000D_
_x000D_
Most of the problems are fundamental, and progress on them would be interesting to the sketching and learning communities. The PIs are well-qualified for the proposed work._x000D_
_x000D_
Negatives:_x000D_
_x000D_
Many of the problems posed are somewhat small improvements over the state-of-the-art. While this is OK if the techniques are very different, such a case isn't always made in the proposal._x000D_
_x000D_
Certain problems (such as multi-task learning, and network architecture, questions 7,9) are mentioned too briefly, and without much of an approach._x000D_
_x000D_
In the context of the five review elements, please _x000D_
evaluate the strengths and weaknesses of the proposal with respect to broader impacts._x000D_
_x000D_
PIs propose development of courses that different leves._x000D_
_x000D_
Both PIs are supportive of undergraduate level research._x000D_
_x000D_
PIs have been actively involved in the organization of workshops, seminars, etc. They have also been active at encouraging the participation of women in ML and theory research, by having students, and giving talks at some of the corresponding events._x000D_
_x000D_
Please evaluate the strengths and _x000D_
weaknesses of the proposal with respect to any additional solicitation-specific review criteria, if _x000D_
applicable_x000D_
_x000D_
_x000D_
_x000D_
Summary Statement_x000D_
_x000D_
The proposal aims to develop new sketching and data-reduction techniques for many basic questions in machine learning and optimization. Most of the problems are fundamental, and progress on them would be interesting to the sketching and learning communities. However, in many of the proposed improvements are relatively small. It would be nice to make the case that novel techniques need to be developed--i.e., there is some natural barrier that needs to be overcome. _x000D_
_x000D_
The PIs are well-qualified for the proposed work._x000D_
_x000D_
</t>
  </si>
  <si>
    <t xml:space="preserve">In the context of the five review elements, please _x000D_
evaluate the strengths and weaknesses of the proposal with respect to intellectual merit._x000D_
_x000D_
The proposal deals with developing coreset and sketching techniques for use in machine learning._x000D_
This is detailed in 12 specific questions grouped in relation to 4 specific goals:_x000D_
1) Coreset and sketching techniques with applications to unsupervised learning_x000D_
2) Non-convex techniques for learning representations via matrix factorization_x000D_
3) Coreset and sketching techniques for deep neural nets_x000D_
4) Mathematical foundations for representation property testing._x000D_
The last is motivated by a need to perform faster checks before doing expensive computation._x000D_
_x000D_
Ultimately, learning problems either directly or indirectly imply the uncovering of low-rank matrices. The sketching and coreset techniques involve deriving low-rank matrices that approximately maintain all the relevant information, thus leading to improvements in storage, computation, and in characterization._x000D_
_x000D_
The PIs have very strong profiles in the relevant areas, in applied and foundations of machine learning, as well as in sketching techniques. They have developed many of the best results that are relevant to these questions._x000D_
_x000D_
The description is eminently thorough and well reasoned. _x000D_
_x000D_
_x000D_
In the context of the five review elements, please _x000D_
evaluate the strengths and weaknesses of the proposal with respect to broader impacts._x000D_
_x000D_
The huge interest in deep learning is calling for better theoretical understanding. This work has the potential to lead to better theoretical underpinnings._x000D_
_x000D_
The proposal includes plans to disseminate the knowledge in curriculum, with undergraduate participation, and with interdisciplinary events. Actively recruiting women is an explicit goal._x000D_
_x000D_
_x000D_
Please evaluate the strengths and _x000D_
weaknesses of the proposal with respect to any additional solicitation-specific review criteria, if _x000D_
applicable_x000D_
_x000D_
_x000D_
_x000D_
Summary Statement_x000D_
_x000D_
The proposal deals with developing coreset and sketching techniques for use in machine learning. Extremely thorough and well reasoned plan, involving participants with very strong record on the relevant topics. Highly likely to succeed. Might contribute to better theoretical understanding of deep learning._x000D_
_x000D_
_x000D_
</t>
  </si>
  <si>
    <t xml:space="preserve">In the context of the five review elements, please _x000D_
evaluate the strengths and weaknesses of the proposal with respect to intellectual merit._x000D_
_x000D_
The PIs propose to develop coreset and sketching techniques for unsupervised_x000D_
learning problems.  They particularly focus on sparse PCA._x000D_
_x000D_
Section 2 proposes study of basic questions of coresets for the k-means and_x000D_
k-median problems.  It seems like a worthy pursuit._x000D_
_x000D_
Section 3 is the strongest part of the proposal.  The duality approach to_x000D_
solving these non-convex optimization problems is very interesting.  Question 5_x000D_
is interesting.  (I think there's some messed-up LaTeX at the top of page 7,_x000D_
which made that part hard to follow.  Also, in Question 6, what are U and V?)_x000D_
_x000D_
Section 4 strikes me as weak.  I am skeptical that the direction explored in_x000D_
Question 8 will be fruitful or will buy you anything in neural nets.  With_x000D_
regard to the "sum of l_2-norms" discussion on page 10, I would like to see_x000D_
some discussion about how you would train neural nets based on this idea, and_x000D_
how it might affect neural net performance._x000D_
_x000D_
The proposed results in Section 5 would probably be useful, though I don't_x000D_
find them exciting._x000D_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courses._x000D_
_x000D_
I think this proposal has a better-than-average potential to "benefit society"_x000D_
simply from the impact of the ideas and algorithms themselves.  If the PIs_x000D_
succeed in designing efficient algorithms for robust PCA and sketching_x000D_
algorithms, it may have a real-world impact in multiple application areas_x000D_
("recommender systems, sustainability, computer vision, robotics, healthcare,_x000D_
bio-surveillance, computational biology, computational advertising, search and_x000D_
information retrieval")._x000D_
_x000D_
The PIs mention that they have organized many interdisciplinary workshops and_x000D_
will continue to do so._x000D_
_x000D_
PI Balcan is a woman.  The proposal mentions "helping recruit women" with no_x000D_
details._x000D_
_x000D_
_x000D_
Please evaluate the strengths and _x000D_
weaknesses of the proposal with respect to any additional solicitation-specific review criteria, if _x000D_
applicable_x000D_
_x000D_
_x000D_
_x000D_
Summary Statement_x000D_
_x000D_
I rate this proposal somewhere between "Good" and "Very Good"--I'll mark it at_x000D_
the low end of "Very Good".  It's a well-written proposal by a capable team._x000D_
The proposed work in Section 3 is strong; the proposed work in Section 4 sounds_x000D_
weak (at least, I am skeptical of it); the proposed work in Section 5 sounds_x000D_
useful but doesn't excite me.  The "Broader Impacts" are a bit below average_x000D_
among proposals of this type, except insofar as the intellectual merit itself_x000D_
might have an unusually strong impact on real-world applications._x000D_
_x000D_
_x000D_
</t>
  </si>
  <si>
    <t xml:space="preserve">In the context of the five review elements, please _x000D_
evaluate the strengths and weaknesses of the proposal with respect to intellectual merit._x000D_
_x000D_
This proposal outlines a number of fundamental theoretical questions related to learning. The first area of the proposal deals with advances in the construction of coresets - building upon recent work that gives a coreset for the k-means problem, where the number of representative points depends only on k and the error tolerance, the PIs ask whether similar results can be obtained for the k-median objective, and more generally to give improved techniques for k-means in both traditional models as well in settings where the inputs are distributed and one is interested in the communication requirements between servers. These are basic questions, and the PIs show that initial progress has been made for some of them._x000D_
_x000D_
The second thrust of the proposal focuses on providing a unified framework for capturing problems such as matrix completion, robust PCA, matrix sensing, among others. The proposal sketches a connection via new factorization problem  obtained by minimizing a structured non-convex optimization problem, for which an interesting new strong duality condition plays a critical role. In general, little is know about strong duality results for non-convex optimization problems, so this a promising direction._x000D_
_x000D_
Third, the PIs address the question of finding a simpler representation of deep neural networks, so as to show conditions where there are strong convex relaxations (as a means for providing justification for their inexplicable effectiveness, as well as potentially providing new algorithms with provable and practically good performance). The proposal outlines a few specialized questions along these lines, and it appears that the PIs have a good start in attacking this important issue._x000D_
_x000D_
Finally, the PIs outline a few central questions in the complexity of property testing (which links back to issues for example for robust PCA). The proposal sketches a proof framework in which progress for these issues might be attained._x000D_
_x000D_
Overall, the PIs have written a compelling proposal and clearly articulated that the have positioned themselves to make progress on a number of interesting questions._x000D_
_x000D_
In the context of the five review elements, please _x000D_
evaluate the strengths and weaknesses of the proposal with respect to broader impacts._x000D_
_x000D_
The techniques being studied and advanced have had tremendous impact beyond computer science, and so these are questions that will naturally have impact beyond the usual academic framework. The PIs have also outlined a number of curricular advances within which this work will be integrated, and have had significant impact on promoting this area through many, many workshops. Finally, the PIs will continue to build on their track record of attracting underrepresented groups to the field._x000D_
_x000D_
Please evaluate the strengths and _x000D_
weaknesses of the proposal with respect to any additional solicitation-specific review criteria, if _x000D_
applicable_x000D_
_x000D_
_x000D_
_x000D_
Summary Statement_x000D_
_x000D_
This is a very, very good proposal, exceptionally well written, the carefully advances the case that the PIs are well-positioned to make progress on the theoretical foundations of important questions in learning. Furthermore, due to the nature of the questions this is work that will have a broader impact in and of itself, and the PIs have laid out a plan for a number of outreach activities as well._x000D_
_x000D_
</t>
  </si>
  <si>
    <t>Machine learning studies the design of automatic methods for extracting information from data and has become a highly successful discipline with a wide variety of important applications. Its past success was deeply influenced by fundamental statistical and computational principles for basic learning protocols involving single task learning. However, the emergence of unprecedented amounts of easily available data and computation have prompted the need of new algorithms and approaches for handling these new challenges. We aim to develop new algorithmic techniques for learning representations and sketching for modern and classic machine learning problems of significant practical importance. We plan to develop new techniques for finding structure in data in the form of data dimensionality reduction techniques, coresets and sketching.  We will use the developed algorithms and insights to provide new frameworks and algorithms for distributed learning and deep neural network. Specifically:_x000D_
Develop new coreset techniques for extracting representations. Coresets are a powerful notion developed in theoretical computer science with potential for wide-ranging applications in machine learning.  A coreset is a succinct summary of a very large dataset, with respect to a given objective function and have been used in several applications of machine learning including distributed learning. In this work, we will provide sharp characterizations on the size of coresets for clustering problems. We will also extend these techniques to provide powerful algorithms with good communication and computation guarantees for distributed settings. _x000D_
Develop non-convex techniques for learning representations. We will aim to develop a unified framework for extracting representation by solving non-convex matrix factorization problems with applications to important learning problems including matrix completion, robust PCA, matrix sensing, multi-task learning, dictionary learning, and weighted low rank approximation. _x000D_
Develop sketching techniques for representations in deep learning. We will substantially advance the theory of deep networks, one of the most successful contemporary machine learning paradigms, by applying our techniques for learning compact representations of deep networks. We specifically look at provably approximating the original possibly high dimensional network by a representation with fewer parameters, leading to more efficient computations, power savings, and avoiding overfitting. _x000D_
Develop mathematical foundations for representation property testing. This work will also develop the theory and algorithms for property testing question that are relevant for learning representations in  sublinear time. One can obtain a significant computational savings by first {\it testing} if an object has a desired property in a preprocessing stage, or is {\it far} from having that property. For example, in robust PCA we can first test if the input matrix is close to a low rank matrix. Besides obtaining sublinear time preprocessing algorithms, we also plan to develop algorithms for solving the optimization problems themselves in sublinear time, whenever possible. _x000D_
Keywords: Coresets; Clustering; Dimensionality Reduction; Non-Convex Optimization; Deep Learning; Distributed LearningThe proposed research will significantly expand the existing theory of sketching and learning representations, with important applications for obtaining algorithms with provable guarantees for important machine learning problems including deep networks and distributed learning. We also expect our algorithmic techniques to be of broad interest to the optimization and theoretical computer science community, including areas such as communication complexity, geometry, non-convex optimization, and property testing.Our work has potential for substantial societal, practical, and educational impact. Frameworks and algorithms developed have potential to yield new principled and robust methods for solving key challenges in  the age of ``Big Data'' in a wide range of application areas including search and information retrieval, computer vision, robotics, healthcare, and bio-surveillance. Both PIs are dedicated towards actively hiring minorities and involving undergraduate students in research.</t>
  </si>
  <si>
    <t>1763937</t>
  </si>
  <si>
    <t>Demaine</t>
  </si>
  <si>
    <t xml:space="preserve"> Panel Summary       
 SUMMARY OF PROPOSED RESEARCH ACTIVITY_x000D_
_x000D_
This project proposes the design of an algorithmic framework for generating solutions to a long list of problems that all have the following structure: a set of mobile agents (robot swarms, ambulances, drones or other) needs to be move from their initial formation to reach one of possibly many desirable formations. The algorithmic problem is to select a transition from the original formation of the agents to a desired formation so that some objective function is optimized. Depending on the chosen objective and the desirable formations to be reached, this abstraction captures several well-motivated problems, including famously studied ones such as the k-server problem. For a simple illustrative example, one may consider the problem of positioning ambulances within the city aiming to minimize the time needed to drive one of these ambulances to the scene of an accident. _x000D_
_x000D_
Since many of the most interesting optimization problems that obey this structure are computationally intractable in general, the goal of this proposal is to design algorithms with good approximation guarantees, or good parameterized complexity (given some appropriate parameter choice). They also consider online and game-theoretic versions of these problems. The majority of the proposal focuses on centralized motion planning algorithms which dictate how the agents should move. However, the proposal also briefly discusses distributed implementations, where the agents need to communicate with each other and coordinate regarding how to move._x000D_
_x000D_
_x000D_
INTELLECTUAL MERIT_x000D_
_x000D_
The wide variety of problems captured by this proposal include many important problems and the PIs are both experts in the relevant areas; they are therefore very well positioned to solve these problems. Also, the PIs have successfully collaborated repeatedly in the past, which provides confidence that this project would be successful, leading to a long list of significant publications. One concern that was raised by some of the panelists was that they could not identify a specific problem they would be particularly excited about, but others thought that the moving repairman problem was an important example. The panelists agreed that all the specific directions discussed by the PIs are definitely worth understanding better. Also some panelists thought that the proposal should focus more on the distributed model, and that it was unclear why a unique algorithmic framework would be able to achieve non-trivial approximations on multiple problems. However, some panelists thought that this was a very worthwhile endeavor, and the fact that the PIs have successfully provided such a general solution framework in the past though, mitigated some of the other panelists' concerns._x000D_
_x000D_
Strengths_x000D_
+ Very strong team of PIs that have successfully collaborated repeatedly in the past_x000D_
+ The proposal spans several interesting and well-motivated problems_x000D_
+ The PIs have made partial progress toward many of the directions that they propose_x000D_
+ The technical parts of the proposal are well-structured and provide sufficient context for each problem_x000D_
Weaknesses_x000D_
- The proposal did not clearly state why a general framework would yield appealing approximation guarantees_x000D_
- There was no single problem that raised significant enthusiasm; the proposal aims to tackle several interesting problems, though, so this was not a major concern_x000D_
- Some panelists thought that the section on physical dynamics was weak_x000D_
_x000D_
_x000D_
BROADER IMPACTS_x000D_
_x000D_
The broader impacts of the proposal would include both theoretical advances as well as possible impact on industry. Also, the PI Demaine has a very strong record of disseminating his research results via both recorded lectures and plenary talks._x000D_
_x000D_
Strengths_x000D_
+ Both theoretical and practical advances are very likely to results from this research _x000D_
+ Strong record of research dissemination_x000D_
 _x000D_
_x000D_
ADDITIONAL REMARKS_x000D_
_x000D_
Collaboration plan: The PIs have successfully collaborated in the past using electronic meeting systems. They plan to follow that same approach by meeting regularly and focusing on 3-5 of the proposed research challenges each year._x000D_
Data Management Plan: The discussion regarding the data management plan is adequate._x000D_
Results of prior support:  Both of the PIs have been funded by NSF to work on closely related research projects in the past, leading to a long sequence of publications. Contributions of this prior work include a new algorithmic framework for the unique label cover problem._x000D_
 _x000D_
Suggestions to PI(s): Updating or removing the section on physical dynamics could strengthen the proposal. Also, it would help if the PIs were a bit more explicit about some details in the broader impacts section as this could significantly strengthen that section._x000D_
_x000D_
Justification for Panel Rating: This project proposes the study of a wide range of algorithmic problems that includes many very interesting challenges that are relevant both in terms of theory and practice. The PIs are experts in the relevant areas and possess exactly the right skills to tackle these problems and make progress in this important research front._x000D_
 _x000D_
Panel Rating:_x000D_
_ Highly Competitive_x000D_
X Competitive_x000D_
_ Low Competitive_x000D_
_ Not Competitive_x000D_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</si>
  <si>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Proposes solving a variety of collaborative motion planning problems within a unified framework. In these problems, a set of k agents need to move to some kind of configuration (forming a connected group for communication, blocking a group of 'obnoxious' agents in some way, etc) at minimal cost.  The PIs are well-qualified and have had considerable recent success with their bidimensional framework for graph algorithms.  The proposal suggests a broad, graph-based framework for approximating the cooperative motion planning problems, in which approximation and fixed-parameter tractable algorithms are provided for the mostly NP-complete problems. _x000D_
_x000D_
Strengths_x000D_
_x000D_
- The PIs past successes with geometric and graph algorithms._x000D_
- A number of preliminary results described in the proposal. _x000D_
_x000D_
Weaknesses_x000D_
_x000D_
- Not much connection to the motivating applications and no references to related work in robotics; just constructing the graph is often considered the hard part in most motion planning scenarios_x000D_
- The model presupposes global two-way communication with a central planner. This is not realistic in many of the scenarios raised as motivation (first-responders, fleets of drones) although it is in others (Uber/Lyft). While this is observed, it is not really dealt with._x000D_
_x000D_
In the context of the five review elements, please _x000D_
evaluate the strengths and weaknesses of the proposal with respect to broader impacts._x000D_
_x000D_
Educational prospects are good; the PIs have taught together, and they have both made course materials available._x000D_
_x000D_
PI Demaine has published many well-used lecture videos._x000D_
_x000D_
Please evaluate the strengths and _x000D_
weaknesses of the proposal with respect to any additional solicitation-specific review criteria, if _x000D_
applicable_x000D_
_x000D_
_x000D_
_x000D_
Summary Statement_x000D_
_x000D_
Proposes an interesting framework for cooperative path planning, but it needs to be better motivated; in particular distributed algorithms or better modeling of the agents as actors with their own goals seems more relevant._x000D_
_x000D_
</t>
  </si>
  <si>
    <t xml:space="preserve">In the context of the five review elements, please _x000D_
evaluate the strengths and weaknesses of the proposal with respect to intellectual merit._x000D_
_x000D_
This proposal suggests the study of a wide range of problems, all centered on the coordinated motion planning of a set of mobile agents. Most of the proposed problems define a set of acceptable configurations for the agents, who then need to move in some way so that an acceptable configuration is reached. Over all ways of achieving this transition, the algorithmic goal is to choose one that (approximately) optimizes some objective as a function of the movement that the transition requires. Depending on the types of configurations that are acceptable and the type of objective being optimized, this gives rise to a rich family of problems, many of which are very well motivated. In solving these problems, the PIs plan to use both approximation algorithm and parameterized algorithm techniques._x000D_
_x000D_
Most of the proposal assumes that the algorithm can be communicated to the agents by some centralized entity that coordinates the agents, and the agents then follow the algorithm's directions. However, the PIs also consider the well-motivated case where the algorithm itself is decentralized and needs to be communicated among the agents._x000D_
_x000D_
The introduction of the proposal is a bit repetitive and it could be a bit more structured, but the subsequent technical sections make up for it and the proposal is pleasant to read overall. The PIs have successfully worked together in the past and are very well-equipped to solve these problems._x000D_
_x000D_
On the negative side, the proposal claims that one of the project's goals is to develop a general framework for solving entire categories of problems rather than optimizing for specific problems. Although this sounds like an interesting goal which could uncover similarities across seemingly different problems, one possible drawback is that the optimal approximation achievable for an entire category of problems may be worse than that achievable for subsets of these problems alone. In other words, approaching a whole category of problems at once may weaken the optimal approximation guarantees and hence lead to less interesting "optimal" solutions._x000D_
_x000D_
_x000D_
In the context of the five review elements, please _x000D_
evaluate the strengths and weaknesses of the proposal with respect to broader impacts._x000D_
_x000D_
Despite the high level of abstraction in the way that the problems are presented in this proposal, there are multiple applications where useful insights from this research could have impact in industry. This is especially true if the PIs manage to identify parameters of the problem instances with respect to which the problem is fixed parameter tractable._x000D_
_x000D_
Please evaluate the strengths and _x000D_
weaknesses of the proposal with respect to any additional solicitation-specific review criteria, if _x000D_
applicable_x000D_
_x000D_
_x000D_
_x000D_
Summary Statement_x000D_
_x000D_
This proposal includes a wide variety of problem unified under the coordinated motion planning umbrella. Many of these problems are very well motivated and deserve more attention, and the authors are well equipped to make progress toward solving them._x000D_
_x000D_
_x000D_
</t>
  </si>
  <si>
    <t xml:space="preserve">In the context of the five review elements, please _x000D_
evaluate the strengths and weaknesses of the proposal with respect to intellectual merit._x000D_
_x000D_
My favorite strength of this proposal is its ambition:  the PIs propose to_x000D_
develop "very general frameworks that apply to an entire category of problems_x000D_
all at once".  The PIs have done this before--their bidimensionality theory,_x000D_
which "provides general techniques for designing efficient fixed-parameter_x000D_
algorithms and approximation algorithms for a broad range of NP-hard problems_x000D_
in a broad range of graphs, namely, planar graphs and graphs excluding a fixed_x000D_
minor."  They want to do something similar for coordinated motion planning_x000D_
problems._x000D_
_x000D_
The proposal makes a strong case for the breadth and usefulness of their_x000D_
general framework for coordinated motion planning problems.  It sounds like a_x000D_
decent abstraction of many real-world problems:  delivery drones, patrols,_x000D_
Uber/Lyft, robot soccer, etc.  The techniques are also interesting: the PIs_x000D_
plan to use both approximation algorithm techniques and fixed-parameter_x000D_
algorithm techniques, as well as a combination of the two.  (The PIs note that_x000D_
"there are problems that are both hard to approximate and fixed-parameter_x000D_
intractable, but have parameterized approximation algorithms".)  Moreover, they_x000D_
add the case where we have "distributional knowledge of the demands"--i.e.,_x000D_
online stochastic planning under uncertainty with some statistical knowledge of_x000D_
demands, so that an expected-case analysis is possible.  This last scenario_x000D_
seems like an important direction that probably still has some low-hanging_x000D_
fruit.  Research Challenges 11-14 deserve serious attention._x000D_
_x000D_
The PIs are interested in both algorithms for the general framework and_x000D_
algorithms for easier special-case problems such as planar networks, minor-free_x000D_
networks, unit-disk graphs, and sparse networks._x000D_
_x000D_
I like the description of the PIs' partial progress at the bottom of page 7._x000D_
It's very encouraging that the authors can show that in some special cases, the_x000D_
treewidth suffices to determine whether an efficient fixed-parameter algorithm_x000D_
exists.  I also like the partial progress described at the top of page 11, and_x000D_
the discussion of a linear program relaxation and the dual LP.  Likewise for_x000D_
the partial progress on page 12.  Overall, the PIs seem to have a lot of_x000D_
creative ideas about how to approach these problems._x000D_
_x000D_
The discussion of the traveling repairman problem is interesting, and I find_x000D_
the application to emergency planning compelling.  One minor thing I don't_x000D_
understand, though, is why the metric and the speeds are integers rather than_x000D_
real numbers.  Is it implied that the PIs plan to discretize time?  Continuous_x000D_
time would seem to be a better match to the proposed applications.  I would_x000D_
like to know which version of the problem is easier--the problem with discrete_x000D_
time or the problem with continuous time.  I would not be surprised if forcing_x000D_
the repair times t_j to be integers makes the problem harder._x000D_
_x000D_
Minor quibble:  on page 11, the PIs say they have an O(log n)-approximation_x000D_
algorithm without saying what n is.  On page 12, they have another one of the_x000D_
same.  (There's a similar glitch on page 2, "time polynomial in n in_x000D_
lg(1/epsilon) [sic]", where n is not defined.)_x000D_
_x000D_
The big weakness of this proposal is Section 3, on physical dynamics.  Perhaps_x000D_
I'm misunderstanding them, but I think the PIs are out of their depth here._x000D_
When you introduce agents with different speeds/accelerations or vehicles with_x000D_
limited turning radius, you are entering the realm of control theory and_x000D_
differential equations, which the PIs do not mention.  In this realm, I do not_x000D_
believe that (1 + epsilon)-approximations are possible, at least as I_x000D_
understand them.  Let's consider the homicidal chauffeur problem, one of the_x000D_
most basic problems that appears in almost every introductory control theory_x000D_
textbook.  A car with a limited turning radius and limited velocity is trying_x000D_
to run over a pedestrian with a smaller limited velocity but no limit on_x000D_
turning/acceleration.  There is a natural bifurcation in the mapping from_x000D_
initial conditions to the solution:  sometimes the optimal solution is for the_x000D_
car to drive directly toward the pedestrian; sometimes the pedestrian can elude_x000D_
the car's turning radius, so the car must turn away, get some distance from the_x000D_
pedestrian, then turn around and move toward the pedestrian from far enough_x000D_
away that the pedestrian cannot get out of the car's path.  If the former_x000D_
solution is possible, you can't get a (1 + epsilon)-approximation by choosing_x000D_
the latter solution; therefore, a (1 + epsilon)-approximation algorithm must_x000D_
compute the bifurcation in the initial conditions exactly; i.e. it must solve_x000D_
that part of the differential equation (on the bifurcation surface) exactly._x000D_
Hence, I doubt that the PIs can do what they're saying they will do._x000D_
_x000D_
Perhaps what the PIs mean is that they will discretize dynamic problems as_x000D_
problems on finite graphs, and then compute (1 + epsilon)-approximations to_x000D_
those finite graph problems?  This would be perhaps the most generous_x000D_
interpretation of what Section 3 is saying.  But such solutions would not_x000D_
constitute a (1 + epsilon)-approximation of the original dynamics problem._x000D_
It creates the impression that the PIs have no idea what they're talking about,_x000D_
or else they have simply failed to convey what they really intend to do._x000D_
I think the reviewers should proceed by crossing out Section 3 entirely and_x000D_
just evaluating the rest of the proposal._x000D_
_x000D_
Note on the PIs' "Research Challenge 7":  what are "path loss, shadowing, and_x000D_
multi-path fading"?_x000D_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Research ideas are_x000D_
also likely to be incorporated "into books we have written and are currently_x000D_
writing"; substantiating details would be good here._x000D_
_x000D_
There is some lip service given to outreach to high-school students, most_x000D_
notably "MIT and UMD offer summer programs to high-school students interested_x000D_
in computer science and programming, and the PIs plan to actively participate_x000D_
in these programs."  But what will be the nature of that participation?  It_x000D_
would be good to hear more details about how "we also organized a local seminar_x000D_
series for related research and presented research to high-school women."  The_x000D_
best sign in the proposal is that PI Hajiaghayi "co-developed the University of_x000D_
Maryland High School Programming competition since 2011, which promotes_x000D_
mathematics and computer science to high-school students"; does he plan to_x000D_
continue to do so?  One way to strengthen the Broader Impacts would be to have_x000D_
a specific, concrete outreach plan._x000D_
_x000D_
"We will publish all software, datasets, and testing methodology that we_x000D_
develop", but again it is vague what software the PIs hope to produce.  Again,_x000D_
the PIs have missed an opportunity to strengthen the Broader Impacts by having_x000D_
a specific, concrete software plan._x000D_
_x000D_
The promise to "address the programming side of effective use and motion_x000D_
planning of drones" and "model the geometry and dynamics of real-world agents_x000D_
in complex urban environments" is undercut by the deeply flawed section on_x000D_
dynamics (Section 3)._x000D_
_x000D_
_x000D_
Please evaluate the strengths and _x000D_
weaknesses of the proposal with respect to any additional solicitation-specific review criteria, if _x000D_
applicable_x000D_
_x000D_
_x000D_
_x000D_
Summary Statement_x000D_
_x000D_
I rate this proposal "Very Good".  (It could have scored higher, but the_x000D_
section on physical dynamics brings it down.)  It's a well-written proposal by_x000D_
a capable team with a strong track record and a lot of good ideas about how to_x000D_
make forward progress.  It's also an ambitious proposal that seeks to_x000D_
establish general techniques for a wide class of important problems, and the_x000D_
mix of approximation algorithms, fixed-parameter algorithms, and online_x000D_
stochastic planning under uncertainty is excellent.  The "Broader Impacts" are_x000D_
average among proposals of this type, but they could be above average if the_x000D_
PIs made a clear statement about what software they will write._x000D_
_x000D_
_x000D_
</t>
  </si>
  <si>
    <t xml:space="preserve">In the context of the five review elements, please _x000D_
evaluate the strengths and weaknesses of the proposal with respect to intellectual merit._x000D_
_x000D_
The work in this proposal is concerned with coordinated motion _x000D_
planning. This work finds applications in a host of problems such_x000D_
as delivery drones, the k-traveling repairmen problem and so on._x000D_
In a disaster response situation, one would be concerned with_x000D_
minimizing the maximum movement of the responders. These and related_x000D_
problems motivate the current work._x000D_
_x000D_
The ideas proposed by the PIs are natural and original. And if_x000D_
they succeed, there is definite benefit to both academe and society_x000D_
as a whole._x000D_
In their technical approach, they wish to combine approximation algorithms along with fixed parameter algorithms. This theory was discussed by the PIs and Daniel Marx in [101]. They have identified 15 research challenges and made partial progress on each one of these._x000D_
_x000D_
_x000D_
_x000D_
The PIs discuss nine major problems of agent movement in order to_x000D_
achieve specific goals. _x000D_
The PIs have a clear plan for achieving their goals._x000D_
_x000D_
The PIs are extremely well-qualified to undertake the work outlined in this proposal, especially since they have coauthored the two seminal papers [63]and [65] in the field. _x000D_
_x000D_
The home institutions of the PIs do have adequate resources to help the PIs carry out the proposed activities._x000D_
_x000D_
In the context of the five review elements, please _x000D_
evaluate the strengths and weaknesses of the proposal with respect to broader impacts._x000D_
_x000D_
_x000D_
The PIs intend to impact academe and society along four fronts._x000D_
Clearly, educational impact (including developing new courses) and _x000D_
high school outreach are typical, but the PIs can achieve those goals. _x000D_
I was struck by the "Practical Applications" portion of their broader_x000D_
impacts section. It is clear that they can incorporate their research ideas into an actual product that may serve society as a whole. _x000D_
_x000D_
_x000D_
Please evaluate the strengths and _x000D_
weaknesses of the proposal with respect to any additional solicitation-specific review criteria, if _x000D_
applicable_x000D_
_x000D_
_x000D_
_x000D_
Summary Statement_x000D_
_x000D_
_x000D_
The proposal carefully outlines a series of problems in coorindated motions planning, with approaches on how to go about solving them. The_x000D_
authors have made significant progress towards each of their goals_x000D_
and it is more than likely that they will achieve all the goals outlined in this proposal._x000D_
_x000D_
</t>
  </si>
  <si>
    <t>This project will develop algorithms for distributed motion planning of agents moving in a swarm to achieve desired formations and/or behaviors in complex environments such as dense urban settings. These algorithms would have direct applications to motion planning of unmanned aerial vehicles, such as delivery drones (Amazon Prime Air, Google Project Wing, Flytrex, etc.), US DHS's border patrol drones, police-organized surveilance and traffic violation drones, and the army's Aerial Resupply Vehicles (JTARV); as well as ride sharing and self-driving cars (Uber, Lyft, etc.). Specifically, our algorithms will specify how to program such swarms to achieve desired configurations and tasks while minimizing fuel consumption._x000D_
Keywords: motion planning, swarms, drones, algorithmsWe will build strong theoretical foundations with provable guarantees on speed and solution quality for the control of large teams of agents with varying levels of sensing, computing, mobility, and autonomy, in contrast to traditional approaches to motion planning which are either slow or have no guarantees on solution quality for large numbers of agents. In particular, our results will apply to intelligent motion planning of multiple types of mobile agents, both manned and unmanned, such as people, robots, cars, planes, drones, ships, etc., each with different speeds and amounts of fuel. Our approach can in particular model the ability for smaller drones to refuel from larger planes, or for disaster relief personnel (in earthquake, hurricane, volcano eruption, or wildfire scenarios) to resupply at stationary or mobile depots. Our algorithms will build on and develop new general frameworks for solving algorithmic problems in graphs/networks which represent the space of possible locations, enabling us to solve a wide array of distributed intelligence problems. In particular, we will model the geometry and dynamics of real-world agents in complex urban environments, e.g., Euclidean environments with obstacles, multiple terrain types, and multiple vehicle types, each with limited speed/acceleration and limited turning radius. We will also consider online scenarios where the demands are not known in advance, which includes the famous k-server problem; with distributional knowledge of these demands (a practical assumption for Uber/Lyft), we show that we can find much better approximation algorithms._x000D_
_x000D_
The project will apply the developed algorithms to practical applications of our algorithms and underlying principles to real-world settings. Our algorithmic foundations will provide a deep understanding of the problem's structure, enabling us to also develop powerful heuristics for very flexible/messy real-world scenarios. We will also develop distributed versions of our algorithms where agents can coordinate directly with other nearby agents, instead of requiring centralized control.Drones are everywhere, and countries are in a race to build and use drones strategically. This project will address the programming side of effective use and motion planning of drones, in addition to other application scenarios. We will leverage our past experience building a sensor network deployment method using the AVATAR autonomous helicopter, with provable algorithmic guarantees, to tackle new challenges for coordinating motion of multiple-robot and multiple-agent systems. Further, we will develop algorithms and experimental technologies for implementing adaptive and resilient behaviors into heterogeneous teams or swarms, responding to dynamic and varying conditions in the physical world._x000D_
_x000D_
General frameworks for movement problems may also change the way that parts of motion planning and graph algorithms are taught. To this end, we will incorporate our discoveries into existing courses about graph algorithms and computational geometry, and discuss further incorporation with robotics educators. The wealth of attractive open problems in these areas will provide both challenging research topics and intuitive accessible problems to inspire students to enter research in computer science and mathematics.</t>
  </si>
  <si>
    <t>1763970</t>
  </si>
  <si>
    <t>Papadimitriou</t>
  </si>
  <si>
    <t xml:space="preserve"> Panel Summary       
  SUMMARY OF PROPOSED RESEARCH ACTIVITY_x000D_
_x000D_
Description :_x000D_
_x000D_
_x000D_
   This proposal is focused on three distinct domains, viz.,_x000D_
(i) Classical computational complexity - Here the PIs are interested_x000D_
 in improving our understanding of the complexity class TFNP. One of_x000D_
 the PIs in prior work discovered the class TFNP and many subclasses_x000D_
 therein. They are also interested in the approximability of the Traveling_x000D_
 Salesman problem._x000D_
_x000D_
(ii) Algorithmic Game theory - Here the PIs are interested in extending their work in the price of anarchy by accounting for fairness in the analysis._x000D_
_x000D_
(iii) Life sciences - They are interested in computational approaches to_x000D_
understanding the brain._x000D_
_x000D_
_x000D_
_x000D_
INTELLECTUAL MERIT_x000D_
_x000D_
Strengths_x000D_
_x000D_
+ The problems defined in (i) and (ii) are extremely  well-motivated._x000D_
  The class TFNP consists of problems whose solutions are easily verifiable,_x000D_
  with the additional requirement that each instance has at least one solution._x000D_
  This class contains within it, five distinct genres of problems captured_x000D_
  by the classes PPP, PPA, PPAD, PLS, and CLS. Each of these classes is characterized_x000D_
  by a certain type of combinatorial argument which is used to establish the function's_x000D_
  totality. As per the PIs, the lack of a unifying treatment is unsatisfactory and_x000D_
  this proposal will go a long way towards achieving this goal. As partial progress,_x000D_
  they point towards their recent work with Paul Goldberg, in which they define a_x000D_
  generalization of propositional logic (propositional logic augmented with Boolean_x000D_
  function symbols) and a simple proof system. They have also given a natural_x000D_
  complete problem for this class. The question that follows is: Do we need function_x000D_
  symbols at all to capture the class Provable TFNP or PTFNP, which is a subclass of_x000D_
  TFNP?_x000D_
+ The PIs intend to attack a whole host of "simple to state, hard to solve", classical_x000D_
problems such as Minkowski and Betrtand._x000D_
+ In the case of Traveling Salesman, the PIs comment upon the  gap between upper_x000D_
and lower bounds and the fact that the unique games conjecture has not been successfully_x000D_
applied here. TSP and ATSP are classical problems and any breakthrough in these_x000D_
problems would be significant. The PIs point out that first-order logic cannot_x000D_
express connectivity in graphs, which is a requirement in TSP. They then conjecture_x000D_
that UGC may not be sufficient to capture this requirement. If they succeed in establishing_x000D_
this, it would once again be a significant breakthrough._x000D_
+ The PIs have a super-strong record._x000D_
+ The PIs have collaborated together to achieve some landmark results._x000D_
+ If they succeed, their achievements will be significant breakthroughs._x000D_
_x000D_
_x000D_
Weaknesses_x000D_
_x000D_
- The section on Life Science research (Section 4) is not self-contained,_x000D_
especially for computer scientists who are unfamiliar with the terminology._x000D_
This is not a major weakness. Indeed, the proposal would have been stellar, even without this section._x000D_
_x000D_
_x000D_
_x000D_
BROADER IMPACTS_x000D_
_x000D_
_x000D_
Strengths_x000D_
_x000D_
+ The work will result in increased collaboration and visibility._x000D_
+ There will be direct impact on a number of disciplines._x000D_
+ The PIs are involved in a variety of outreach programs._x000D_
_x000D_
_x000D_
Weaknesses_x000D_
_x000D_
- None._x000D_
_x000D_
_x000D_
_x000D_
 _x000D_
_x000D_
 _x000D_
_x000D_
ADDITIONAL REMARKS_x000D_
_x000D_
Research plan: A little too ambitious in the breadth_x000D_
of the problems to be tackled. However, these PIs have_x000D_
a stellar record and it would not be very surprising_x000D_
if they resolved a large majority of the proposed problems._x000D_
_x000D_
Collaboration plan: Very nicely described. Touches on all the major points._x000D_
_x000D_
_x000D_
Data Management Plan: Adequate._x000D_
_x000D_
Results of prior support:  The PIs have published several papers in top_x000D_
venues and graduated doctoral students._x000D_
_x000D_
 _x000D_
_x000D_
Suggestions to PI(s): _x000D_
_x000D_
   None._x000D_
 _x000D_
_x000D_
Justification for Panel Rating: _x000D_
_x000D_
 The panel felt that the work outlined in the proposal is truly  transformative  and exceptional._x000D_
 _x000D_
_x000D_
Panel Rating: _x000D_
_x000D_
X_ Highly Competitive_x000D_
_x000D_
_ Competitive_x000D_
_x000D_
_ Low Competitive_x000D_
_x000D_
_ Not Competitive_x000D_
_x000D_
The summary was read by/to the panel and the panel concurred that the summary_x000D_
accurately reflects the panel discussion._x000D_
</t>
  </si>
  <si>
    <t xml:space="preserve">In the context of the five review elements, please _x000D_
evaluate the strengths and weaknesses of the proposal with respect to intellectual merit._x000D_
_x000D_
This proposal casts a very wide net. Besides touching upon an very broad range of problems, it includes research questions at multiple levels of granularity: a few very low-level questions about understanding the complexity of a well-specified problem; and some dizzyingly high-level questions that are not yet within the orbit of computer science (such as understanding the biological mechanism for mutations)._x000D_
_x000D_
At the low-level end, the PIs will continue some recent investigations into the complexity of search problems, e.g., by studying the newly defined class PTFNP; by exploring the complexity of such problems as MINKOWSKI and BERTRAND (related to the well-known Minkowski theorem and Bertrand's postulate); by seeking strong lower bounds for finding fixed points of contractions maps in L-infinity. _x000D_
_x000D_
There are some mid-level questions, where the PIs haven't pinned down a specific goal yet. One is understanding whether the current large gaps between approximability and inapproximability results for TSP are because of differences in the level of logic required to express the constraints. Another such is to flesh out a theory of "input-approximate algorithms" where one seeks an algorithm that solves not the given input instance but some other "easy" instance epsilon-close to it._x000D_
_x000D_
Then there are several high-level questions. Besides the aforementioned one about mutations, there are questions about the complexity of computing prices in production economies (the PI's preliminary work suggests some hardness); questions about the (non)existence of game dynamics that converge to mixed Nash equilibria, and a different generalization of Nash equilibrium that the PIs have begun to explore; and some very high-level questions about the (human?) brain, in particular seeking a graph theory based generative model for the connectome._x000D_
_x000D_
Strengths_x000D_
+ There are a good number of low-level questions that are of fundamental importance in the complexity of search and of games. These could, on their own, make a very good small proposal. _x000D_
+ The mid-level questions are good jumping off points for larger explorations._x000D_
+ The PIs certainly have the credibility to propose very bold questions as they indeed do here._x000D_
_x000D_
Weaknesses_x000D_
- Perhaps the high-level questions are much too bold, even for such illustrious PIs._x000D_
- It seems unlikely that progress can be made on all of these fronts so quickly, with just two PIs._x000D_
_x000D_
_x000D_
_x000D_
In the context of the five review elements, please _x000D_
evaluate the strengths and weaknesses of the proposal with respect to broader impacts._x000D_
_x000D_
There is a high degree of interdisciplinarity to most of the research questions in the proposal._x000D_
_x000D_
The project will train two Ph.D. students at Columbia and there are plans to recruit undergraduate students through an appropriate program at Columbia._x000D_
_x000D_
The proposal addresses curriculum development only briefly and cursorily._x000D_
_x000D_
The two PIs have been trendsetters in computer science at many points in their long careers. The more high-level parts of this proposal have the potential to similarly set new agenda for computer science._x000D_
_x000D_
_x000D_
Please evaluate the strengths and _x000D_
weaknesses of the proposal with respect to any additional solicitation-specific review criteria, if _x000D_
applicable_x000D_
_x000D_
_x000D_
_x000D_
Summary Statement_x000D_
_x000D_
This proposal from two highly experienced PIs who have recently become colleagues at the same university is a rare mix of low-level, mid-level, and very high-level research questions. That said, the high-level questions feel way too broad for a four-year project with two PIs._x000D_
_x000D_
_x000D_
</t>
  </si>
  <si>
    <t xml:space="preserve">In the context of the five review elements, please _x000D_
evaluate the strengths and weaknesses of the proposal with respect to intellectual merit._x000D_
_x000D_
While not the standard approach to writing a proposal (in terms of the electicism pervasive throughout), this is a stunning proposal. The PIs are two of the most innovative and influential researchers in the field (especially when collaborating together), and they return to many of the key topics to which they have contributed in their long and distinguished careers, with many new insights, new innovative definitions, and initial ideas for moving forward on fundamental questions. Among the plethora of questions newly posed here, I particularly liked the notion of input approximation as a way to resolve issues like the SUM of SQUARE ROOTS, and the new notion of hardness being developed with the hope of providing better non-approximability results for the TSP. It would have been nice if some sense of the ideas present in the proof for d=2 of the black box lower bound for the question emerging from fixed points of monotone functions. It appears that one could have fashioned an excellent proposal out of a fraction of the themes touched on here (and maybe it would have been even better) but this approach certainly makes a compelling argument as well._x000D_
_x000D_
In the context of the five review elements, please _x000D_
evaluate the strengths and weaknesses of the proposal with respect to broader impacts._x000D_
_x000D_
The PIs have a long track record of influencing other disciplines (the interplay with economics flourishing now is due in large measure to their efforts). The PIs have both written expository pieces that have enabled the field to become a part of the wider scientific community, and they make clear the intention to continue this tradition. In addition, there is a detailed set of outreach, and engagement with undergraduate research that serves to enrich an even broader community._x000D_
_x000D_
Please evaluate the strengths and _x000D_
weaknesses of the proposal with respect to any additional solicitation-specific review criteria, if _x000D_
applicable_x000D_
_x000D_
_x000D_
_x000D_
Summary Statement_x000D_
_x000D_
This is a great proposal that was fascinating to read from beginning to end, and will contributed enormously, both in terms of its intellectual and broader impact merits._x000D_
_x000D_
</t>
  </si>
  <si>
    <t xml:space="preserve">In the context of the five review elements, please _x000D_
evaluate the strengths and weaknesses of the proposal with respect to intellectual merit._x000D_
_x000D_
The work outlined in the proposal will definitely advance knowledge_x000D_
within the realms of algorithms and computational complexity._x000D_
The two PIs have made seminal contributions to these two fields over_x000D_
the years. Indeed, the class TFNP was invented/discovered by the_x000D_
first PI._x000D_
What the PIs intend to do in the current proposal is flesh out the_x000D_
complexity class TFNP, in addition to studying selected brain-_x000D_
related problems. TFNP includes several fundamental problems_x000D_
such as factorization, finding the Nash equilibrium in games and_x000D_
so on._x000D_
_x000D_
The PIs have identified several research problems in their _x000D_
narrative. The problems are clearly explained and the PIs are_x000D_
clearly well-qualified to undertake the work. The resources that_x000D_
will be available to the PIs are more than adequate._x000D_
_x000D_
_x000D_
In the context of the five review elements, please _x000D_
evaluate the strengths and weaknesses of the proposal with respect to broader impacts._x000D_
_x000D_
Inasmuch as the proposed work is involved withe life sciences,_x000D_
in particular, modeling brain activity, studying brain prediction_x000D_
and finally evolution, there will be immediate social impact._x000D_
The work on computational complexity, will directly impact fields_x000D_
such as Algorithmic game theory._x000D_
_x000D_
The proposed ideas are well-reasoned and carefully thought out. The_x000D_
PIs have a clear plan to impact society in general and academe in _x000D_
particular on a number of fronts, including curriculum development,_x000D_
mentoring doctoral students and involving undergraduate students _x000D_
in their research._x000D_
_x000D_
_x000D_
Please evaluate the strengths and _x000D_
weaknesses of the proposal with respect to any additional solicitation-specific review criteria, if _x000D_
applicable_x000D_
_x000D_
From what I can see, there are no weaknesses as such in this proposal._x000D_
The strengths are many as outlined in other sections._x000D_
_x000D_
Summary Statement_x000D_
_x000D_
The work is top notch and deserves to be funded. The questions_x000D_
posed by the PIs are foundational and fundamental. They have_x000D_
significant expertise in the field and have made seminal contributions_x000D_
to the same. The work on TFNP and the work on life sciences are_x000D_
likely to have broad and immediate impact._x000D_
_x000D_
</t>
  </si>
  <si>
    <t xml:space="preserve">In the context of the five review elements, please _x000D_
evaluate the strengths and weaknesses of the proposal with respect to intellectual merit._x000D_
_x000D_
The PIs have listed a wide variety of highly interesting questions about the class of total functions, TFPN. In particular, they rightly observe that its subclasses PPP, PPA and CLS have not yet been studied in depth. (However, I disagree with their statement that TFPN is one of the "least understood chapters of Complexity." In particular, its subclass PPAD has been relentlessly explored over the last two decades by numerous researchers, particularly the PIs.)_x000D_
_x000D_
Their questions on investigating the relationship between efficiency and equality (fairness) in economic and AGT solution concepts -- are these conflicting goals or do they support each other -- are very well motivated and highly relevant today. Their question about the existence of polynomially computable continuous dynamics that converges to the Nash equilibria in all games is excellent. Their exploration of ML techniques in the presence of strategically altered data is interesting and well motivated._x000D_
_x000D_
The PI has done some outstanding work leading new insights on the process of evolution via game-theoretic techniques. He has recently moved on to the challenging task of understanding the brain and the two PIs plan on making this one of their central research themes._x000D_
_x000D_
In the context of the five review elements, please _x000D_
evaluate the strengths and weaknesses of the proposal with respect to broader impacts._x000D_
_x000D_
Both PIs have done outstanding inter-disciplinary work over their careers, but particularly over the last decade. Their currently proposed work is very much along these lines. Their work will not only have impact in theory and CS, but also areas like game theory, economics, biology and neuroscience._x000D_
_x000D_
Both PIs have both produced top-notch PhD students and postdocs and there is every reason to believe they will be successful in this activity in the future as well. They have taught frontier courses and will do so in the future as well. They are also well known for giving insightful talks._x000D_
_x000D_
Please evaluate the strengths and _x000D_
weaknesses of the proposal with respect to any additional solicitation-specific review criteria, if _x000D_
applicable_x000D_
_x000D_
_x000D_
_x000D_
Summary Statement_x000D_
_x000D_
The PIs are two of the senior-most researchers of our field, with a record of four decades of top-notch research. They are proposing a very rich collection of issues, questions and problems lying at the frontier of research in our field._x000D_
_x000D_
</t>
  </si>
  <si>
    <t>The PIs have in the past done research on many aspects of the theory of algorithms and complexity, very often in extremely productive cooperation.  They are proposing to renew their research collaboration in several new research areas.  They propose to explore complexity classes that generalize and unify well studied classes of total functions, and in particular investigate complexity questions pertaining to the highest of these classes, PPP and PPA, as well as on the weakest class CLS and on algorithms and lower bounds for contraction maps; they will also investigate  the complexity of an equilibrium argument based on Tarski's fixpoint theorem. In algorithmic game theory,  they will explore a new trade off between efficiency of equilibria and fairness, the complexity of computing prices in economies with production, and a new proposed algorithmic solution concept in games called the Markov-Conley chain. They also propose to explore certain interesting problems at the interface between algorithmic game theory and machine learning, related to classifying strategic points, incentivizing the providers of data for statistical inference, and using optimally the information learned about users in online advertisement auctions.  They plan to collaborate on extending recent work on computational models for long term memories and their associations in the human medial temporal lobe, and the ways that these may shed light into the problem of implementing language in cortex.  Finally, they will work on better understanding how non-accidental mutations and gene interactions can illuminate key open questions in Evolution._x000D_
_x000D_
Keywords: Algorithms; complexity classes; total functions; price of anarchy; game dynamics; learning in cortex.Elucidating some of the questions asked here would be significant progress in some important aspects of the theory of computation. Total functions are some of the most intriguing, elegant, and least studied complexity objects, and there has been a recent surge of interest in them. We believe that unifying their study, or making progress in specific subclasses, may yield insights of broader applicability and open new avenues for research. Looking into the trade off between efficiency and inequality in games will be informative in this tricky part of the Economics literature, and may help us better understand the trade offs in our societies.  The proposed MCC solution concept might become a tipping point in the way computational thinking affects Game Theory and Economics.  The proposed work on the interface between Game Theory and Machine Learning may help bring a little closer two young and  powerful algorithmic research traditions trying to capture different aspects of today's world.  The proposed work on computational models for memories and language aims to provide algorithmic intellectual tools to the study of what is arguably the most difficult problem in today's science: understanding the Brain.The interdisciplinary nature of this research is likely to bring computational concepts and tools to researchers in other sciences.  The PIs give many interdisciplinary talks  and write many review and expository papers and plan to similarly disseminate widely the results of the proposed research. They anticipate bringing results from this research to their classes. PhD and other students will engage with this research. Some of this research pertains to better understanding the ways the algorithms and the Internet affect our lives and society.</t>
  </si>
  <si>
    <t>1764032</t>
  </si>
  <si>
    <t>Srebro</t>
  </si>
  <si>
    <t xml:space="preserve"> Panel Summary       
 SUMMARY OF PROPOSED RESEARCH ACTIVITY_x000D_
_x000D_
Description : This proposal aims to investigate how deep neural networks (DNNs) work theoretically. Deep learning (DL) is an area that has recently attracted tremendous practical interest (also, progress and findings of DL appear weekly in the popular press news). Despite this turmoil, it is surprising how little is mathematically understood about why DNNs work. This proposal aims to provide foundations for DL. This is a challenging task. To that end, the PIs structure their approach through various (potentially) more technically manageable problems. In particular, they propose to analyze the performance of local search algorithms (e.g.  SGD) for specializations of DNNs that still lead to non-convex problems related to matrix factorization. Furthermore, the proposal aims to understand (through various lenses) the issue of over-parameterization and "implicit regularization" in DL. Finally, the PIs propose to study the interface between geometry, optimization, and DL, and they also want to study the performance of recurrent neural networks. This proposal is on the interface between theory and practice, and thus the proposed research has both a theoretical and a practical component with applications to areas such as natural language processing, speech recognition, and video classification._x000D_
_x000D_
 _x000D_
_x000D_
INTELLECTUAL MERIT_x000D_
_x000D_
Strengths_x000D_
_x000D_
+ The proposed research is potentially very transformative._x000D_
_x000D_
+ The PIs aim to theoretically investigate a practically very substantial problem._x000D_
_x000D_
+ The PIs have a great track record in working in both the mathematics of machine learning and in conducting top-notch empirical work. The PIs' team is very well qualified for conducting this research._x000D_
_x000D_
_x000D_
Weaknesses_x000D_
_x000D_
- The PIs could have given further details of how they plan to study each direction. However, it is well understood that in this field of study more experimentation and validation is required for formulating precise mathematical statements. _x000D_
_x000D_
_x000D_
_x000D_
_x000D_
BROADER IMPACTS_x000D_
_x000D_
Strengths_x000D_
_x000D_
+ The proposed research indicates a genuine connection and potential impact to important application areas, such as natural language processing, speech processing, and video classification tasks._x000D_
_x000D_
+ The PIs are working in connecting Deep Learning and high energy experimental physics at CERN._x000D_
_x000D_
+ The proposal contains various educational and outreach activities, which are also inclusive for underrepresented minorities._x000D_
_x000D_
_x000D_
Weaknesses_x000D_
_x000D_
No identifiable weaknesses._x000D_
_x000D_
_x000D_
_x000D_
ADDITIONAL REMARKS_x000D_
_x000D_
Data Management Plan: Very well articulated data management plan, software tools to be made freely available, detailed explanation of the datasets for NLP, speech processing, and video recognition tasks._x000D_
_x000D_
Postdoc Mentoring plan: Adequate. There will be one postdoc for two years, who will be the "gluing entity" between the PIs._x000D_
_x000D_
Results of prior support: The prior support section is detailed and clear._x000D_
 _x000D_
Suggestions to PI(s): The proposal should have included more details of how to carry out the research plan._x000D_
_x000D_
Justification for Panel Rating: The panel feels that this is a very promising direction and the team of these PIs has a great track record to conduct this research. 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</si>
  <si>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is a proposal to explore the still somewhat mysterious phenomenon of why deep neural networks, and particularly recurrent neural networks (which have state) seem to work so well.  The PIs have been working on this topic and this project would continue a productive existing  NSF IIS grant of Srebro and Salkhutdinov, including publications both in CS theory and in machine learning venues. The project includes theoretical work on optimizing networks.  They consider simplified models, including strictly linear networks which can be described using linear algebra and 'nice' natural classes of inputs, for which they can show that all minima are global minima, and/or that all saddles have sharp descent directions so that gradient descent finds a global minimum (Sec 1.1).  They would like to find similar results for residual networks, in which the functions at network nodes are described as the identity plus a small residual (Sec 1.2) and for two-layer non-linear networks (Sec 1.4).  They also will study an interesting phenomenon, the fact that increasing the parameters of the network (e.g. number of internal nodes) seems to improve optimization and generalizability (Sec 1.3).  The second section concerns generalizability.  Not only the architecture but also the optimization technique used to train the network appears to affect how well the results generalize to different data.  Again, increasing the number of hidden nodes seems to help, counterintuitively. They will explore this issue using a variety of experimental.  A major theoretical goal is finding a measure of the complexity of a model produced on the network, which can explain this phenomenon and hopefully analyzed theoretically. _x000D_
_x000D_
Strengths:_x000D_
_x000D_
- Good team; the new faculty member, Hardt, has a great record in theoretical CS_x000D_
- Very timely and important question_x000D_
- The counterintuitive phenomenon is very interesting_x000D_
- Nice mix of theoretical and experimental approaches_x000D_
- Collection of real datasets, mostly for recurrent networks, on which ideas can be tried out_x000D_
- Potential for publication in a variety of venues_x000D_
_x000D_
Weaknesses_x000D_
_x000D_
- Not clear that theory and practice will connect_x000D_
_x000D_
_x000D_
_x000D_
_x000D_
In the context of the five review elements, please _x000D_
evaluate the strengths and weaknesses of the proposal with respect to broader impacts._x000D_
_x000D_
PIs are all involved in educational and outreach activities.  They have organized the Fairness (FATML) workshop which has generated a lot of interest._x000D_
_x000D_
Please evaluate the strengths and _x000D_
weaknesses of the proposal with respect to any additional solicitation-specific review criteria, if _x000D_
applicable_x000D_
_x000D_
_x000D_
_x000D_
Summary Statement_x000D_
_x000D_
Important topic, a strong team addressing it, and a good combination of new theory, experimentation and validation in practice._x000D_
_x000D_
</t>
  </si>
  <si>
    <t xml:space="preserve">In the context of the five review elements, please _x000D_
evaluate the strengths and weaknesses of the proposal with respect to intellectual merit._x000D_
_x000D_
The work proposed aims to improve the theoretical understanding of deep learning, one of the key challenges in machine learning research.  To this end, they focus on three aspects:_x000D_
_x000D_
Optimization -- the broad question is to understand the success of SGD in finding the global minimum of the complex landscape of the deep learning optimization problem.  To this end, the PIs propose the following directions (a) take inspiration from matrix factorization, and first understand this simpler setting in which non-convexity arises, (b) understand the potential connection between "residual architectures" and the ease of the optimization (do such networks have no saddles apart from the global minimizer?), (c) understand the connection between over-parametrization and optimization in recurrent networks, (d) understand the broader question of the efficacy of local search, by considering simple two-layer feed-forward networks._x000D_
_x000D_
All of these questions are quite fundamental, and a "yes" answer to them would have significant implications on our understanding of deep learning. The PIs provide a rough intuition for why it might be reasonable to expect this. It's also possible that such results may hold under some additional assumptions._x000D_
_x000D_
Generalization -- the high level question is to explain the surprising generalization properties of networks trained with significantly more parameters than 'necessary'. The PIs have done some very interesting recent experiments on this topic, and propose to explore further. Their aim is to come up with a notion of "complexity" of a network that captures the generalization. Basic notions such as parameter counting/VC dimension are ruled out, and some related notions based on path-based as well as mixed norms of the weights are presented as candidates, along with experimental evidence. The PIs also propose training models so as to minimize such objectives. This would also validate the hypothesis that these complexity notions capture generalization._x000D_
_x000D_
Recurrent networks -- the PIs stress the importance of obtaining even a first-cut theory for recurrent nets. This is a well-known challenge, and the PIs propose extending approaches from earlier sections to RNNs._x000D_
_x000D_
Overall, the proposal targets some fundamental questions in deep learning and aims to obtain more theoretical insights.  _x000D_
_x000D_
Waknesses:_x000D_
The organization is slightly haphazard.  For instance, the discussion jumps a few times from feed-forward to recurrent networks without a clear motivation. Also, the questions on recurrent networks seem quite high-level, and the proposed directions need to be made more specific._x000D_
_x000D_
That said, the team is excellent, and all the PIs have been at the forefront of theory research on deep learning. They are well qualified, and also have good connections with practice -- an essential aspect of research on this topic._x000D_
_x000D_
In the context of the five review elements, please _x000D_
evaluate the strengths and weaknesses of the proposal with respect to broader impacts._x000D_
_x000D_
All the PIs have been organizing workshops, maintaining blogs and disseminating their research broadly in theory as well as applied venues. Given the popularity of deep learning, any insights generated will likely be disseminated well beyond regular academic circles. This already seems to be happening at some level, with the PIs giving public lectures, e.g., at the National Center for Women in Information Technology and at high schools._x000D_
_x000D_
Please evaluate the strengths and _x000D_
weaknesses of the proposal with respect to any additional solicitation-specific review criteria, if _x000D_
applicable_x000D_
_x000D_
_x000D_
_x000D_
Summary Statement_x000D_
_x000D_
Overall, the proposal targets some fundamental questions in deep learning and aims to obtain more theoretical insights. They explore various concrete questions in optimization and generalization in both feed-forward and recurrent networks. The PIs have a strong background in the area as well as a history of collaboration._x000D_
_x000D_
</t>
  </si>
  <si>
    <t xml:space="preserve">In the context of the five review elements, please _x000D_
evaluate the strengths and weaknesses of the proposal with respect to intellectual merit._x000D_
_x000D_
This proposal aims to advance the theoretical knowlegde in Deep Learning. This is a field of great practical importance that (almost entirely) lacks theoretical foundations. Despite the recent spate of theoretical results nothing too substantial has been understood so far. The PIs suggest to take baby steps by attacking questions in matrix factorization (instead of DNNs) and in recurrent neural networks. They have a very good plan, I do believe that research like this should be encouraged and funded, and the PIs (given their research record) are ideally suited for this task._x000D_
_x000D_
In the context of the five review elements, please _x000D_
evaluate the strengths and weaknesses of the proposal with respect to broader impacts._x000D_
_x000D_
strengths:_x000D_
_x000D_
+ transformative proposal_x000D_
_x000D_
+ the PIs have an _x001B_excellent research record in this field (also very good collaboration record). _x000D_
_x000D_
+ excellently articulated research plan. "Down-to-earth" plan for a difficult and important question in the interface of theory and practice. We do need to understand why deep learning works in practice and advance the knowledge in the field_x000D_
_x000D_
+ obvious broader impact _x000D_
_x000D_
weaknesses:_x000D_
_x000D_
none that I can see_x000D_
_x000D_
Please evaluate the strengths and _x000D_
weaknesses of the proposal with respect to any additional solicitation-specific review criteria, if _x000D_
applicable_x000D_
_x000D_
_x000D_
_x000D_
Summary Statement_x000D_
_x000D_
Excellent, transformative, and very well articulated proposal._x000D_
_x000D_
</t>
  </si>
  <si>
    <t xml:space="preserve">In the context of the five review elements, please _x000D_
evaluate the strengths and weaknesses of the proposal with respect to intellectual merit._x000D_
_x000D_
This a proposal that spans the frameworks of the algorithmic foundations community and the theoretical aspects of the machine learning community to outline an approach for gaining traction in understanding the remarkable practical success of deep learning. The first element is a framework, centered using certain matrix factorization problems as the test case in proving a basis for a non convex problem where (stochastic) local search can be shown that for certain class of subproblems, global optimality can be established. One possible candidate is for rank-constrained nuclear norm regularized problems ( building on recent success low rank psd recovery problems. As another example of this philosophy, the proposal outlines a special 2-layer feed forward network that they conjecture can be shown to have no bad local optima. _x000D_
_x000D_
The second theme was to try to capture the surprising generalization behavior of deep networks, and the aim is to better understand the role of the geometry in determining the generalization capacity. One central issue is to capture a complexity measure such as the path-norm that gives insights into this behavior. Finally, the proposal outlines questions aimed at shedding light on the performance of recurrent neural networks.  _x000D_
_x000D_
The PIs also outline four target application domains. Video classification, speech recognition, language modeling, reading comprehension with the aim of providing empirical validation as well._x000D_
_x000D_
In the context of the five review elements, please _x000D_
evaluate the strengths and weaknesses of the proposal with respect to broader impacts._x000D_
_x000D_
The broader impacts were well thought out in this proposal highlighti the central role that deep learning is playing currently in transfer,in a host of industries as well as a broad swath of scientific discovery. Furthermore there was substantial discussion of programs to do outreach to a broad cross section of students._x000D_
_x000D_
Please evaluate the strengths and _x000D_
weaknesses of the proposal with respect to any additional solicitation-specific review criteria, if _x000D_
applicable_x000D_
_x000D_
_x000D_
_x000D_
Summary Statement_x000D_
_x000D_
This is a very good proposal that spans theoretical issues within both the algorithmic foundations setting and machine learning communities._x000D_
_x000D_
</t>
  </si>
  <si>
    <t>We propose research toward a better understanding of optimization for deep learning that will lead to principled training methods that converge faster and avoid overfitting with less trial and error than is present in today's practice._x000D_
_x000D_
To guide us toward a better understanding of deep learning, we in part rely on analyzing matrix factorization models, which can be seen as simplified networks with linear transfer. These models already suggest non-convex training objectives that present challenges characteristic of deep neural networks. Extending our insights from these simplified models, we aim to develop a more principled approach to deep learning in general._x000D_
_x000D_
Our application emphasis is on recurrent neural networks, which are notoriously difficult to optimize and thus have much to gain from improved optimization approaches. We will evaluate our new optimization methods against four broad application areas, where deep and recurrent networks have demonstrated tremendous impact, including large-scale language modeling, text comprehension, speech recognition, and video classification tasks._x000D_
_x000D_
Keywords: Optimization for Deep Learning; Matrix Factorization; Spurious Local Minima; Implicit Regularization; Connections between Optimization and Learning; Recurrent Neural NetworksWe propose tackling fundamental challenges that will contribute to a more principled understanding of deep learning. Through transparent performance guarantees, such an understanding holds the promise of making deep learning more interpretable, predictable, and less error prone. Utilizing simplified models, one thrust involves understanding the global energy landscape - we have already obtained novel guarantees on lack of spurious local minima and even saddle points in certain situations. Another thrust involves understanding implicit regularization and its relationship to the choice of the optimization algorithm and the geometry for local search, which we argue plays a central role in deep learning. Based on these theoretical studies we will continue developing and applying practical training methods with improved learning performance.Large scale machine learning is fueling transformative societal impact, as well as enabling new types of scientific studies. Providing improved methods for training deep networks will have broad and significant impact in many disciplines. A better principled understanding is essential to making deep models more scrutable, reliable and transparent in several critical application domains. Providing a stronger mathematical foundation of deep learning can also bring together different research communities, namely the learning theory and mathematical optimization community together with the empirical learning community, and thus create broad synergies. The project will also provide training opportunities through access to PIs with diverse backgrounds and approaches.</t>
  </si>
  <si>
    <t>1764056</t>
  </si>
  <si>
    <t>Mahoney</t>
  </si>
  <si>
    <t xml:space="preserve"> Panel Summary       
 SUMMARY OF PROPOSED RESEARCH ACTIVITY_x000D_
_x000D_
Description : _x000D_
_x000D_
The proposal is to develop second order optimization methods (using curvature) in machine learning, including plans to study, implement, and apply to real data. While such methods have not yet been developed significantly in machine learning, they have largely taken over in scientific optimization. _x000D_
_x000D_
The goal of this proposal is to address many of the fundamental issues with second order methods, via the use of Randomized Numeric Linear Algebra (in which the PI is an expert), sampling and sketching techniques together with recently developed variance-reduction methods for second order optimization. The PI also proposes large scale implementations of these ideas and pushing them to software libraries._x000D_
_x000D_
INTELLECTUAL MERIT_x000D_
_x000D_
Strengths_x000D_
_x000D_
+ Lucid and well-reasoned description of explicit research directions._x000D_
+ The applicants have a strong track record on the subject, having developed some of the more promising optimization methods. The proposal is therefore highly likely to produce valuable results._x000D_
+ Potential for great impact on machine learning if successful_x000D_
+ Questions that are clearly worth exploring, and the applicants seem most qualified to do so._x000D_
_x000D_
Weaknesses_x000D_
_x000D_
- The theoretic research directions of the proposal are generic in nature, consisting of a description of various types of methods that are to be developed. There are no specific algorithmic structural insights or innovations to be pursued, nor specific theorems to be proved._x000D_
- The products of the work are therefore too indirect with respect to Algorithmic Foundations, but have everything to do with applied development of effective methods._x000D_
_x000D_
BROADER IMPACTS_x000D_
_x000D_
The broader impacts will mostly be felt indirectly through the increasing role of machine learning in everyday life._x000D_
_x000D_
Strengths_x000D_
_x000D_
+ The code and the data will be made publicly available, and could be of wide use (by researchers in quite diverse areas of science). _x000D_
+ Dissemination via the popular MMDS workshop run by the first PI._x000D_
_x000D_
ADDITIONAL REMARKS_x000D_
_x000D_
Research plan: The work plan and timeline is adequate. The duration and timeline is appropriate to the project scope. _x000D_
_x000D_
Collaboration plan: The PIs have a record of extensive collaboration. Future collaboration will be aided by the part-time appointment of the consultant at ICSI that includes travel funding. _x000D_
_x000D_
Data Management Plan: Intermediate outputs of algorithms will be archived and made available upon request, which is valuable for reproducibility. Software produced will be made publicly available. _x000D_
_x000D_
Results of prior support:  Three previous NSF awards are described in very broad terms, but no concrete output or impact stated. Only three publications listed._x000D_
_x000D_
Suggestions to PI(s): In the context of submitting to Algorithm Foundations, it would be essential to detail more the theoretical insights that are aimed to be uncovered, and perhaps asking to what extent that is likely to be possible. _x000D_
_x000D_
Justification for Panel Rating:_x000D_
_x000D_
Highly important questions to be addressed by just the right team, likely to produce valuable results with great potential. The proposal, however, involves little Algorithmic Foundations theory._x000D_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</si>
  <si>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TNSMITH</t>
  </si>
  <si>
    <t xml:space="preserve">In the context of the five review elements, please _x000D_
evaluate the strengths and weaknesses of the proposal with respect to intellectual merit._x000D_
_x000D_
The proposal studies second order methods in optimization, specifically in the context of deep learning. There is a lot of debate in the learning and optimization literature about first vs second order methods, as the PI points out. SGD and first order methods dominate DL practice, while second order methods have shown some recent promise (in works of the PI, in works of Bengio, and others)._x000D_
_x000D_
The goal of this proposal is to address many of the fundamental issues with second order methods, via the use of randomized NLA (in which the PI is an expert), sampling and sketching techniques together with recently developed variance-reduction methods for second order optimization. The PI also proposes large scale implementations of these ideas and pushing them to software._x000D_
_x000D_
Strengths:_x000D_
_x000D_
- The study of second order methods has led to some important insights in optimization in the context of ML. Thus making them faster and improving the 'reach' of these methods is an important direction._x000D_
_x000D_
- The proposed work blends theory with implementation in a nice way, and may lead to new challenges in both the areas._x000D_
_x000D_
Weaknesses:_x000D_
- Many of the directions proposed are considered quite standard in this area, and thus more details are necessary to make the argument that the PI will bring novel techniques to these problems._x000D_
_x000D_
- For many of the directions, it is not clear if new theory results will come out of the proposed work. It is quite hard to even reason about the generalization/convergence even for the basic first order methods, so it seems unlikely that second order methods would make it easier._x000D_
_x000D_
In the context of the five review elements, please _x000D_
evaluate the strengths and weaknesses of the proposal with respect to broader impacts._x000D_
_x000D_
The proposed work brings together a diverse group of researchers. The work would also result in implementations that could be of wide use (by researchers in quite diverse areas of science)._x000D_
_x000D_
The PI has a strong record of disseminating his work at the top venues in ML, data mining and theory. He also runs a workshop on Algorithms for Massive Data Sets, which is quite popular._x000D_
_x000D_
Please evaluate the strengths and _x000D_
weaknesses of the proposal with respect to any additional solicitation-specific review criteria, if _x000D_
applicable_x000D_
_x000D_
_x000D_
_x000D_
Summary Statement_x000D_
_x000D_
The proposal studies second order methods in optimization, specifically in the context of deep learning. The aim is to address many of the fundamental issues with second order methods, via the use of randomized NLA (in which the PI is an expert), sampling and sketching techniques together with recently developed variance-reduction methods for second order optimization. The PI also proposes large scale implementations of these ideas and pushing them to software._x000D_
_x000D_
</t>
  </si>
  <si>
    <t xml:space="preserve">In the context of the five review elements, please _x000D_
evaluate the strengths and weaknesses of the proposal with respect to intellectual merit._x000D_
_x000D_
The proposal is to develop second order (using curvature) optimization methods in machine learning, including study, implement, and apply to real data. While such methods have not yet been developed or significantly considered in ML, they have taken over scientific optimization. With greater focus on compute intensive optimization methods, driven by deep learning, the time may be ripe for introducing second order methods in learning. _x000D_
_x000D_
The proposal contains extensive and well-reasoned description of explicit research directions, both theoretical, empirical, and implementational. The theoretic ones are however primarily descriptions of methods to be developed, but not explicit objectives, plan of action, or hoped-for theorems._x000D_
_x000D_
The outcome of the project might have major impact on the practice of machine learning. The applicants have an extensive experience and publication list on the subject. The project is highly likely to produce good results, though it is unclear how it might advance theoretical aims. _x000D_
_x000D_
_x000D_
_x000D_
In the context of the five review elements, please _x000D_
evaluate the strengths and weaknesses of the proposal with respect to broader impacts._x000D_
_x000D_
The impact of intensive ML optimization is felt in all parts of society today. The propsal includes also plans for education at different levels and outreach. The code and the data will be made publicly available._x000D_
_x000D_
_x000D_
Please evaluate the strengths and _x000D_
weaknesses of the proposal with respect to any additional solicitation-specific review criteria, if _x000D_
applicable_x000D_
_x000D_
_x000D_
_x000D_
Summary Statement_x000D_
_x000D_
The proposal is to develop second order (using curvature) optimization methods in machine learning, including study, implement, and apply to real data. Could have major impact on machine learning. The applicants are highly qualified to lead the project. The theoretical aspects are however limited._x000D_
_x000D_
_x000D_
</t>
  </si>
  <si>
    <t xml:space="preserve">In the context of the five review elements, please _x000D_
evaluate the strengths and weaknesses of the proposal with respect to intellectual merit._x000D_
_x000D_
This proposal suggests to use second derivate information in machine learning and data analysis. This is an important research direction but I did not get convinced that it is well motivated._x000D_
_x000D_
In the context of the five review elements, please _x000D_
evaluate the strengths and weaknesses of the proposal with respect to broader impacts._x000D_
_x000D_
+ possibly transformative idea_x000D_
_x000D_
+ the PI has an excellent research record -- especially in related areas_x000D_
_x000D_
+ very good broader impact plan_x000D_
_x000D_
- not well motivated question_x000D_
_x000D_
Please evaluate the strengths and _x000D_
weaknesses of the proposal with respect to any additional solicitation-specific review criteria, if _x000D_
applicable_x000D_
_x000D_
_x000D_
_x000D_
Summary Statement_x000D_
_x000D_
I would suggest that the PI (who has an excellent research record in related fields) motivates the questions better and resubmits._x000D_
_x000D_
</t>
  </si>
  <si>
    <t xml:space="preserve">In the context of the five review elements, please _x000D_
evaluate the strengths and weaknesses of the proposal with respect to intellectual merit._x000D_
_x000D_
This is an interesting proposal aiming to tackle some of the more fundamental algorithmic questions at the core of optimization-based methods in machine learning, with a focus on second-order methods and stochastic second-order methods. And while there is a section devoted to theoretical advances to be attained there is absolutely no attempt to formulate concrete theorems to be proved and specific algorithmic structural insights or innovations to be pursued. As such e propsal reads more as a well considered summary of mathematical approaches to a collection of important issues in numerical optimization linked to fundamental machine learning rather than any sort of action plan for new work. In addition, for a medium proposal, it is definitely an anomaly in that it is in essence a single PI proposal with a side collaboration with a Canadian researcher to be supported as a consultant. Finally, the finding is overwhelmingly aimed to support four Ph.D. students at a time, when that exceeds in total the number of PhD students who have completed their studies under the PIs supervision over his career. This does not seem to be the natural source and level of funding, since the case is not made that the kind of theoretical results aimed to find need by algorithmic foundations._x000D_
_x000D_
In the context of the five review elements, please _x000D_
evaluate the strengths and weaknesses of the proposal with respect to broader impacts._x000D_
_x000D_
There is very limited title discussion of anything about broader impacts in the section headed with that title - dissemination is not broader impact. There is some discussion of student mentoring and the most significant element in this dimension is the role of theMMDS meetings._x000D_
_x000D_
Please evaluate the strengths and _x000D_
weaknesses of the proposal with respect to any additional solicitation-specific review criteria, if _x000D_
applicable_x000D_
_x000D_
_x000D_
_x000D_
Summary Statement_x000D_
_x000D_
This is a proposal by a strong researcher who has made many contributions to the area being considered, and has outlined in broad strokes an important range of issues to be considered, but given very little detail about the innovations in algorithmic foundations and the path to prove their effectiveness mathematically._x000D_
_x000D_
</t>
  </si>
  <si>
    <t>In many areas of scientific computing, machine learning, and data analysis, a major challenge to converting the large quantities of noisy data into useful and actionable knowledge is to develop good optimization algorithms that come with strong theoretical guarantees and that also perform well in practice. While methods that use second derivative information, i.e., second order methods, are common in scientific computing, methods that use only first derivative information, i.e., first order methods, and in particular stochastic first order methods such as stochastic gradient descent, are more common in data analysis and machine learning. _x000D_
Our primary goal is to study theoretically, implement practically, and apply to real data various stochastic and sub-sampled second order optimization methods. The time is ripe for a thorough reevaluation of these methods in light of the very different trade-offs and constraints imposed by modern data applications than have been important historically in scientific computing applications. We will evaluate existing methods as well as develop new methods appropriate for both convex as well as non-convex problems, and we will pay particular attention to exploiting ideas that have proven useful historically in scientific computing that are fruitful for data analysis and machine learning applications but that for various reasons have not achieved widespread use. Our main focus will be on developing the theoretical foundations for practical second order methods; and an important secondary focus will be on the detailed implementation and evaluation of these methods for state-of-the-art machine learning and scientific data analysis problems._x000D_
Key Words: Second order methods; sampling; Newton methods; sparsity-inducing norms; trust region methods; variance reduction; randomized linear algebraThe intellectual merit underlying the proposed work will have a two-fold focus: first, it will develop new mathematical and theoretical methods in order to understand the properties of second order and in particular stochastic second order optimization methods; and second, it will provide implementations of those algorithms on realistic data to determine how and where this new understanding can be exploited in real machine learning and data analysis applications. There are two key points that underlie this two-fold focus: first, there is often a theory-practice gap to providing implementable algorithms, and bridging this gap often requires the development of novel tools that are more-broadly applicable; and second, there are many techniques that have been used historically in linear algebra and scientific computing that have promise in data analysis and machine learning applications. Making these techniques useful in light of the demands of modern machine learning and data analysis problems requires rethinking foundational questions, and this will be an important part of the proposed work.This project will enhance interdisciplinary education in the area of large-scale optimization more generally than just the proposed research. In addition, it will facilitate the development of algorithmic methods for the extraction of knowledge from large genetic, medical, internet, financial, astronomical, and other scientific data sets. More generally, in parallel with the proposed work, we will focus on broader interdisciplinary educational opportunities. This will include both events such as the organization of future MMDS (Modern Massive Data Sets) Meetings, which cover similar themes as in the proposed research, as well as with the design of graduate and undergraduate courses (such as ones taught at Berkeley during Fall 2013, Spring of 2015, and the freshman-level class during the Spring of 2016). These and related courses will include the opportunity for research projects, including by students from underrepresented groups, that focus on bridging theoretical methods and real-world applications.</t>
  </si>
  <si>
    <t>1764063</t>
  </si>
  <si>
    <t>Wu</t>
  </si>
  <si>
    <t>17</t>
  </si>
  <si>
    <t xml:space="preserve"> Panel Summary       
 SUMMARY OF PROPOSED RESEARCH ACTIVITY_x000D_
_x000D_
Description : _x000D_
_x000D_
This proposal deals with the analysis of data sets that represent time-varying complex networks with multiple attributes. It goes beyond traditional network analysis by considering multi-relational data, and treating change points in trends._x000D_
_x000D_
The specific topics considered include:_x000D_
a) latent network estimation:  Discovering the network from the statistical correlation between the nodes, as read from the non-zero entries in the precision matrix_x000D_
b) hidden community discovery: either detecting communities from the link structure, using tensor decomposition inference, or finding communities based on the information flow on the links, using time-varying regression model statistics._x000D_
c) change detection in networks: detecting when the trends in the data starts changing (such as being approximately piecewise-linear), possibly involving multi-dimensional change triggers_x000D_
d) graph similarity matching:  considering changes over time in the differences of the (logarithms) of the Fourier transforms of pairs of evolving graphs, and then using clustering and classification to larger sets of networks._x000D_
_x000D_
These are all problems of general current interest, with relevance in social networks, finance, etc. Evaluation is performed empirically on various publicly available datasets, and in some cases on synthetic data._x000D_
_x000D_
INTELLECTUAL MERIT_x000D_
_x000D_
Strengths_x000D_
_x000D_
These are topics with increasing importance, e.g. in social networks and data analysis. The PIs have published several of the main works that will be built on, implying significant likelihood of making progress on the proposed topics._x000D_
_x000D_
Weaknesses_x000D_
_x000D_
The main problem is that this proposal has very little to do with Algorithmic Foundation. The issues and methods raised are all statistical, with no consideration of resource consumption (time, memory) or other similar aspects that are the focus of algorithm design._x000D_
_x000D_
Additionally, while many valuable topics are raised, there are few specific research questions posed and little said about how they are to be solved, or how the methods will be evaluated or validated, beyond listing the data sets involved._x000D_
_x000D_
BROADER IMPACTS_x000D_
_x000D_
The broader impacts are mostly generic (importance of the applications; education and dissemination). One bright spot is the distribution of open source software. Plans to work with middle, high school and underrepresented students are also commendable, but no track record is given._x000D_
_x000D_
ADDITIONAL REMARKS_x000D_
_x000D_
Research plan: The extent, duration, and budget of the project is appropriate to the project plan. The work plan is barely adequate, listing only the project parts to be addressed in each year._x000D_
_x000D_
Collaboration plan: Collaboration plan is rudimentary, involving conferencing system for weekly meetings and quarterly teleconferencing milestone meetings. Annual site visits are mentioned, but not for how long._x000D_
_x000D_
Data Management Plan: The description is mostly generic but adequate._x000D_
_x000D_
Results of prior support:  Prior NSF is detailed, with generic descriptions of IM and BI. Publications are listed in detail, though only with the topics addressed rather than the outcomes._x000D_
 _x000D_
Suggestions to PI(s): Consider algorithmic and CS theoretic issues (in applications to Algorithmic Foundations), including algorithmic design techniques, analysis of resource needs, and computational requirements needed for dealing with large data sets. Also, provide more qualitative descriptions of how the work will be conducted. For Broader Impact, the panel was looking for at least one thing where the team was proposing something creative and/or of high impact. _x000D_
_x000D_
Justification for Panel Rating:_x000D_
_x000D_
Research that lies largely outside Algorithmic Foundations with no consideration of resource consumption and lack of explicit algorithm evaluation._x000D_
_x000D_
Panel Rating:_x000D_
_x000D_
_ Highly Competitive_x000D_
_x000D_
_ Competitive_x000D_
_x000D_
_ Low Competitive_x000D_
_x000D_
X_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</si>
  <si>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(NC) for proposal with low review scores_x000D_
_x000D_
AF: Medium: Collaborative Research: Fundamental Problems in High-Dimensional Data Analysis for Evolving Large-Scale Complex Networks_x000D_
_x000D_
L: 1764063 Wu, Wei Biao University of Chicago $  399,414_x000D_
N: 1763885 Cheng, Maggie NJIT $  398,685_x000D_
_x000D_
_x000D_
P180637 NC AF Medium Panel /  Dec 11-12 (9 panelists),_x000B_  on 12/12/2017, recommended as Not Competitive (G,G/F,G/F,F)_x000D_
Std competition rank 17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</si>
  <si>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In this proposal we consider networks as modeled by a set of nodes with a time series at each node.  Differences in the time series produces a covariance matrix, whose inverse defines (a complete?) weighted graph.  PI Wu has a lot of prior work on the statistical analyses of sets of time series, which this proposal seeks to leverage for network analysis. This is an interesting approach for large time-varying datasets such as stock prices, and for leveraging the behavior of node attributes over time to create additional structure in datasets that already have links.  Datasets where there is mainly an explicit link structure such as social media seem less amenable._x000D_
_x000D_
In addition, the work in Section 3.1.3 uses a standard graph representation and proposes work on tensor decomposition which is an element in some community detection algorithms._x000D_
_x000D_
Much of the proposed work follows the paradigm of assuming a model of how the data was generated, and then proving convergence of a statistical test under the assumption, which can cause trouble when real data fails to fit the model well. This has to be explored. _x000D_
_x000D_
Datasets to be used in experiments are described in Section 6. _x000D_
_x000D_
Strengths:_x000D_
_x000D_
- Good techniques with solid mathematical basis for analyzing large sets of time series._x000D_
_x000D_
Weaknessses:_x000D_
_x000D_
- Validation that real-world data follows any of the models would be good_x000D_
- Not clear how the explicit-link data will be used in most of the validation examples_x000D_
- No computational considerations for dealing with large data_x000D_
_x000D_
_x000D_
In the context of the five review elements, please _x000D_
evaluate the strengths and weaknesses of the proposal with respect to broader impacts._x000D_
_x000D_
Nothing out of the ordinary._x000D_
_x000D_
Please evaluate the strengths and _x000D_
weaknesses of the proposal with respect to any additional solicitation-specific review criteria, if _x000D_
applicable_x000D_
_x000D_
_x000D_
_x000D_
Summary Statement_x000D_
_x000D_
Leveraging time-varying states at nodes to provide additional structure to network problems is an interesting idea.  Some preliminary results on datasets would be good._x000D_
_x000D_
</t>
  </si>
  <si>
    <t xml:space="preserve">In the context of the five review elements, please _x000D_
evaluate the strengths and weaknesses of the proposal with respect to intellectual merit._x000D_
_x000D_
The goal of the proposal to develop a suite of tools for analyzing time-varying networks. This involves combining methods from statistical analyses of time series with graph theoretic approaches. The PIs discuss these techniques in the context of some classic problems in network analysis._x000D_
_x000D_
The methods proposed for network estimation build on earlier results (some by the PIs), but handle the non-stationary case. The high level outline, finding change points to segment the series and work with the segments, is quite natural, so I was not very convinced about the novelty relative to prior work. _x000D_
_x000D_
For community discovery, the PIs propose a method to "validate" the tensor approach that has been used for mixed membership. While this is a natural question, it seems to apply to a "static" graph context, unlike the other sections of the proposal. The proposal briefly discusses temporally dependent tensor data, but it didn't seem to be the central question. The section on relation-based community discovery is interesting in the dynamic graph context. However, given that many models have been proposed to detect influence via time series (e.g., in social networks), a contrast with prior art would be very helpful. The models proposed seem quite interesting._x000D_
_x000D_
For detecting change points in networks, the PIs propose to improve the state-of-the-art on change detection in high-dimensional time series. This is an ambitious goal, but the questions considered are quite specific. The connection to graphs seems a bit lost in this section._x000D_
_x000D_
The proposed work on graph similarity matching is very interesting. Looking for similar connection patterns arising in different portions of the networks at different times is a problem of possibly broad interest. The proposed method is to compute different time-varying features from different portions of the graph, and look for similarities under an appropriate distance. Clustering questions on this measure are also considered, which sound quite promising._x000D_
_x000D_
Overall, the project aims to bring new statistical time series techniques to dynamic graphs. This is an interesting broad direction, and the questions studied are fundamental.  The approaches proposed seem somewhat restrictive (both in terms of technical novelty and scope). The proposal would benefit from contrasting the proposed directions from existing work on these specific questions and more preliminary results._x000D_
_x000D_
The proposal is generally well-organized, except for a few portions (detailed above). _x000D_
_x000D_
The PIs have strong background in statistics and time series analysis. Their prior work on the topic is quite relevant to the questions discussed in the proposal._x000D_
_x000D_
Adequate resources are available to the PIs for carrying forth the proposed work._x000D_
_x000D_
In the context of the five review elements, please _x000D_
evaluate the strengths and weaknesses of the proposal with respect to broader impacts._x000D_
_x000D_
The PIs give a plan for incorporating research results into curricula. PI Cheng also plans to be involved in outreach activities with middle and high school students._x000D_
_x000D_
Please evaluate the strengths and _x000D_
weaknesses of the proposal with respect to any additional solicitation-specific review criteria, if _x000D_
applicable_x000D_
_x000D_
_x000D_
_x000D_
Summary Statement_x000D_
_x000D_
The goal of the proposal to develop a suite of tools for analyzing time-varying networks. This involves combining methods from statistical analyses of time series with graph theoretic approaches. The PIs discuss these techniques in the context of some classic problems in network analysis._x000D_
_x000D_
</t>
  </si>
  <si>
    <t xml:space="preserve">In the context of the five review elements, please _x000D_
evaluate the strengths and weaknesses of the proposal with respect to intellectual merit._x000D_
_x000D_
This proposal deals with the analysis of data sets that represent time-varying complex networks with multiple attributes. It goes beyond traditional network analysis by considering multi-relational data, and in treating change points where the trends change._x000D_
_x000D_
The specific topics considered include:_x000D_
a) latent network estimation:  Discovering the network from the statistical correlation between the nodes, as read from the non-zero entries in the precision matrix_x000D_
b) hidden community discovery: either detecting communities from the link structure, using tensor decomposition inference, or finding communities based on the information flow on the links, using time-varying regression model statistics._x000D_
c) change detection in networks: detecting when the trends in the data starts changing (such as being approximately piecewise-linear), possibly involving multi-dimensional change triggers_x000D_
d) graph similarity matching:  considering changes over time in the differences of the (logarithms) of the Fourier transforms of pairs of evolving graphs, and then using clustering and classification to larger sets of networks._x000D_
_x000D_
These are all problems of general topical interest._x000D_
_x000D_
Evaluation is performed empirically on various publicly available datasets, and in some cases on synthetic data._x000D_
_x000D_
The first PI has published extensively on the problems considered. The second PI has also worked on various related time-series problems. Together, they seem very able to perform the research planned, and successful conclusion of the project is highly likely considering that the topics are natural outgrowth of the PI's prior work._x000D_
_x000D_
One weakness of the proposal, as relating to the call, is that it is, as described, mostly statistical in nature. There is very little discussion of algorithmic issues, and none regarding complexity or lower bounds. The evaluation is only empirical and the link to algorithmic foundations seems tenuous._x000D_
_x000D_
Another weakness is that while the topics are very well described, there are few questions raised and little discussion about the possible directions that need to be examined. The technical ideas mentioned are generally about the possible statistical tests to apply. The plan of attack lacks detail._x000D_
_x000D_
_x000D_
In the context of the five review elements, please _x000D_
evaluate the strengths and weaknesses of the proposal with respect to broader impacts._x000D_
_x000D_
The broader impacts are largely due to indirect impacts of the research planned, e.g. in the application to marketing research and anomaly detection. There are also general plans to integrate the research into curriculum with multidisciplinary research experiences, and to distribute open source software._x000D_
_x000D_
_x000D_
Please evaluate the strengths and _x000D_
weaknesses of the proposal with respect to any additional solicitation-specific review criteria, if _x000D_
applicable_x000D_
_x000D_
_x000D_
_x000D_
Summary Statement_x000D_
_x000D_
Proposal for analysis of data sets that represent time-varying complex networks with multiple attributes, that goes beyond traditional network analysis by considering multi-relational data and in identifying points when trends change. These are natural and important topics that follow logically from the PI's previous work, which suggest high probability of success. The issues raised are however more statistical than relating to algorithmic foundations._x000D_
_x000D_
_x000D_
</t>
  </si>
  <si>
    <t xml:space="preserve">In the context of the five review elements, please _x000D_
evaluate the strengths and weaknesses of the proposal with respect to intellectual merit._x000D_
_x000D_
This proposal addresses a number network classification . and clustering issues from a statistical viewpoint. The senior PI has a distinguished publication record, and while not so many details are given, there is every reason to believe that strong results in statistics will result from this line of inquiry. However, what seems to be lacking in this proposal is any direct link (other than the questions being addressed) to the tools and theoretical frameworks that drive research in algorithmic foundations._x000D_
_x000D_
In the context of the five review elements, please _x000D_
evaluate the strengths and weaknesses of the proposal with respect to broader impacts._x000D_
_x000D_
There is only limited discussion of broader impact of this work on the broader research community in data science applications. Furthermore, there is discussed of the impact obtained (appropriately enough) to the integration of the material in undergraduate and graduate curricula._x000D_
_x000D_
Please evaluate the strengths and _x000D_
weaknesses of the proposal with respect to any additional solicitation-specific review criteria, if _x000D_
applicable_x000D_
_x000D_
_x000D_
_x000D_
Summary Statement_x000D_
_x000D_
This is a proposal whose directions do not seem to be well-aligned with the mission of the algorithmic foundations program within CISE. It would be more appropriate for a statistics program in DMS._x000D_
_x000D_
</t>
  </si>
  <si>
    <t>Overview: Most real-world networks are complex networks as the patterns of connection are neither  purely regular nor purely random,  and some of them are highly dynamic.   In searching for effective tools to study time-varying complex networks, two fundamental questions are raised: 1) Will the analytical methods that were proved successful for low-dimensional data still work for high-dimensional data generated by large-scale complex networks? 2) Are the research methods effective for &amp;#64257;xed networks adequate for the task of analyzing dynamic networks? New challenges come from the high-dimensionality    of data and the dynamics of link structure. The goal of this project is to develop fundamental analytical methods to address these questions, and bring signi&amp;#64257;cant breakthroughs in the methodology to address     the high-dimensional and time-varying characteristics of complex networks._x000D_
Keywords: Time Series, Tensor, Complex Networks, Change Point Detection, Community Detection, Similarity MeasureIntellectual Merit:  The proposed research in complex networks covers a set of four core research problems:  1) latent network estimation, 2) hidden community detection, 3) network-wide change detection,  and 4) network similarity matching. The four problems are fundamental and yet critical towards the understanding of the structural evolution of the network. The research will result in theoretical foundations underpinning complex network research, above which interesting applications can be developed. The research will contribute to not only the aforementioned subareas of complex network research but also  other areas where time series analysis is applied.  The intellectual merit of the project will be profound.  The team has strong background in theory and applications of high-dimensional time series analysis as  well as knowledge and experience in network research, and therefore is well suited for this effort.Broader Impacts:   The proposed research and education programs will provide signi&amp;#64257;cant bene&amp;#64257;ts to  both network science and data science research communities and practitioners from various industries     and sectors. The success of the project will advance social network research and bring the impact to a broader population. For instance, the integration of community detection and in&amp;#64258;uence propagation can bene&amp;#64257;t marketing research, and the misbehavior detection from online social networks can help mitigate crimes.  A series of training and education activities are planned to prepare the future workforce to face   the new challenges in the big data era.  This will be done through:  (1) the integration of research into      the curriculum, (2) the creation of a multidisciplinary research experience for students, and (3) the dis- semination of research results through online courses, seminars, and open source software. The eventual dissemination of research results to the larger community is done through presentations, publications,     and outreach activities. Dr. Wu will disseminate research results through teaching, invited seminars, conferences, and publications in leading journals, and interact with researchers from other disciplines     and provide assistance to students and researchers in other regions and countries on similar research    topics. Dr. Cheng will work with middle school and high school students through NJIT Pre-College Programs, and underrepresented students through REU projects and Summer Undergraduate Research Program.</t>
  </si>
  <si>
    <t>NSF 17-537</t>
  </si>
  <si>
    <t>CAR17-18</t>
  </si>
  <si>
    <t>1045 7926</t>
  </si>
  <si>
    <t>CO</t>
  </si>
  <si>
    <t>Steffen</t>
  </si>
  <si>
    <t>U of Colorado Denver</t>
  </si>
  <si>
    <t>V,F,F,F/P</t>
  </si>
  <si>
    <t>CAREER: Algorithms for Optimal Walks</t>
  </si>
  <si>
    <t>steffen.borgwardt@ucdenver.edu</t>
  </si>
  <si>
    <t>1045 7929</t>
  </si>
  <si>
    <t>Haitao</t>
  </si>
  <si>
    <t>E,V,G,G/F</t>
  </si>
  <si>
    <t>CAREER: Algorithms for Shortest Paths and Related Problems in Computational Geometry</t>
  </si>
  <si>
    <t>haitao.wang@usu.edu</t>
  </si>
  <si>
    <t>1045 7934</t>
  </si>
  <si>
    <t>Benjamin</t>
  </si>
  <si>
    <t>E,E/V,V,G,G</t>
  </si>
  <si>
    <t>CAREER: Scaling Computation via Massively Distributed Algorithms</t>
  </si>
  <si>
    <t>bmoseley@seas.wustl.edu</t>
  </si>
  <si>
    <t>Alberto</t>
  </si>
  <si>
    <t>E/V,V,V,V/G</t>
  </si>
  <si>
    <t>CAREER: Mixed-Integer Quadratic Optimization: Algorithms and Complexity</t>
  </si>
  <si>
    <t>delpia@wisc.edu</t>
  </si>
  <si>
    <t>WA</t>
  </si>
  <si>
    <t>Yin Tat</t>
  </si>
  <si>
    <t>U of Washington</t>
  </si>
  <si>
    <t>E,E,E/V,V/G</t>
  </si>
  <si>
    <t>CAREER: The Interplay between Combinatorial Optimization and Algorithmic Convex Geometry</t>
  </si>
  <si>
    <t>yintat@uw.edu</t>
  </si>
  <si>
    <t>Sungjin</t>
  </si>
  <si>
    <t>U of Cal - Merced</t>
  </si>
  <si>
    <t>V,V,V,G</t>
  </si>
  <si>
    <t>CAREER: New Algorithmic Foundations for Online Scheduling</t>
  </si>
  <si>
    <t>sim3@ucmerced.edu</t>
  </si>
  <si>
    <t>Aaron</t>
  </si>
  <si>
    <t>Stanford University</t>
  </si>
  <si>
    <t>E,V,V,V</t>
  </si>
  <si>
    <t>CAREER: Theory of Fast Graph Optimization</t>
  </si>
  <si>
    <t>sidford@stanford.edu</t>
  </si>
  <si>
    <t>1045 7927</t>
  </si>
  <si>
    <t>NY</t>
  </si>
  <si>
    <t>Omri</t>
  </si>
  <si>
    <t>Columbia University</t>
  </si>
  <si>
    <t>E,V,V,G</t>
  </si>
  <si>
    <t>CAREER: Information Theoretic Methods for Understanding Computation</t>
  </si>
  <si>
    <t>omri@cs.columbia.edu</t>
  </si>
  <si>
    <t>Karthekeyan</t>
  </si>
  <si>
    <t>U of Ill Urbana-Champaign</t>
  </si>
  <si>
    <t>E/V,V,V,G</t>
  </si>
  <si>
    <t>CAREER: Frontiers in the Algorithmic Theory of Cutting Planes</t>
  </si>
  <si>
    <t>karthe@illinois.edu</t>
  </si>
  <si>
    <t xml:space="preserve"> Francesco</t>
  </si>
  <si>
    <t>SUNY Stony Brook</t>
  </si>
  <si>
    <t>E,E,V,V</t>
  </si>
  <si>
    <t>CAREER: Hyperparameter-free Algorithms for Machine Learning</t>
  </si>
  <si>
    <t>francesco@cs.stonybrook.edu</t>
  </si>
  <si>
    <t>Justin</t>
  </si>
  <si>
    <t>MIT</t>
  </si>
  <si>
    <t>E,V,V/G,F</t>
  </si>
  <si>
    <t>CAREER: Structured Optimization for Geometric Problems</t>
  </si>
  <si>
    <t>jsolomon@mit.edu</t>
  </si>
  <si>
    <t>DC</t>
  </si>
  <si>
    <t>Georgetown University</t>
  </si>
  <si>
    <t>V,V,V,V/G</t>
  </si>
  <si>
    <t>CAREER: The Polynomial Method in Complexity and Cryptography</t>
  </si>
  <si>
    <t>jt1157@georgetown.edu</t>
  </si>
  <si>
    <t>Edgar</t>
  </si>
  <si>
    <t>G,G,G,F</t>
  </si>
  <si>
    <t>CAREER: Scalable algorithms for tensor networks</t>
  </si>
  <si>
    <t>solomon2@illinois.edu</t>
  </si>
  <si>
    <t>Meisam</t>
  </si>
  <si>
    <t>U of Southern California</t>
  </si>
  <si>
    <t>V,G,G,G,G,G/F,G/F,G/F,F</t>
  </si>
  <si>
    <t>CAREER: Large Scale Mixture Models: Theory, Algorithms, and Applications in Computational Biology</t>
  </si>
  <si>
    <t>razaviya@usc.edu</t>
  </si>
  <si>
    <t>1045 7933</t>
  </si>
  <si>
    <t>Craig</t>
  </si>
  <si>
    <t>U of Cal Riverside</t>
  </si>
  <si>
    <t>V,F,F,F</t>
  </si>
  <si>
    <t>CAREER: Addressing robustness in numerical simulation of nonlinear elastic solids through optimization integration and improved collision treatments</t>
  </si>
  <si>
    <t>craig@ucr.edu</t>
  </si>
  <si>
    <t>Shi</t>
  </si>
  <si>
    <t>SUNY Buffalo</t>
  </si>
  <si>
    <t>V,G,G,G/F</t>
  </si>
  <si>
    <t>CAREER: CCF: Approximate Scheduling Algorithms via Mathematical Relaxations</t>
  </si>
  <si>
    <t>shil@buffalo.edu</t>
  </si>
  <si>
    <t>Viswanath</t>
  </si>
  <si>
    <t>CAREER: New Mathematical Programming Techniques in Approximation and Online Algorithms</t>
  </si>
  <si>
    <t>viswa@umich.edu</t>
  </si>
  <si>
    <t>Debmalya</t>
  </si>
  <si>
    <t>Duke University</t>
  </si>
  <si>
    <t>E,E/V,V,V</t>
  </si>
  <si>
    <t>CAREER: New Directions in Graph Algorithms</t>
  </si>
  <si>
    <t>debmalya.panigrahi@gmail.com</t>
  </si>
  <si>
    <t>Michael</t>
  </si>
  <si>
    <t>Johns Hopkins University</t>
  </si>
  <si>
    <t>CAREER: Optimizing Distances: Compression and Network Design</t>
  </si>
  <si>
    <t>mdinitz@cs.jhu.edu</t>
  </si>
  <si>
    <t>Alina</t>
  </si>
  <si>
    <t>Boston University</t>
  </si>
  <si>
    <t>E,E/V,E/V,G</t>
  </si>
  <si>
    <t>CAREER: New Algorithms for Submodular Optimization</t>
  </si>
  <si>
    <t>aene@bu.edu</t>
  </si>
  <si>
    <t>1045 7926 9150</t>
  </si>
  <si>
    <t>Paul</t>
  </si>
  <si>
    <t>Brown University</t>
  </si>
  <si>
    <t>V,G,G/F,G/F</t>
  </si>
  <si>
    <t>CAREER: Sublinear Algorithms on Flaky Data</t>
  </si>
  <si>
    <t>pvaliant@gmail.com</t>
  </si>
  <si>
    <t>1045 7932</t>
  </si>
  <si>
    <t>Ruta</t>
  </si>
  <si>
    <t>E,V,V,V/G</t>
  </si>
  <si>
    <t>CAREER: Equilibrium Computation and Other Total Search Problems</t>
  </si>
  <si>
    <t>rutameht@illinois.edu</t>
  </si>
  <si>
    <t>Gillat</t>
  </si>
  <si>
    <t>E,V,V,V,V/G,G,G,G,G</t>
  </si>
  <si>
    <t>CAREER: Communication, Information, and Interactive Compression</t>
  </si>
  <si>
    <t>gillat.kol@gmail.com</t>
  </si>
  <si>
    <t>VA</t>
  </si>
  <si>
    <t>Sharath</t>
  </si>
  <si>
    <t>VA Polytechnic Inst &amp; St U</t>
  </si>
  <si>
    <t>E/V,V,V/G,G</t>
  </si>
  <si>
    <t>CAREER:Robust and Optimal Algorithms for Real-Time Pick-Up and Delivery Problems</t>
  </si>
  <si>
    <t>sharathr@vt.edu</t>
  </si>
  <si>
    <t>Moritz</t>
  </si>
  <si>
    <t>E,E,E,E/V</t>
  </si>
  <si>
    <t>CAREER: Stable Foundations for Reliable Machine Learning</t>
  </si>
  <si>
    <t xml:space="preserve"> hardt@eecs.berkeley.edu</t>
  </si>
  <si>
    <t>Jonathan</t>
  </si>
  <si>
    <t>CAREER:A Stable Foundation for Trustworthy Data Analysis</t>
  </si>
  <si>
    <t>jullman@ccs.neu.edu</t>
  </si>
  <si>
    <t>Pranjal</t>
  </si>
  <si>
    <t>Rutgers Univ New Brunswick</t>
  </si>
  <si>
    <t>V,G,G,G</t>
  </si>
  <si>
    <t>CAREER: Towards provably robust algorithms for unsupervised learning: A distribution-free approach</t>
  </si>
  <si>
    <t>pranjal.iitm@gmail.com</t>
  </si>
  <si>
    <t>Huy</t>
  </si>
  <si>
    <t>E,E/V,V,V/G</t>
  </si>
  <si>
    <t>CAREER: Faster and Smaller Sketches for Bigger Data</t>
  </si>
  <si>
    <t>hu.nguyen@neu.edu</t>
  </si>
  <si>
    <t>U of Texas Dallas</t>
  </si>
  <si>
    <t>CAREER:  AF: Giving Form to Data with a Geometric Scaffold</t>
  </si>
  <si>
    <t>Benjamin.Raichel@utdallas.edu</t>
  </si>
  <si>
    <t>Bernhard</t>
  </si>
  <si>
    <t>E,E,E,E/V,E/V,V,V,G</t>
  </si>
  <si>
    <t>CAREER: A Theory of Error Correction for Interactive Communication</t>
  </si>
  <si>
    <t>haeupler@cs.cmu.edu</t>
  </si>
  <si>
    <t>Ning</t>
  </si>
  <si>
    <t>Florida International Univ</t>
  </si>
  <si>
    <t>G,F,F,F</t>
  </si>
  <si>
    <t>CAREER: A Study of Some Problems in Boolean Function Analysis</t>
  </si>
  <si>
    <t>nxie@cs.fiu.edu</t>
  </si>
  <si>
    <t>Eric</t>
  </si>
  <si>
    <t>CAREER:Fundamental algorithms for data-limited problems</t>
  </si>
  <si>
    <t>ecprice@cs.utexas.edu</t>
  </si>
  <si>
    <t>Matthew</t>
  </si>
  <si>
    <t>U of Texas San Antonio</t>
  </si>
  <si>
    <t>V,G,G/F,F</t>
  </si>
  <si>
    <t>CAREER: A Modern Look at Visibility Problems</t>
  </si>
  <si>
    <t>MATTHEW.GIBSON@UTSA.EDU</t>
  </si>
  <si>
    <t>Periklis</t>
  </si>
  <si>
    <t>Rutgers U Newark</t>
  </si>
  <si>
    <t>CAREER: New directions in the foundations of heuristics in machine learning and constraint satisfaction</t>
  </si>
  <si>
    <t>Vasilis</t>
  </si>
  <si>
    <t>Drexel University</t>
  </si>
  <si>
    <t>CAREER: Optimal Mechanism Design without Monetary Transfers</t>
  </si>
  <si>
    <t>CAREER: Simulation and Design of Thin Objects Using Discrete Differential Geometry Algorithms</t>
  </si>
  <si>
    <t>evouga@cs.utexas.edu</t>
  </si>
  <si>
    <t>OR</t>
  </si>
  <si>
    <t>Amir</t>
  </si>
  <si>
    <t>Oregon State University</t>
  </si>
  <si>
    <t>CAREER: Mapping Problems in Computational Geometry and Topology</t>
  </si>
  <si>
    <t>nayyeria@eecs.oregonstate.edu</t>
  </si>
  <si>
    <t>1045 7934 9150</t>
  </si>
  <si>
    <t>Maxwell</t>
  </si>
  <si>
    <t>Mississippi State Univ</t>
  </si>
  <si>
    <t>E,G,G,G/F</t>
  </si>
  <si>
    <t>CAREER: How to Share a Channel with Friends and Foes: Algorithm Design and Validation for Contention Resolution</t>
  </si>
  <si>
    <t>maxwelly@outlook.com</t>
  </si>
  <si>
    <t>Aditya</t>
  </si>
  <si>
    <t>CAREER: Theoretical Machine Learning: Algorithms and Complexity</t>
  </si>
  <si>
    <t>bhaskara@cs.utah.edu</t>
  </si>
  <si>
    <t>1045 7929 9150</t>
  </si>
  <si>
    <t>Brittany</t>
  </si>
  <si>
    <t>Montana State University</t>
  </si>
  <si>
    <t>CAREER: Foundations and Applications of Statistics in TDA</t>
  </si>
  <si>
    <t>brittany@cs.montana.edu</t>
  </si>
  <si>
    <t>Nodari</t>
  </si>
  <si>
    <t>U of Hawaii</t>
  </si>
  <si>
    <t>CAREER: Locality-Conscious Parallel Algorithms</t>
  </si>
  <si>
    <t>nodari@hawaii.edu</t>
  </si>
  <si>
    <t>NSF 17-552</t>
  </si>
  <si>
    <t>05020000</t>
  </si>
  <si>
    <t>CRII FY18</t>
  </si>
  <si>
    <t>7495 8228</t>
  </si>
  <si>
    <t>IIS</t>
  </si>
  <si>
    <t>Anirudha</t>
  </si>
  <si>
    <t>E/V,E/V,E/V,G,G,G/F,F</t>
  </si>
  <si>
    <t>CRII: RI: Memory-efficient Representations for Robot Tasks: Lower Bounds and Scalable Algorithms</t>
  </si>
  <si>
    <t>ani.majumdar@princeton.edu</t>
  </si>
  <si>
    <t>FY18CRII</t>
  </si>
  <si>
    <t>7926 8228</t>
  </si>
  <si>
    <t>GA</t>
  </si>
  <si>
    <t>Weitian</t>
  </si>
  <si>
    <t>Ga. Southern Univ. R&amp;S Fdn</t>
  </si>
  <si>
    <t>G,G/F,F</t>
  </si>
  <si>
    <t>CRII: AF: Practical Privacy-preserving Mechanisms under Differential Privacy and Smoothed Analysis</t>
  </si>
  <si>
    <t>wtong@georgiasouthern.edu</t>
  </si>
  <si>
    <t>Kai</t>
  </si>
  <si>
    <t>G/F,F,F,F</t>
  </si>
  <si>
    <t>CRII: AF: fast maximum edge-weight clique solvers and their applications</t>
  </si>
  <si>
    <t>kwang@georgiasouthern.edu</t>
  </si>
  <si>
    <t>Yuan</t>
  </si>
  <si>
    <t>V,V/G,G</t>
  </si>
  <si>
    <t>CRII:AF: Data Oriented Multi-Arm Bandit Algorithms</t>
  </si>
  <si>
    <t>yzhoucs@indiana.edu</t>
  </si>
  <si>
    <t>7932 8228</t>
  </si>
  <si>
    <t>Jugal</t>
  </si>
  <si>
    <t>E/V,V,V</t>
  </si>
  <si>
    <t>CRII: AF: Strongly Polynomial Algorithms for Market Equilibria with Applications to Network Flows and Nash Social Welfare</t>
  </si>
  <si>
    <t>jugal@illinois.edu</t>
  </si>
  <si>
    <t>Hadi</t>
  </si>
  <si>
    <t>G,G,G</t>
  </si>
  <si>
    <t>CRII: AF: Theory and Algorithms for Two Classes of Optimization Problems: Multi-objective Binary Linear Programs and Single-objective Maximum Multiplicative Programs</t>
  </si>
  <si>
    <t>hcharkhgard@usf.edu</t>
  </si>
  <si>
    <t>Mayank</t>
  </si>
  <si>
    <t>CUNY Queens College</t>
  </si>
  <si>
    <t>V,V,V</t>
  </si>
  <si>
    <t>CRII: AF: RUI: Faster and Cache-Efficient Similarity Filters and Searches for Big Data</t>
  </si>
  <si>
    <t>Mayank.Goswami@qc.cuny.edu</t>
  </si>
  <si>
    <t>Tuo</t>
  </si>
  <si>
    <t>Georgia Tech Research Corp</t>
  </si>
  <si>
    <t>V,G,G,G,G,G,F</t>
  </si>
  <si>
    <t>CRII:RI Model-based Nonconvex Optimization for Efficient and Scalable Representation Learning from Massive Data</t>
  </si>
  <si>
    <t>tzhao80@gatech.edu</t>
  </si>
  <si>
    <t>7933 8228</t>
  </si>
  <si>
    <t>Ruoyu</t>
  </si>
  <si>
    <t>V,V/G,V/G</t>
  </si>
  <si>
    <t>CRII: AF: Towards Faster Algorithms for Large-scale Constrained Optimization</t>
  </si>
  <si>
    <t>ruoyus@illinois.edu</t>
  </si>
  <si>
    <t>7933 8228 9150</t>
  </si>
  <si>
    <t>Omer</t>
  </si>
  <si>
    <t>Oklahoma State University</t>
  </si>
  <si>
    <t>E/V,G,F</t>
  </si>
  <si>
    <t>CRII: AF: Generalized Deconvolution Algorithms for Coarse-Grained Simulations of Nonlinear Multiscale Systems</t>
  </si>
  <si>
    <t>osan@okstate.edu</t>
  </si>
  <si>
    <t>Rochester Inst of Tech</t>
  </si>
  <si>
    <t>V,G,G</t>
  </si>
  <si>
    <t>CRII: AF: Fair and Truthful Mechanisms for Sequential Matching Under Uncertainty</t>
  </si>
  <si>
    <t>hhvcs@rit.edu</t>
  </si>
  <si>
    <t>7927 8228</t>
  </si>
  <si>
    <t>E,E,E/V</t>
  </si>
  <si>
    <t>CRII:AF:Linear-Algebraic Pseudorandomness</t>
  </si>
  <si>
    <t>miforbes@illinois.edu</t>
  </si>
  <si>
    <t>Adolfo</t>
  </si>
  <si>
    <t>Arizona State University</t>
  </si>
  <si>
    <t>V/G,G,G/F</t>
  </si>
  <si>
    <t>CRII: AF: Robust Algorithmic Foundations for the Impartial Aggregation of Incomplete Ranking Data</t>
  </si>
  <si>
    <t>adres@asu.edu</t>
  </si>
  <si>
    <t>Shima</t>
  </si>
  <si>
    <t>Texas Engineering Exp Sta</t>
  </si>
  <si>
    <t>V,G,G/F</t>
  </si>
  <si>
    <t>CRII: AF:Bayesian Framework for Efficient Surrogate Modeling and Learning of Probabilistic Functions Based on Large Scale Monte Carlo Simulations</t>
  </si>
  <si>
    <t>shima.hm@tamu.edu</t>
  </si>
  <si>
    <t>CRII: AF: Practical Auction Design using the Deferred-Acceptance Framework</t>
  </si>
  <si>
    <t>Harsha</t>
  </si>
  <si>
    <t>Southern Methodist Univ</t>
  </si>
  <si>
    <t>V/G,G,F</t>
  </si>
  <si>
    <t>CRII:AF: Stochastic Programming Decomposition Model and Algorithm for Discrete-event Dynamic Systems</t>
  </si>
  <si>
    <t>harsha@smu.edu</t>
  </si>
  <si>
    <t>Lin</t>
  </si>
  <si>
    <t>U of Houston</t>
  </si>
  <si>
    <t>CRII: AF: Polynomial Time Approximation Schemes Subexponential in the Parameter</t>
  </si>
  <si>
    <t>lchen49@central.uh.edu</t>
  </si>
  <si>
    <t>7924 7926</t>
  </si>
  <si>
    <t>Anupam</t>
  </si>
  <si>
    <t>AF: Medium: Collaborative Research: Combinatorial Optimization for Uncertain Inputs</t>
  </si>
  <si>
    <t>anupamg@cs.cmu.edu</t>
  </si>
  <si>
    <t>1763293</t>
  </si>
  <si>
    <t>U of Cal Irvine</t>
  </si>
  <si>
    <t>AF: Medium: Algorithms for Real-World Networks</t>
  </si>
  <si>
    <t>goodrich@acm.org</t>
  </si>
  <si>
    <t>7924 7926 7932</t>
  </si>
  <si>
    <t>AARON</t>
  </si>
  <si>
    <t>E/V,E/V,V,G</t>
  </si>
  <si>
    <t>AF: MEDIUM: Collaborative Research: Foundations of Fair Data Analysis</t>
  </si>
  <si>
    <t>aaroth@cis.upenn.edu</t>
  </si>
  <si>
    <t>1763349</t>
  </si>
  <si>
    <t>Pai</t>
  </si>
  <si>
    <t>Mallesh</t>
  </si>
  <si>
    <t>AF: Medium: Collaborative Research: Foundations of Fair Data Analysis</t>
  </si>
  <si>
    <t>Mallesh.Pai@rice.edu</t>
  </si>
  <si>
    <t>7924 7926 7927</t>
  </si>
  <si>
    <t>AF: Medium: Collaborative Research: Exploiting Opportunities in Pseudorandomness</t>
  </si>
  <si>
    <t>omreing@stanford.edu</t>
  </si>
  <si>
    <t>1763299</t>
  </si>
  <si>
    <t>Vadhan</t>
  </si>
  <si>
    <t>Salil</t>
  </si>
  <si>
    <t>Harvard University</t>
  </si>
  <si>
    <t>AF: Medium: Collaborative Research:  Exploiting Opportunities in Pseudorandomness</t>
  </si>
  <si>
    <t>salil_vadhan@harvard.edu</t>
  </si>
  <si>
    <t>E,E/V,E/V,V</t>
  </si>
  <si>
    <t>AF: MEDIUM: Collaborative Research: Foundations of Adaptive Data Analysis</t>
  </si>
  <si>
    <t>1763191</t>
  </si>
  <si>
    <t>Zou</t>
  </si>
  <si>
    <t>James</t>
  </si>
  <si>
    <t>jamesz@stanford.edu</t>
  </si>
  <si>
    <t>1763665</t>
  </si>
  <si>
    <t>Dwork</t>
  </si>
  <si>
    <t>Cynthia</t>
  </si>
  <si>
    <t>AF: Medium: Collaborative Proposal: Foundations of Adaptive Data Analysis</t>
  </si>
  <si>
    <t>dwork@seas.harvard.edu</t>
  </si>
  <si>
    <t>1763786</t>
  </si>
  <si>
    <t>Smith</t>
  </si>
  <si>
    <t>Adam</t>
  </si>
  <si>
    <t>AF: Medium: Collaborative Research: Foundations of Adaptive Data Analysis</t>
  </si>
  <si>
    <t>ads22@bu.edu</t>
  </si>
  <si>
    <t>Kameshwar</t>
  </si>
  <si>
    <t>V,V/G,G/F,F</t>
  </si>
  <si>
    <t>AF: Medium: Collaborative Research: Algorithmic Challenges in Dynamic Two-sided Marketplaces</t>
  </si>
  <si>
    <t>kamesh@cs.duke.edu</t>
  </si>
  <si>
    <t>1763417</t>
  </si>
  <si>
    <t>Banerjee</t>
  </si>
  <si>
    <t>Siddhartha</t>
  </si>
  <si>
    <t>Cornell University</t>
  </si>
  <si>
    <t>sbanerjee@cornell.edu</t>
  </si>
  <si>
    <t>Atri</t>
  </si>
  <si>
    <t>V,G,G,F</t>
  </si>
  <si>
    <t>AF: Medium: Collaborative Research: Beyond Sparsity: Refined measures of complexity for linear algebra</t>
  </si>
  <si>
    <t>atri@buffalo.edu</t>
  </si>
  <si>
    <t>1763315</t>
  </si>
  <si>
    <t>Re</t>
  </si>
  <si>
    <t>Christopher</t>
  </si>
  <si>
    <t>chrismre@cs.stanford.edu</t>
  </si>
  <si>
    <t>AF: Medium: Collaborative Research: Dynamic data structures for vectors and graphs in sublinear memory</t>
  </si>
  <si>
    <t>1763504</t>
  </si>
  <si>
    <t>Nelson</t>
  </si>
  <si>
    <t>Jelani</t>
  </si>
  <si>
    <t>minilek@seas.harvard.edu</t>
  </si>
  <si>
    <t>7924 7926 7927 9150</t>
  </si>
  <si>
    <t>Qi</t>
  </si>
  <si>
    <t>U of Oklahoma</t>
  </si>
  <si>
    <t>V,V,F,F</t>
  </si>
  <si>
    <t>AF:Medium:Collaborative Research: Algorithms and Complexity of Polynomial Systems</t>
  </si>
  <si>
    <t>qcheng@ou.edu</t>
  </si>
  <si>
    <t>1763635</t>
  </si>
  <si>
    <t>Wan</t>
  </si>
  <si>
    <t>Daqing</t>
  </si>
  <si>
    <t>dwan@math.uci.edu</t>
  </si>
  <si>
    <t>1763644</t>
  </si>
  <si>
    <t>Gao</t>
  </si>
  <si>
    <t>Shuhong</t>
  </si>
  <si>
    <t>Clemson University</t>
  </si>
  <si>
    <t>AF:Medium:Collaborative Research:  Algorithms and Complexity of Polynomial Systems</t>
  </si>
  <si>
    <t>sgao@clemson.edu</t>
  </si>
  <si>
    <t>1763774</t>
  </si>
  <si>
    <t>Rojas</t>
  </si>
  <si>
    <t>J. Maurice</t>
  </si>
  <si>
    <t>Texas A&amp;M Main Campus</t>
  </si>
  <si>
    <t>rojas@math.tamu.edu</t>
  </si>
  <si>
    <t>7924 7933</t>
  </si>
  <si>
    <t>AF: Medium: Collaborative Research: Principled Numerical Methods for Tensor Computations</t>
  </si>
  <si>
    <t>dgleich@purdue.edu</t>
  </si>
  <si>
    <t>1763455</t>
  </si>
  <si>
    <t>Benson</t>
  </si>
  <si>
    <t>Austin</t>
  </si>
  <si>
    <t>arb@cs.cornell.edu</t>
  </si>
  <si>
    <t>7924 7929</t>
  </si>
  <si>
    <t>Guoning</t>
  </si>
  <si>
    <t>G,G,G/F,F</t>
  </si>
  <si>
    <t>AF: Medium: Collaborative Research: Structure of Time-dependent Hexahedral Meshes: Theory and Applications</t>
  </si>
  <si>
    <t>gchen16@uh.edu</t>
  </si>
  <si>
    <t>1763948</t>
  </si>
  <si>
    <t>Eugene</t>
  </si>
  <si>
    <t>AF:Medium: Collaborative Research: Structure of time-dependent hexahedral meshes: theory and applications</t>
  </si>
  <si>
    <t>zhange@eecs.oregonstate.edu</t>
  </si>
  <si>
    <t>7924 7926 7934</t>
  </si>
  <si>
    <t>AF: Medium: Sketching Algorithms for Learning Representations in Machine Learning</t>
  </si>
  <si>
    <t>dwoodruf@andrew.cmu.edu</t>
  </si>
  <si>
    <t>7924 7929 7934</t>
  </si>
  <si>
    <t>Erik</t>
  </si>
  <si>
    <t>AF: Medium: Collaborative Research: Algorithmic Frameworks for Motion Planning of Mobile Swarms</t>
  </si>
  <si>
    <t>edemaine@mit.edu</t>
  </si>
  <si>
    <t>1763521</t>
  </si>
  <si>
    <t>Hajiaghayi</t>
  </si>
  <si>
    <t>Mohammad</t>
  </si>
  <si>
    <t>hajiagha@cs.umd.edu</t>
  </si>
  <si>
    <t>7924 7926 7927 7932</t>
  </si>
  <si>
    <t>Christos</t>
  </si>
  <si>
    <t>E,E,E,V</t>
  </si>
  <si>
    <t>AF: Medium: Research in Algorithms and Complexity: Total Functions, Games, and the Brain</t>
  </si>
  <si>
    <t>christos@cs.berkeley.edu</t>
  </si>
  <si>
    <t>Nathan</t>
  </si>
  <si>
    <t>TTI-C</t>
  </si>
  <si>
    <t>AF: RI: Medium: Collaborative Research: Understanding and Improving Optimization in Deep and Recurrent Networks</t>
  </si>
  <si>
    <t>nati@ttic.edu</t>
  </si>
  <si>
    <t>1763562</t>
  </si>
  <si>
    <t>Salakhutdinov</t>
  </si>
  <si>
    <t>Ruslan</t>
  </si>
  <si>
    <t>rsalakhu@cs.cmu.edu</t>
  </si>
  <si>
    <t>1764033</t>
  </si>
  <si>
    <t>NSF 17-572</t>
  </si>
  <si>
    <t>FY18IIIMed</t>
  </si>
  <si>
    <t>7495 7924</t>
  </si>
  <si>
    <t>Internationl CompSci Inst</t>
  </si>
  <si>
    <t>V/G,G,G,G</t>
  </si>
  <si>
    <t>RI: Medium: Second Is Better Than First: Second Order Optimization for Machine Learning</t>
  </si>
  <si>
    <t>mmahoney@icsi.berkeley.edu</t>
  </si>
  <si>
    <t>Wei Biao</t>
  </si>
  <si>
    <t>University of Chicago</t>
  </si>
  <si>
    <t>G,G/F,G/F,F</t>
  </si>
  <si>
    <t>AF: Medium: Collaborative Research: Fundamental Problems in High-Dimensional Data Analysis for Evolving Large-Scale Complex Networks</t>
  </si>
  <si>
    <t>wbwu@galton.uchicago.edu</t>
  </si>
  <si>
    <t>1763885</t>
  </si>
  <si>
    <t>Maggie</t>
  </si>
  <si>
    <t>NJIT</t>
  </si>
  <si>
    <t>maggie.cheng@njit.edu</t>
  </si>
  <si>
    <t>AF CAREER/CRII Panel A</t>
  </si>
  <si>
    <t xml:space="preserve"> V,F,F,F/P</t>
  </si>
  <si>
    <t>31 rated projects: 3 HC, 12 C, 10 LC, 6 NC</t>
  </si>
  <si>
    <t>Faculty Early Career Development Program</t>
  </si>
  <si>
    <t>Jack Snoeyink</t>
  </si>
  <si>
    <t xml:space="preserve">steffen.borgwardt@ucdenver.edu      </t>
  </si>
  <si>
    <t xml:space="preserve"> E,V,G,G/F</t>
  </si>
  <si>
    <t xml:space="preserve">haitao.wang@usu.edu      </t>
  </si>
  <si>
    <t xml:space="preserve"> E,E/V,V,G,G</t>
  </si>
  <si>
    <t>Rahul Shah</t>
  </si>
  <si>
    <t xml:space="preserve">bmoseley@seas.wustl.edu      </t>
  </si>
  <si>
    <t xml:space="preserve"> E/V,V,V,V/G</t>
  </si>
  <si>
    <t xml:space="preserve">delpia@wisc.edu      </t>
  </si>
  <si>
    <t xml:space="preserve"> E,E,E/V,V/G</t>
  </si>
  <si>
    <t xml:space="preserve">yintat@uw.edu      </t>
  </si>
  <si>
    <t xml:space="preserve"> V,V,V,G</t>
  </si>
  <si>
    <t xml:space="preserve">sim3@ucmerced.edu      </t>
  </si>
  <si>
    <t xml:space="preserve"> E,V,V,V</t>
  </si>
  <si>
    <t xml:space="preserve">sidford@stanford.edu      </t>
  </si>
  <si>
    <t>AF CAREER/CRII Panel B</t>
  </si>
  <si>
    <t xml:space="preserve"> E,V,V,G</t>
  </si>
  <si>
    <t>29 rated projects: 5 HC, 9 C, 11 LC, 4 NC</t>
  </si>
  <si>
    <t>Tracy J. Kimbrel</t>
  </si>
  <si>
    <t xml:space="preserve">omri@cs.columbia.edu      </t>
  </si>
  <si>
    <t xml:space="preserve"> E/V,V,V,G</t>
  </si>
  <si>
    <t xml:space="preserve">karthe@illinois.edu      </t>
  </si>
  <si>
    <t xml:space="preserve"> E,E,V,V</t>
  </si>
  <si>
    <t xml:space="preserve">francesco@cs.stonybrook.edu      </t>
  </si>
  <si>
    <t xml:space="preserve"> E,V,V/G,F</t>
  </si>
  <si>
    <t xml:space="preserve">jsolomon@mit.edu      </t>
  </si>
  <si>
    <t xml:space="preserve"> V,V,V,V/G</t>
  </si>
  <si>
    <t xml:space="preserve">jt1157@georgetown.edu      </t>
  </si>
  <si>
    <t xml:space="preserve"> G,G,G,F</t>
  </si>
  <si>
    <t xml:space="preserve">solomon2@illinois.edu      </t>
  </si>
  <si>
    <t xml:space="preserve"> G,G,G   ,F</t>
  </si>
  <si>
    <t>Comp Bio Career Virtual Panel</t>
  </si>
  <si>
    <t xml:space="preserve"> V    ,G/F,G/F,G/F</t>
  </si>
  <si>
    <t>5 rated projects: 1 HC, 2 C, 2 LC</t>
  </si>
  <si>
    <t xml:space="preserve">razaviya@usc.edu      </t>
  </si>
  <si>
    <t xml:space="preserve"> V,F,F,F</t>
  </si>
  <si>
    <t xml:space="preserve">craig@ucr.edu      </t>
  </si>
  <si>
    <t xml:space="preserve"> V,G,G,G/F</t>
  </si>
  <si>
    <t xml:space="preserve">shil@buffalo.edu      </t>
  </si>
  <si>
    <t xml:space="preserve">viswa@umich.edu      </t>
  </si>
  <si>
    <t xml:space="preserve"> E,E/V,V,V</t>
  </si>
  <si>
    <t xml:space="preserve">debmalya.panigrahi@gmail.com      </t>
  </si>
  <si>
    <t xml:space="preserve">mdinitz@cs.jhu.edu      </t>
  </si>
  <si>
    <t xml:space="preserve"> E,E/V,E/V,G</t>
  </si>
  <si>
    <t xml:space="preserve">aene@bu.edu      </t>
  </si>
  <si>
    <t xml:space="preserve"> V,G,G/F,G/F</t>
  </si>
  <si>
    <t xml:space="preserve">pvaliant@gmail.com      </t>
  </si>
  <si>
    <t xml:space="preserve"> E,V,V,V/G</t>
  </si>
  <si>
    <t xml:space="preserve">rutameht@illinois.edu      </t>
  </si>
  <si>
    <t>CIF CAREER IT-COMM Panel</t>
  </si>
  <si>
    <t xml:space="preserve"> V/G,G,G,G,G</t>
  </si>
  <si>
    <t>17 rated projects: 3 HC, 3 C, 7 LC, 4 NC</t>
  </si>
  <si>
    <t xml:space="preserve">gillat.kol@gmail.com      </t>
  </si>
  <si>
    <t xml:space="preserve"> E/V,V,V/G,G</t>
  </si>
  <si>
    <t xml:space="preserve">sharathr@vt.edu      </t>
  </si>
  <si>
    <t xml:space="preserve"> E,E,E,E/V</t>
  </si>
  <si>
    <t xml:space="preserve"> hardt@eecs.berkeley.edu      </t>
  </si>
  <si>
    <t xml:space="preserve">jullman@ccs.neu.edu      </t>
  </si>
  <si>
    <t xml:space="preserve"> V,G,G,G</t>
  </si>
  <si>
    <t xml:space="preserve">pranjal.iitm@gmail.com      </t>
  </si>
  <si>
    <t xml:space="preserve"> E,E/V,V,V/G</t>
  </si>
  <si>
    <t xml:space="preserve">hu.nguyen@neu.edu      </t>
  </si>
  <si>
    <t xml:space="preserve">Benjamin.Raichel@utdallas.edu      </t>
  </si>
  <si>
    <t xml:space="preserve"> E,E  ,V,V</t>
  </si>
  <si>
    <t xml:space="preserve"> E  ,E/V,E/V  ,G</t>
  </si>
  <si>
    <t xml:space="preserve">haeupler@cs.cmu.edu      </t>
  </si>
  <si>
    <t xml:space="preserve"> F</t>
  </si>
  <si>
    <t xml:space="preserve"> G,F,F</t>
  </si>
  <si>
    <t xml:space="preserve">nxie@cs.fiu.edu      </t>
  </si>
  <si>
    <t xml:space="preserve">ecprice@cs.utexas.edu      </t>
  </si>
  <si>
    <t xml:space="preserve"> V,G,G/F,F</t>
  </si>
  <si>
    <t xml:space="preserve">MATTHEW.GIBSON@UTSA.EDU      </t>
  </si>
  <si>
    <t xml:space="preserve">periklis.research@gmail.com      </t>
  </si>
  <si>
    <t xml:space="preserve">gkatz@drexel.edu      </t>
  </si>
  <si>
    <t xml:space="preserve">evouga@cs.utexas.edu      </t>
  </si>
  <si>
    <t xml:space="preserve">nayyeria@eecs.oregonstate.edu      </t>
  </si>
  <si>
    <t xml:space="preserve"> E,G,G,G/F</t>
  </si>
  <si>
    <t xml:space="preserve">maxwelly@outlook.com      </t>
  </si>
  <si>
    <t xml:space="preserve">bhaskara@cs.utah.edu      </t>
  </si>
  <si>
    <t xml:space="preserve">brittany@cs.montana.edu      </t>
  </si>
  <si>
    <t xml:space="preserve"> V,V/G,G,G/F</t>
  </si>
  <si>
    <t xml:space="preserve">nodari@hawaii.edu      </t>
  </si>
  <si>
    <t>CRII Robotics: Reid</t>
  </si>
  <si>
    <t xml:space="preserve"> E/V,E/V,E/V,G</t>
  </si>
  <si>
    <t>15 rated projects: 2 HC, 3 C, 10 LC</t>
  </si>
  <si>
    <t>Computer and Information Science and Engineering (CISE) Research Initiation Initiative</t>
  </si>
  <si>
    <t>Div Of Information &amp; Intelligent Systems</t>
  </si>
  <si>
    <t>Reid Simmons</t>
  </si>
  <si>
    <t xml:space="preserve">ani.majumdar@princeton.edu      </t>
  </si>
  <si>
    <t xml:space="preserve">wtong@georgiasouthern.edu      </t>
  </si>
  <si>
    <t xml:space="preserve"> G/F,F,F,F</t>
  </si>
  <si>
    <t xml:space="preserve">kwang@georgiasouthern.edu      </t>
  </si>
  <si>
    <t xml:space="preserve"> V,V/G,G</t>
  </si>
  <si>
    <t xml:space="preserve">yzhoucs@indiana.edu      </t>
  </si>
  <si>
    <t xml:space="preserve"> E/V,V,V</t>
  </si>
  <si>
    <t xml:space="preserve">jugal@illinois.edu      </t>
  </si>
  <si>
    <t xml:space="preserve"> G,G,G</t>
  </si>
  <si>
    <t xml:space="preserve">hcharkhgard@usf.edu      </t>
  </si>
  <si>
    <t xml:space="preserve"> V,V,V</t>
  </si>
  <si>
    <t xml:space="preserve">Mayank.Goswami@qc.cuny.edu      </t>
  </si>
  <si>
    <t>CRII- Weng-keen</t>
  </si>
  <si>
    <t xml:space="preserve"> V   ,G ,F</t>
  </si>
  <si>
    <t>21 rated projects , 7 C, 14 LC</t>
  </si>
  <si>
    <t xml:space="preserve"> G,G  ,G</t>
  </si>
  <si>
    <t>Weng-keen Wong</t>
  </si>
  <si>
    <t xml:space="preserve">tzhao80@gatech.edu      </t>
  </si>
  <si>
    <t xml:space="preserve"> V,V/G,V/G</t>
  </si>
  <si>
    <t xml:space="preserve">ruoyus@illinois.edu      </t>
  </si>
  <si>
    <t xml:space="preserve"> E/V,G,F</t>
  </si>
  <si>
    <t xml:space="preserve">osan@okstate.edu      </t>
  </si>
  <si>
    <t xml:space="preserve"> V,G,G</t>
  </si>
  <si>
    <t xml:space="preserve">hhvcs@rit.edu      </t>
  </si>
  <si>
    <t xml:space="preserve"> E,E,E/V</t>
  </si>
  <si>
    <t xml:space="preserve">miforbes@illinois.edu      </t>
  </si>
  <si>
    <t xml:space="preserve">adres@asu.edu      </t>
  </si>
  <si>
    <t xml:space="preserve"> V,G,G/F</t>
  </si>
  <si>
    <t xml:space="preserve">shima.hm@tamu.edu      </t>
  </si>
  <si>
    <t xml:space="preserve"> V/G,G,F</t>
  </si>
  <si>
    <t xml:space="preserve">harsha@smu.edu      </t>
  </si>
  <si>
    <t xml:space="preserve">lchen49@central.uh.edu      </t>
  </si>
  <si>
    <t>AF Medium Panel /  Dec 11-12</t>
  </si>
  <si>
    <t xml:space="preserve"> E/V,V,V,F</t>
  </si>
  <si>
    <t>17 rated projects: 2 HC, 6 C, 8 LC, 1 NC</t>
  </si>
  <si>
    <t xml:space="preserve">anupamg@cs.cmu.edu;viswa@umich.edu     </t>
  </si>
  <si>
    <t xml:space="preserve">goodrich@acm.org      </t>
  </si>
  <si>
    <t xml:space="preserve"> E/V,E/V,V,G</t>
  </si>
  <si>
    <t xml:space="preserve">aaroth@cis.upenn.edu;Mallesh.Pai@rice.edu     </t>
  </si>
  <si>
    <t xml:space="preserve">omreing@stanford.edu;salil_vadhan@harvard.edu     </t>
  </si>
  <si>
    <t xml:space="preserve"> E,E/V,E/V,V</t>
  </si>
  <si>
    <t xml:space="preserve">aaroth@cis.upenn.edu;jamesz@stanford.edu;dwork@seas.harvard.edu;ads22@bu.edu   </t>
  </si>
  <si>
    <t xml:space="preserve"> G/F</t>
  </si>
  <si>
    <t xml:space="preserve"> V,V/G ,F</t>
  </si>
  <si>
    <t xml:space="preserve">kamesh@cs.duke.edu;sbanerjee@cornell.edu     </t>
  </si>
  <si>
    <t xml:space="preserve"> V,G,G,F</t>
  </si>
  <si>
    <t xml:space="preserve">atri@buffalo.edu;chrismre@cs.stanford.edu     </t>
  </si>
  <si>
    <t xml:space="preserve">hu.nguyen@neu.edu;minilek@seas.harvard.edu     </t>
  </si>
  <si>
    <t xml:space="preserve"> V,V,F,F</t>
  </si>
  <si>
    <t xml:space="preserve">qcheng@ou.edu;dwan@math.uci.edu;sgao@clemson.edu;rojas@math.tamu.edu   </t>
  </si>
  <si>
    <t xml:space="preserve"> V,V/G ,G</t>
  </si>
  <si>
    <t xml:space="preserve">dgleich@purdue.edu;arb@cs.cornell.edu     </t>
  </si>
  <si>
    <t xml:space="preserve"> G,G,G/F,F</t>
  </si>
  <si>
    <t xml:space="preserve">gchen16@uh.edu;zhange@eecs.oregonstate.edu     </t>
  </si>
  <si>
    <t xml:space="preserve">dwoodruf@andrew.cmu.edu      </t>
  </si>
  <si>
    <t xml:space="preserve">edemaine@mit.edu;hajiagha@cs.umd.edu     </t>
  </si>
  <si>
    <t xml:space="preserve"> E</t>
  </si>
  <si>
    <t xml:space="preserve"> E,E,V</t>
  </si>
  <si>
    <t xml:space="preserve">christos@cs.berkeley.edu      </t>
  </si>
  <si>
    <t xml:space="preserve">nati@ttic.edu;rsalakhu@cs.cmu.edu; hardt@eecs.berkeley.edu    </t>
  </si>
  <si>
    <t xml:space="preserve"> V/G,G,G,G</t>
  </si>
  <si>
    <t>Information and Intelligent Systems (IIS): Core Programs</t>
  </si>
  <si>
    <t xml:space="preserve">mmahoney@icsi.berkeley.edu      </t>
  </si>
  <si>
    <t xml:space="preserve"> G,G/F,G/F,F</t>
  </si>
  <si>
    <t xml:space="preserve">wbwu@galton.uchicago.edu;maggie.cheng@njit.edu     </t>
  </si>
  <si>
    <t xml:space="preserve">Finland; Hungary      </t>
  </si>
  <si>
    <t xml:space="preserve">Czech Republic; Finland; Swaziland     </t>
  </si>
  <si>
    <t xml:space="preserve">France; Germany; Netherlands; United Kingdom    </t>
  </si>
  <si>
    <t xml:space="preserve">Israel; Japan      </t>
  </si>
  <si>
    <t xml:space="preserve">Hong Kong; United Kingdom; Western Europe     </t>
  </si>
  <si>
    <t>Pend</t>
  </si>
  <si>
    <t xml:space="preserve">Czech Republic; France; Italy; Japan    </t>
  </si>
  <si>
    <t xml:space="preserve">Worldwide       </t>
  </si>
  <si>
    <t xml:space="preserve">Sweden       </t>
  </si>
  <si>
    <t xml:space="preserve">India; Taiwan; Worldwide     </t>
  </si>
  <si>
    <t xml:space="preserve">China; France      </t>
  </si>
  <si>
    <t>1749315</t>
  </si>
  <si>
    <t>Yang</t>
  </si>
  <si>
    <t xml:space="preserve"> Panel Summary       
 The goal of this proposal is to develop optimization and learning algorithms that can provably take advantage of and adapt to the local geometric properties of the optimization problem to enjoy faster global convergence and more efficient implementation. Specifically, the PI proposes new optimization and learning algorithms that enjoy strong guarantees under a local relaxation of  strong-convexity, what the PI calls the HEB (Holderian-type error bound) condition. _x000D_
_x000D_
Strengths:_x000D_
-- The technical part is nicely presented with clearly defined goals and possible approaches._x000D_
-- The PI plans to explore applications of these algorithms in real-world, e.g., a collaboration with Alibaba._x000D_
 _x000D_
Weakness:_x000D_
-- While the HEB condition is a nice  natural relaxation of strong convexity, the overall agenda is not sufficiently broad for a CAREER proposal._x000D_
-- PI has already delivered a number of results in the machine learning literature leveraging the HEB condition, so the proposed work is somewhat incremental._x000D_
_x000D_
BROADER IMPACTS:_x000D_
The education and broader impact components are strong; they include outreach to high schools, tutorials and workshops at major conferences._x000D_
_x000D_
Summary:_x000D_
This is a good proposal leveraging a relaxed condition to solve optimization problems. The panelists felt that the proposed work is not sufficiently visionary for a CAREER proposal. _x000D_
_x000D_
PANEL RECOMMENDATION: Justification, including key strengths and critical weaknesses._x000D_
__Highly competitive (HC)_x000D_
__Competitive (C)_x000D_
_X_Low Competitive (LC)_x000D_
__Not Competitive (NC)_x000D_
 _x000D_
The summary was read to the panel and the panel concurred that the summary accurately reflects the panel discussion. 
</t>
  </si>
  <si>
    <t>P180136</t>
  </si>
  <si>
    <t xml:space="preserve"> RI: CAREER/ML: Wong</t>
  </si>
  <si>
    <t xml:space="preserve"> Panel Summary       
  A brief statement of what the proposal is about_x000D_
_x000D_
The PI proposes to research first-order fast convex optimization algorithms that use *local geometry* close to the optimum to achieve faster *global* convergence. This relaxes the strong convexity assumption into a local assumption about the geometry close to the optimum. _x000D_
_x000D_
Intellectual merit_x000D_
_x000D_
--Strengths_x000D_
_x000D_
The approach is very promising as it relaxes the rather strong condition of strong convexity and replaces it by something much more benign. This relaxed condition might be found in much broader function classes than strong convexity. The PI has a very strong track record making a successful execution likely. _x000D_
_x000D_
--Weaknesses_x000D_
_x000D_
The panel felt that the proposed research is not as innovative and that the PI plans to largely continue previous work. Also, the panel remarks that a closer comparison to the work on linear convergence under the PL condition [68] is necessary and some of the statements such as about 1/n^2 type rates in SLT are subject to rather strong assumptions and highly optimistic. More generally, there were concerns voiced about relevance and applicability given the strong assumptions required that are sometimes required. _x000D_
_x000D_
Educational activities, including integration of research and education _x000D_
--Strengths_x000D_
_x000D_
The PI plans to release the algorithm as open source making them available to a larger community._x000D_
_x000D_
--Weaknesses_x000D_
_x000D_
N/A_x000D_
_x000D_
Other broader impacts, including enhancing diversity_x000D_
_x000D_
--Strengths_x000D_
_x000D_
see above. The open source code could also have significant impact beyond the ML/Opt community. _x000D_
_x000D_
--Weaknesses_x000D_
_x000D_
N/A_x000D_
_x000D_
Department support letter_x000D_
_x000D_
present._x000D_
_x000D_
_x000D_
Data management plan_x000D_
_x000D_
appropriate._x000D_
_x000D_
Post-doctoral mentoring plan (if applicable)_x000D_
_x000D_
N/A_x000D_
_x000D_
Collaborations (if applicable)_x000D_
_x000D_
N/A_x000D_
_x000D_
Results of prior NSF research (if applicable)_x000D_
_x000D_
N/A_x000D_
_x000D_
Additional suggestions_x000D_
_x000D_
N/A_x000D_
_x000D_
Panel recommendation and justification, including brief statement of _x000D_
key strengths and/or critical weaknesses_x000D_
_x000D_
The proposed research is a very interesting extension of the PI previous work. The panel felt however that the proposal lacks slightly in innovation and PI missed to discuss important references. _x000D_
_x000D_
Ranking (check one)_x000D_
__  Highly Competitive_x000D_
__  Competitive_x000D_
_X_  Low Competitive_x000D_
__  Not Competitive _x000D_
_x000D_
The summary was read by the panel, and the panel concurred that the summary accurately reflects the panel discussion._x000D_
</t>
  </si>
  <si>
    <t>Proposal ID: IIS - 1749315_x000D_
Title: "CAREER: Locally Adaptive Learning and Optimization with Faster Global Convergence"_x000D_
PI: Tianbao Yang_x000D_
_x000D_
This proposal was reviewed in a Robust Intelligence panel (P180136). This was a panel that took place on Oct 26-27, 2017 and the panel had 19 proposals. The project was discussed and a panel summary was prepared by the panel. The project received reviews from 3 panelists with self-rated expertise 1, 2 and 2 (on a 1-3 scale, with 1 the highest expertise). The reviewers scored the proposal E/V, V and G/F respectively. There was also an ad hoc reviewer who gave the proposal a V. The panel rated the proposal Low Competitive (LC). _x000D_
_x000D_
The status of the conflicts of interest for all panelists is recorded in the Review Record. The panelists declared their conflicts of interest, were not assigned conflicted proposals for review, did not have access to other reviews for the conflicted proposals via the Interactive Panel System, and left the meeting during both the evaluation and when final ranking discussions involving the conflicted proposals took place._x000D_
_x000D_
The Robust Intelligence panel consisted of highly qualified Artificial Intelligence and Machine Learning researchers. _x000D_
_x000D_
Summary_x000D_
This proposal aims to develop new optimization algorithms for learning that can take advantage of the local sharpness of the optimization surface, characterized by the Holderian-type error bound (HEB) condition, with the intent to develop algorithms with faster global convergence, efficient implementation and wider applicability to real-world problems. The specific goals of the PI include:_x000D_
1) Developing novel deterministic, stochastic and online optimization algorithms based on the HEB condition_x000D_
2) Develop new theories of regularized Empirical Risk Minimization for statistical learning_x000D_
3) Applying (1) and (2) to novel applications in machine learning_x000D_
_x000D_
_x000D_
Intellectual Merit_x000D_
_x000D_
There was a general consensus that the central idea of the proposal -- using local sharpness characterized by the HEB -- was a promising direction. The panelists also found the PI's track record to be very strong._x000D_
_x000D_
However, there were two key weaknesses that the panelists pointed out. First, the use of the HEB condition has been previously explored by others and by the PI himself. As such, the proposed work is an extension of the PI's previous research on the topic. Panelists viewed the proposal as not very innovative and incremental. The PI seems to be "turning the crank" on his meta-algorithm to investigate another research direction. Second, all the reviewers wanted the PI to provide more details on the proposed research plan as the PI spends much of the text describing the problem and his past work. Specifically, they wanted the PI to do a better job articulating what challenges were left to overcome and how he would do so._x000D_
_x000D_
One panelist gave a score of E/V. The panel took this panelist's views into account during the discussion. After discussing the proposal, this panelist agreed with the assessment that the proposed work seemed incremental and agreed with the Low Competitive rating._x000D_
_x000D_
Broader Impact_x000D_
Optimization is a large part of machine learning and this proposal would have a far-reaching impact. The HEB condition seems to be more widely applicable than strong convexity. Consequently, the methods from this proposal could potentially lead to new application domains for optimization and learning._x000D_
_x000D_
Educational Plan and Outreach_x000D_
Panelists appreciated the open source release of the algorithm but they felt that the other aspects of the education plan were very standard._x000D_
_x000D_
Budget_x000D_
1.0 month PI summer salary/yr_x000D_
1 grad student at 50% RA and 1 grad student at 25% RA for all years_x000D_
~$2000 domestic travel /yr_x000D_
~$3000 international travel/yr_x000D_
_x000D_
Recommendation_x000D_
This proposal is incremental and needs more details on the proposed research. As such, I recommend declining the proposal in its present form._x000D_
_x000D_
Weng-Keen Wong, Program Director _x000D_
IIS/Robust Intelligence</t>
  </si>
  <si>
    <t>ZP1005922</t>
  </si>
  <si>
    <t>Allen-Zhu</t>
  </si>
  <si>
    <t>zeyuan@csail.mit.edu</t>
  </si>
  <si>
    <t xml:space="preserve">In the context of the five review elements, please _x000D_
evaluate the strengths and weaknesses of the proposal with respect to intellectual merit._x000D_
_x000D_
Intellectual merit._x000D_
_x000D_
1. I view the potential of this project as huge. (STRENGTH)_x000D_
_x000D_
The HEB condition is relatively new notion but is capable of explaining many machine learning tasks that we have not fully understood so far. If enough effort is invested into this project, the resulting bulk of works in 5 years could be a very great mini-textbook covering all aspects of HEB (e.g. in online setting, stochastic setting, etc). This can certainly benefit researchers within and across relevant fields._x000D_
_x000D_
2. Creativity and Originality. (WEAKNESS)_x000D_
_x000D_
Prof. Yang is one of the main authors pushing this new, potentially transformative HEB notion in the past 2 years. However, the techniques for proving convergence theorems under the HEB notion (in his published works + this proposal) have not fully surprised me and may not be considered very "creative"._x000D_
_x000D_
3. The proposal is very well-planed (STRENGTH)_x000D_
_x000D_
Prof. Yang gave quite a number of detailed directions in this proposal and *each* of them, if succeeded, could result in a very descent paper into ICML/NIPS. _x000D_
_x000D_
4. The team is one of the most qualified ones in the world to work on this problem. (STRENGTH)_x000D_
_x000D_
Prof. Yang and his close collaborator Prof. Lin are technically very strong and among the best researchers on mathematical optimization to work on this project. This is why I would also recommend them to not only conduct research in this area, but also write a mini-textbook to benefit others._x000D_
_x000D_
5. Adequate resources available to PI (NO COMMENT)_x000D_
_x000D_
Not much resources are needed besides human resources since this is a mostly-theoretical project. Based on his past collaborations, Prof. Yang has shown access to good students and collaborators._x000D_
_x000D_
In the context of the five review elements, please _x000D_
evaluate the strengths and weaknesses of the proposal with respect to broader impacts._x000D_
_x000D_
Broader Impacts_x000D_
_x000D_
The potential of this project can be potentially big in terms of (Broader Impacts). If executed properly, new algorithms based on this new HEB notion can touch lots of sub-areas of CS and give faster and self-adaptive algorithms. _x000D_
_x000D_
Prof. Yang also has access to researchers (e.g. Rong Jin) in industrial labs, and has demonstrated the ability to transform theory into practice._x000D_
_x000D_
Please evaluate the strengths and _x000D_
weaknesses of the proposal with respect to any additional solicitation-specific review criteria, if _x000D_
applicable_x000D_
_x000D_
Prof. Yang also gave detailed and concrete educational proposals to hit high school students and under-represented people. I am not sure how this is related to the NSF Career grant, but Prof. Yang seems to have put lots of serious thinking into it. This deserves some support from NSF._x000D_
_x000D_
Summary Statement_x000D_
_x000D_
Overall, this proposal is surrounding a new HEB notion (mostly) for convex functions, and regarding promising results (in mathematical optimization) one can potentially prove under HEB. Such results can give new algorithms and explanations to various important tasks in machine learning._x000D_
_x000D_
The main weakness is that the proofs and the final theorems one can potentially show (based on my reading of the proposal) may not be very surprising in the end. It is mostly generalizations (in all different directions) of existing tools. _x000D_
_x000D_
Of course, I cannot rule out the possibility of finding something really surprising in the end: there may be something generalizations that seem trivial, but require very new insights._x000D_
_x000D_
</t>
  </si>
  <si>
    <t xml:space="preserve">In the context of the five review elements, please _x000D_
evaluate the strengths and weaknesses of the proposal with respect to intellectual merit._x000D_
_x000D_
The goal of this proposal is to develop optimization and learning algorithms that can provably take advantage of and adapt to the local geometric properties of the optimization problem to enjoy faster global convergence, wider applications, and efficient implementations. _x000D_
_x000D_
Specifically, the PI proposes new optimization and learning algorithms that enjoy strong guarantees under a certain local relaxation of  strong-convexity, namely the so-called HEB condition  (Holderian-type error bound), which captures the local sharpness of the objective function in Euclidean and non-Euclidean spaces. The PI has already produced preliminary results in this direction and proposes to further deepen that research._x000D_
_x000D_
_x000D_
In the context of the five review elements, please _x000D_
evaluate the strengths and weaknesses of the proposal with respect to broader impacts._x000D_
_x000D_
The education and broader impact components are strong (they include outreach to high schools, tutorials and workshops at major conferences)._x000D_
_x000D_
Please evaluate the strengths and _x000D_
weaknesses of the proposal with respect to any additional solicitation-specific review criteria, if _x000D_
applicable_x000D_
_x000D_
_x000D_
_x000D_
Summary Statement_x000D_
_x000D_
The goal of this proposal is to develop optimization and learning algorithms that can provably take advantage of and adapt to the local geometric properties of the optimization problem._x000D_
_x000D_
Pros_x000D_
-- The technical part is nicely presented with clearly defined goals and possible approaches._x000D_
-- The education&amp;broader impact component is strong (includes outreach to high schools, tutorials and workshops at major conferences)._x000D_
_x000D_
Cons_x000D_
-- The proposed research agenda is somewhat narrow for a CAREER proposal; it is all centered around one single condition, the so-called HEB (Holderian-type error bound), which captures the local sharpness of the objective function in Euclidean and non-Euclidean spaces. _x000D_
_x000D_
_x000D_
</t>
  </si>
  <si>
    <t>YP1005925</t>
  </si>
  <si>
    <t>banerjee42@gmail.com</t>
  </si>
  <si>
    <t xml:space="preserve">In the context of the five review elements, please _x000D_
evaluate the strengths and weaknesses of the proposal with respect to intellectual merit._x000D_
_x000D_
--Strengths_x000D_
_x000D_
+ The PI plans to make systematic advances on the design and analysis of optimization algorithms based on the HEB condition_x000D_
_x000D_
+ In the context of deterministic and stochastic optimization, the PI plans to extend existing methods, such as ADMM, adagrad, SVRG, one pass, to the setting of HEB optimization_x000D_
_x000D_
+ For optimization, the PI plans to explore algorithms which can be efficient without knowing the HEB constants_x000D_
_x000D_
+ The PI plans to extend existing convergence results for ERM to consider functions which satisfy the HEB condition_x000D_
_x000D_
+ The PI has a strong track record on the theme of the proposal and well qualified to carry out the research_x000D_
_x000D_
--Weaknesses_x000D_
_x000D_
- The discussion under 'novel applications' do discuss interesting directions, but lacks details. Similarly, the empirical evaluation plan lacks details._x000D_
_x000D_
- Couple of small details which could have strengthened the presentation:_x000D_
HEB is close to KL condition, which is being actively studied, comparing the work plan with this development will be important;_x000D_
when discussing 1/n^2 type rates in SLT, its important to note that such results are currently achievable under (strong) assumptions about the problem;_x000D_
examples of HEB functions which are not strongly convex and are/can be used in mainstream machine learning will be instructive._x000D_
_x000D_
_x000D_
In the context of the five review elements, please _x000D_
evaluate the strengths and weaknesses of the proposal with respect to broader impacts._x000D_
_x000D_
--Strengths_x000D_
_x000D_
+ The PI has a track record of mentoring high school students and undergrads, and plans on continuing to do so_x000D_
_x000D_
+ The PI has a track record of research dissemination based on tutorials, and plans on continuing to do so_x000D_
_x000D_
_x000D_
--Weaknesses_x000D_
_x000D_
- The plans for educational activities are somewhat standard_x000D_
_x000D_
Please evaluate the strengths and _x000D_
weaknesses of the proposal with respect to any additional solicitation-specific review criteria, if _x000D_
applicable_x000D_
_x000D_
_x000D_
_x000D_
Summary Statement_x000D_
_x000D_
_x000D_
The PI plans to generalize a family of optimization and statistical learning theory results to a broad family of loss functions which satisfy the HEB condition. The research plan looks strong, the PI has a commendable track record and is well qualified to carry out the research._x000D_
_x000D_
_x000D_
</t>
  </si>
  <si>
    <t xml:space="preserve">In the context of the five review elements, please _x000D_
evaluate the strengths and weaknesses of the proposal with respect to intellectual merit._x000D_
_x000D_
The objective of the proposal is to develop intelligent optimization and learning algorithms that can leverage and adapt to the local geometric properties of the optimization problem to enjoy faster global convergence, wider applications and efficient implementation. Overall the objective is certainly interesting and could lead to progress in optimization algorithms. However, most of the proposed research agenda is building upon the so-called HEB (Holderian-type error bound), which captures the local sharpness of the objective function in Euclidean and non-Euclidean spaces -- this condition is certainly more general that local strong convexity and holds for a larger family of functions. The PI has already delivered a number of results using the HEB condition in the past and now proposes to leverage this condition in order to design algorithms for a number of problems in deterministic, stochastic, and online optimization, empirical risk minimization for statistical learning, and also in a number of machine learning and big data problems. Most of the proposed research agenda is theoretical, with a small applied component evaluating the methods in real data._x000D_
_x000D_
The overall agenda does not feel sufficiently broad for a CAREER proposal. The HEB condition is a relaxation of strong convexity that seems to characterize local sharpness, but it is unclear whether it will revolutionize optimization. The PI has already delivered a number of results in the optimization and machine learning literature leveraging this condition, so the proposed work feels a bit incremental. I can see this work resulting in a number of publishable results, but the proposal seems to lack the vision that one would expect from a CAREER proposal._x000D_
_x000D_
In the context of the five review elements, please _x000D_
evaluate the strengths and weaknesses of the proposal with respect to broader impacts._x000D_
_x000D_
The broader impacts of the proposed work are reasonable but not outstanding. I am not convinced that the proposed research will make a strong impact in optimization, especially since a serious evaluation component of the proposed theoretical research is not part of the proposal. The educational component of the proposal is reasonable, but is mostly focused around relatively straight-forward activities that most faculty is involved in. The outreach to high schools is an interesting component of the proposal._x000D_
_x000D_
Please evaluate the strengths and _x000D_
weaknesses of the proposal with respect to any additional solicitation-specific review criteria, if _x000D_
applicable_x000D_
_x000D_
See discussion above._x000D_
_x000D_
Summary Statement_x000D_
_x000D_
A good proposal leveraging a relaxed condition to solve optimization problems. It is not sufficiently visionary for a CAREER proposal. Relatively standard broader impacts._x000D_
_x000D_
</t>
  </si>
  <si>
    <t>UK0919368</t>
  </si>
  <si>
    <t>Feldman</t>
  </si>
  <si>
    <t>vitaly.edu@gmail.com</t>
  </si>
  <si>
    <t xml:space="preserve">In the context of the five review elements, please _x000D_
evaluate the strengths and weaknesses of the proposal with respect to intellectual merit._x000D_
_x000D_
This proposal focuses on designing optimization algorithms that can exploit a certain "sharpness" of the objective function near the optimum. The condition is referred to as HEB and measures the growth of function near the optimum. The PI has showed several algorithms that can exploit this condition. The proposal aims to extend the applications to many different settings in optimization and learning. The proposal also mentions a plethora of related issues (such adaptivity to unknown parameters) that the PI plans to investigate._x000D_
It appears that this condition can often be used as a substitute for strong convexity (which implies the condition with parameter \theta=1/2). Most notably the condition is local and hence substantially weaker. This proposal aims to give algorithms that exploit this condition and also to understand which learning problems give rise to optimization problems satisfying this condition._x000D_
_x000D_
_x000D_
The PI has a strong track record in this area and is well-positioned to pursue the proposed research._x000D_
_x000D_
In the context of the five review elements, please _x000D_
evaluate the strengths and weaknesses of the proposal with respect to broader impacts._x000D_
_x000D_
Broader educational impact is standard and adequate._x000D_
_x000D_
Please evaluate the strengths and _x000D_
weaknesses of the proposal with respect to any additional solicitation-specific review criteria, if _x000D_
applicable_x000D_
_x000D_
_x000D_
_x000D_
Summary Statement_x000D_
_x000D_
I consider this research direction to be fundamental and potentially practically useful. The downside is that the basic idea has already been explored and the main thrust seems relatively incremental. Therefore it seems unlikely to be have substantial additional impact on theory or practice of ML._x000D_
_x000D_
</t>
  </si>
  <si>
    <t xml:space="preserve">In the context of the five review elements, please _x000D_
evaluate the strengths and weaknesses of the proposal with respect to intellectual merit._x000D_
_x000D_
_x000D_
This project seeks to develop intelligent optimization and learning algorithms that can  adapt to the local sharpness of the optimization problem to give faster global convergence, efficient implementation and wider applications.  The main research directions are: _x000D_
_x000D_
(i) develop new optimization algorithms and statistical learning theories with fast convergence adaptive to the local properties of (empirical) risk minimization_x000D_
problems_x000D_
_x000D_
(ii) investigate novel applications in machine learning and big data analytics_x000D_
_x000D_
(iii) develop  software that can be easily employed by non-optimization_x000D_
experts to solve various learning problems_x000D_
_x000D_
_x000D_
Strengths:_x000D_
1. This proposal seeks to develop new locally adaptive optimization algorithms and analysis of locally adaptive learning theories that can improve the state of the art optimization in machine learning. The overarching theme is designing algorithms with convergence adaptive to the local sharpness  of the optimization problem (e.g., the larger the sharpness the faster the convergence)._x000D_
_x000D_
2. The proposal is technically detailed and the PI has done significant prior work and is ideally suited for this research._x000D_
_x000D_
3. Explores applications of these algorithms in real-world, e.g.,  collaboration with Alibaba._x000D_
_x000D_
Weaknesses:_x000D_
_x000D_
1.	The proposal is somewhat dense which makes it difficult to read, especially for a non-expert._x000D_
_x000D_
_x000D_
In the context of the five review elements, please _x000D_
evaluate the strengths and weaknesses of the proposal with respect to broader impacts._x000D_
_x000D_
Strengths:_x000D_
_x000D_
1.  The proposal seeks to improve convergence rate of optimization algorithms in machine learning which can have a lot of applications in various domains. _x000D_
_x000D_
2.	The education plan is strong with various components such as developing courses, mentoring students, outreach activities to high school students and women in CS, and research dissemination._x000D_
_x000D_
Weaknesses:_x000D_
1.  None._x000D_
_x000D_
_x000D_
Please evaluate the strengths and _x000D_
weaknesses of the proposal with respect to any additional solicitation-specific review criteria, if _x000D_
applicable_x000D_
_x000D_
The proposal integrates education and research very well._x000D_
_x000D_
Summary Statement_x000D_
_x000D_
This looks like a strong proposal in machine learning optimization. The PI has lot of background and experience to carry out this research which can have an impact._x000D_
_x000D_
</t>
  </si>
  <si>
    <t>KH0956530</t>
  </si>
  <si>
    <t>Pokutta</t>
  </si>
  <si>
    <t>sebastian.pokutta@isye.gatech.edu</t>
  </si>
  <si>
    <t xml:space="preserve">In the context of the five review elements, please _x000D_
evaluate the strengths and weaknesses of the proposal with respect to intellectual merit._x000D_
_x000D_
The PI proposes to research first-order convex optimization algorithms that use local geometry information to achieve better global convergence. The "local sharpness" to be used for this purpose are H÷lder-type Error Bound conditions (HEB); simplified one might want to think of those as _local_ strong convexity that should help to achieve faster _global_ convergence. The PI then proposes to essentially HEB-ify a wide range of convex optimization methods including deterministic and stochastic variants. The main tool seems to be an iterative restarting technique: run a basic algorithm A for time t_k adjust parameters as a function of the HEB condition and its associated parameter theta_k. The proposal is well-written and outlines the problems of interest reasonably clear. I would have wished for slightly more detail on the research plan and a little less on the state-of-the-art and the PIs previous work. The PI is well-qualified to execute the research and likely to succeed, however at the same time one might wonder to what extent the proposed research is incremental as it basically seems to follow a certain template of (clever) restarts for a wider class of algorithms._x000D_
_x000D_
The IM of proposal can be essentially reduced to the HEB-ification of various optimization methods (and its applications). I believe the approach of going to local sharpness measures and deriving global fast rates is the main component in terms of IM. Overall, I like the proposed approach and the PI has already demonstrated that it works and has produced several top-tier publications from this. _x000D_
_x000D_
At the core of the HEB-ification approach is the restarting technique of Algorithm 1 and it seems to serve as a general template to turn an algorithm not locally adapative yet into one that is. This template has been used by the PI before and while this gives strong indications that the PI will be successful I cannot help but get the impression that now in a next step the PI wants to apply the same template over and over again to other algorithms: deterministic optimization algorithms, stochastic optimization algorithms (such as e.g., AdaGrad and SVRG), online optimization, etc. While potentially producing important results, it might not be as innovative. The evaluation of the actual innovation and novelty compared to the PIs previous work - is it incremental or is the preliminary work merely a preparation for this proposal - is complicated by the fact that the PI spends rather little time on exactly explaining in detail what the proposed research plan is and where the challenges lie. _x000D_
_x000D_
I believe this is a strong proposal with the concern the mentioned above. _x000D_
_x000D_
_x000D_
In the context of the five review elements, please _x000D_
evaluate the strengths and weaknesses of the proposal with respect to broader impacts._x000D_
_x000D_
The BI of the proposal follows the regular pattern of student education and top-tier dissemination of the results. Notable is the planned development of open source tools that might allow a wider audience to benefit from those algorithms. I also believe that the proposed research could bridge the gap between fast methods in the strong convex case and slower methods in the general convex case. This is especially important as more and more real-world problem solving approaches have to solve continous optimization problems at their core and, as pointed out by the PI, the strong convexity assumption can be restrictive here so that a broader applicable class of algorithms is welcomed._x000D_
_x000D_
Please evaluate the strengths and _x000D_
weaknesses of the proposal with respect to any additional solicitation-specific review criteria, if _x000D_
applicable_x000D_
_x000D_
_x000D_
_x000D_
Summary Statement_x000D_
_x000D_
I believe this is a strong proposal with the concern the mentioned above._x000D_
_x000D_
</t>
  </si>
  <si>
    <t xml:space="preserve">In the context of the five review elements, please _x000D_
evaluate the strengths and weaknesses of the proposal with respect to intellectual merit._x000D_
_x000D_
I found it hard to evaluate the intellectual merit of this proposal. I am not an expert on convex optimization, so I do not know how general the proposed problem is. The PI did not spend a lot of time justifying why the class of HEB problems is natural/general/relevant. I also did not understand why this is the key bottleneck that needs to be overcome in this area of research._x000D_
_x000D_
In the context of the five review elements, please _x000D_
evaluate the strengths and weaknesses of the proposal with respect to broader impacts._x000D_
_x000D_
The PI has a strong publication record in Machine learning related conferences. The PI has a track record of good mentorship for high school and undergraduate students. The PI has given many talks and tutorials at various venues._x000D_
_x000D_
_x000D_
Please evaluate the strengths and _x000D_
weaknesses of the proposal with respect to any additional solicitation-specific review criteria, if _x000D_
applicable_x000D_
_x000D_
_x000D_
_x000D_
Summary Statement_x000D_
_x000D_
I will hold my opinion on this one until I hear what other reviewers have to say._x000D_
_x000D_
</t>
  </si>
  <si>
    <t>wwong</t>
  </si>
  <si>
    <t>AF not making an award either</t>
  </si>
  <si>
    <t>This proposal was co-reviewed by AF and RI and both programs gave it a Low Competitive rating. RI will not be making an award and neither will AF.</t>
  </si>
  <si>
    <t>1755679</t>
  </si>
  <si>
    <t>FANG</t>
  </si>
  <si>
    <t>JDONLON</t>
  </si>
  <si>
    <t xml:space="preserve"> Panel Summary       
 Description: The proposal focuses on extending the existing framework of Stackelberg security games to include the prospect of the leader being able to define the game itself by establishing the framework for the later moves. This is an interesting extension existing framework on Stackelberg games and has the potential to have broad impact outside computer science in a number of practical applications. An extremely strong proposal that identifies interesting and important extensions to the exiting use of Stackelberg games to the security domain. The plan is well formed and the PI has a track record of accomplishments in this domain. The broader impacts are well stated and potentially very impactful and the PI has established relationships with many NGOs who will help bring this to fruition. _x000D_
_x000D_
However, the panel was concerned that the main product of this proposal is not theorems and proofs but rather optimization techniques that are not core to AF and hence this proposal is not appropriate for funding from AF._x000D_
_x000D_
Intellectual Merit:_x000D_
_x000D_
Strengths_x000D_
+ Stackelberg games have received a lot of attention in the past decade, and are one of the most successfully applied games in the field of algorithmic game theory. Looking at two-stage games of this type is a natural next step. _x000D_
+ The PI is very qualified since she has worked a lot on standard Stackelberg games; looking at two-stage games is also a natural step for the PI. _x000D_
+ The questions proposed are reasonable for the length of time given. _x000D_
+ It is likely that this project will at least result in some efficient algorithms for specific applications of two-stage games. _x000D_
+ The specific research directions are relatively concrete. _x000D_
+ Quantifying how the game structure affects the quality of equilibrium solutions is a deep and important question, even for relatively simple games._x000D_
+ The relation to prior work should be framed as a strength as this is an extension of the PIs prior work in the area. The PI does a good job of showing how the proposal goes beyond these works. _x000D_
+ The plan is very well formalized and the research streams are related but not in a way that would prevent failure in one of them from bringing down all the others. There is a clear and well designed set of measures to evaluate the research motivated by real world applications. _x000D_
_x000D_
Weaknesses_x000D_
- For other types of games, questions like "design a game structure so that the price of anarchy is small" are known to be intractable. That said, the PI plans to look at specific types of simpler games, so these questions may be tractable for such instances. _x000D_
_x000D_
- It would be nice to see more details on how the PI plans to develop algorithms for optimizing the follower's payoff function. _x000D_
_x000D_
- Most of the proposed work is in optimization and heuristics. For a proposal in CCF, one would expect to see the main products of the research being theorems and proofs, as well as theoretical insights, but these do not seem to be the main emphasis. _x000D_
_x000D_
Broader Impact:_x000D_
_x000D_
Strengths_x000D_
+ Stackelberg games have been applied many times in the real-world. The PI plans to deploy their results and algorithms in real applications, and has collaboration letters. _x000D_
_x000D_
+ There are sufficient resources to execute the proposal. The PI has also established impressive relations with a number of outside parties that will help ensure the success of the research plan. _x000D_
 _x000D_
+ The broader impacts are indeed potentially transformative as they will enable the modeling and solving of a larger class of games that more closely follow the instances that are observed in the real world. _x000D_
_x000D_
+ The PI is involved in mentoring female students, and is involved in mentoring K-12 students. _x000D_
_x000D_
Weaknesses_x000D_
- _x000D_
_x000D_
Solicitation-specific criteria:_x000D_
_x000D_
- Unfortunately, the proposal does not explicitly show how this proposal will help to generate the ideas to propel her career forward, and explain the larger picture (within her research) that it is leading to. It is not hard to guess an outline of what this might be, but details would be very helpful. _x000D_
_x000D_
Data Management Plan:  The data management plan is adequate and the PI has experience deploying software in the real world._x000D_
_x000D_
Collaboration Plan: The PI has done an outstanding job of securing commitments to cooperate from all the stakeholders necessary to carry out the broader impacts proposed in the research plan. _x000D_
_x000D_
What is bold, exciting, high risk/reward, or potentially transformative? This proposal extends the work of the PI in an important direction.  The extension of Stackleberg games to include 2-stage games will increase the scope and applicability of the techniques.  The PI has an excellent track record of broader impacts and working with outside parties._x000D_
_x000D_
Suggestions to PI: There are suggestions above which include fleshing out the specifics of why this fits into a CRII a bit more formally._x000D_
_x000D_
Justification for Panel Rating:  The panel was concerned that the main product of this proposal is not theorems and proofs but rather optimization techniques that are not core to AF.  This proposal mixes in a little bit of theory but the main thrust of the proposal is applications and application specific solutions. Therefore the AF panel did not think that this was appropriate for funding from the program in Algorithmic Foundations. _x000D_
_x000D_
_x000D_
Panel Rating:_x000D_
_ Highly Competitive_x000D_
_ Competitive_x000D_
_ Low Competitive_x000D_
X Not Competitive_x000D_
_x000D_
The summary was read by/to the panel and the panel concurred that the summary accurately reflects the panel discussion._x000D_
</t>
  </si>
  <si>
    <t>P180334</t>
  </si>
  <si>
    <t xml:space="preserve"> CRII HLT and AI</t>
  </si>
  <si>
    <t xml:space="preserve"> Panel Summary       
  The proposal outlines strategy design in a novel two-layered Stackleberg game. The proposed game extends two-layer games and Stackleberg games (leader-follower games). The goal is to design theory for optimizing the leader?s action space, the follower?s payoff function, and combining them. Moreover, the PI plans to deploy the theory in real world applications. _x000D_
_x000D_
_x000D_
INTELLECTUAL MERIT_x000D_
_x000D_
--Strengths_x000D_
- The proposed extension to the game theory for Stackelberg games is interesting and novel and appears to have relevance to security applications._x000D_
- The PI is very well qualified for this task._x000D_
_x000D_
_x000D_
--Weaknesses_x000D_
- The proposal mainly addresses designing theoretical foundations for the proposed game, but there is no detailed outline of the theoretical theorems or a clear path of how those will be achieved. _x000D_
- The proposal does not specify how the proposed theory will be deployed in real world applications, and how those will be evaluated. _x000D_
- One question that remains unclear is why one should use the two-layer Stackleberg games the proposed decision making applications? What is the benefit of using game theory in comparison with other ways to optimize the decision making process (e.g., Markov Decision Processes or Reinforcement Learning)? _x000D_
_x000D_
BROADER IMPACTS, INCLUDING ENHANCING DIVERSITY_x000D_
--Strengths_x000D_
- The PI has a good track record of deploying theoretical foundations to real world applications._x000D_
- The PI actively interacts with K-12 students. _x000D_
_x000D_
--Weaknesses_x000D_
- There is no clear plan how these games will be deployed in real world applications.  _x000D_
_x000D_
_x000D_
ADDITIONAL REVIEW CRITERIA:_x000D_
_x000D_
-- Is the research appropriate for the proposed duration?_x000D_
It appears overly-ambitious for a two-year project to both develop novel theory for two-layer Stackelberg games and demonstrate applicability to real-world problems._x000D_
_x000D_
-- Does the project have potential to produce sufficient preliminary results to serve as the basis for future competitive research proposals?_x000D_
Yes._x000D_
_x000D_
-- Are the activities necessary and critical steps for the PI to achieve research independence?_x000D_
Yes._x000D_
_x000D_
DEPARTMENT SUPPORT LETTER: _x000D_
Strong_x000D_
_x000D_
_x000D_
DATA MANAGEMENT PLAN: _x000D_
The panel expected to see specific procedures for data release that maximize value to the community. _x000D_
_x000D_
POST-DOCTORAL MENTORING PLAN (if applicable): _x000D_
N/A_x000D_
_x000D_
_x000D_
COLLABORATIONS (if applicable): _x000D_
Multiple collaboration letters, but the proposal did not outline the details of the collaboration plan with the respective organizations e.g., WWF. _x000D_
_x000D_
PANEL RECOMMENDATION AND JUSTIFICATION, INCLUDING BRIEF STATEMENT OF KEY STRENGTHS AND/OR CRITICAL WEAKNESSES	_x000D_
_x000D_
The proposal outlines a novel game design, called two-layer Stackleberg games. It introduces the theory and proposes to deploy in real world applications. The proposal does not outline the detailed plan on how to apply these games in real world applications, and the deployment seems overly ambitious for the purpose of this project. Moreover, the proposal does not convince the reviewers why using the proposed game theory would achieve better results compared to other decision making models such as MDPs or Reinforcement learning. _x000D_
_x000D_
_x000D_
Ranking (check one)_x000D_
__ Highly Competitive_x000D_
__ Competitive_x000D_
_x_ Low Competitive_x000D_
__ Not Competitive_x000D_
_x000D_
The summary was read by the panel, and the panel concurred that the summary accurately reflects the panel discussion._x000D_
</t>
  </si>
  <si>
    <t>NATIONAL SCIENCE FOUNDATION _x000D_
Directorate for Computer and Information Science and Engineering (CISE) _x000D_
Division of Information and Intelligent Systems (IIS) _x000D_
_x000D_
Review Analysis Recommendation: DECLINE_x000D_
_x000D_
PROPOSAL: _x000D_
CRII: RI: Strategy Design in Two-Layered Stackelberg Games _x000D_
1755679 FANG, FEI: Carnegie Mellon University_x000D_
_x000D_
Submitted to NSF 17-552: 08/09/17_x000D_
Requested support: $175,000 / 24 mo / Start: 01/01/2018_x000D_
_x000D_
PANELS (2): _x000D_
_x000D_
P180334 CRII HLT and AI: _x000D_
Panel Recc: Low Competitive (14 proj: 3 HC, 1 C, 9 LC, 1 NC)_x000D_
P180209 AF CAREER/CRII Panel B_x000D_
Panel Recc: Not Competitive (rk 9 of 29 proj: 5 HC, 9 C, 11 LC, 4 NC)_x000D_
_x000D_
Reviews: E,V/G,G,G,F_x000D_
_x000D_
_x000D_
PROJECT SUMMARY: _x000D_
This project focuses on a particular class of computational game theory called Stackelberg games, which encode a kind of leader-follower paradigm wherein the terms of the game are pre-established and the game theory is primarily concerned with anticipating the move (e.g., bid, quantity) that will be made by the leader and the reaction move of the follower. This project proposes theory and application related to new extension to this class of games, to allow for scenarios in which the leader defines the terms of the game itself by establishing the framework for the later moves. This is referred to in the proposal as two-layer Stackelberg games._x000D_
_x000D_
ANALYSIS_x000D_
The project was originally submitted to CCF Algorithmic Foundations (AF), but appearing to name RI in the title of the proposal.  CCF confirmed with the PI that it had been misdirected and transferred it to RI for review (correspondence uploaded as a diary note).  However, the AF program agreed that the proposal contains potentially relevant claims in the theoretical computer science elements of algorithmic game theory and agreed to co-review the proposal.  Two panels (AF and RI) considered the reviews of five experts.  The AF panel found the proposal to be "Not Competitive" due to a lack sufficient depth and plans for the theoretical claims.  The RI panel found the proposal to be "Low Competitive" due mainly to a lack of specificity about how this game-theoretic approach would apply to the proposed problems, and a lack of consideration of better-established decision making models that have traditionally been applied to the identified domains, including reinforcement learning (RL) and Markov decision processes (MDP)._x000D_
_x000D_
OUTLYING REVIEW(S)_x000D_
_x000D_
One of the reviewers, Mattei, rated the proposal E, primarily based on his interest in the potential new theoretical direction. The reviewer also praised the proposal's presentation style and expressed confidence in the PI's abilities to perform the research.  However, the overall judgement of both the AF and the RI panels was that the proposal lacked sufficient detail about the needed theoretical work.  Despite this outlying reviewer's interest in the potential application of two-layered Stackelberg games to security, the panels were not satisfied with the proposal's consideration of existing alternative approaches in those domains.  In spite of this reviewer's interest in the new directions, it was clear to each panel that the PI will need to more fully develop the ideas in one or both of the areas of theory and application.  _x000D_
_x000D_
RECOMMENDATION: _x000D_
_x000D_
As Program Director, I evaluated this proposal for funding in light of its intellectual merit and broader impacts relative to the goals of the program, taking into account the reviews and ratings, and the panel discussions/summaries from both panels. This proposal was short on both theoretical claims and on a details providing a convincing plan for application demonstrating RI relevance.  The proposed extension to this area of game theory does potentially apply to security scenarios.  However, the proposal's technical plans failed to convince reviewers of either its applied or theoretical merits.  I recommend that this project be DECLINED. _x000D_
_x000D_
_x000D_
James Donlon, Program Director _x000D_
Robust Intelligence</t>
  </si>
  <si>
    <t>KMINOR</t>
  </si>
  <si>
    <t xml:space="preserve">In the context of the five review elements, please _x000D_
evaluate the strengths and weaknesses of the proposal with respect to intellectual merit._x000D_
_x000D_
The PI intends to study Two-Layered Stackelberg Games. These are games in which the first player (the leader) can choose both the structure of the game (within some limitations) as well as their own strategy, while the second player (the follower) is only able to choose their strategy after the leader does. One can in general reduce these to standard Stackelberg games; the PI is mostly intending to study specific important versions of such games, analyze how changing the game structure changes the outcomes, and develop efficient algorithms for specific applications, as the PI has done in the past for one-stage Stackelberg games._x000D_
_x000D_
Strengths:_x000D_
_x000D_
+ Stackelberg games have received a lot of attention in the past decade, and are one of the most successfully applied games in the field of algorithmic game theory. Looking at two-stage games of this type is a natural next step._x000D_
_x000D_
+ The PI is very qualified since she has worked a lot on standard Stackelberg games; looking at two-stage games is also a natural step for the PI. The questions proposed are reasonable for the length of time given; they may lead to a great research direction, or just end up with some nice papers. It is likely that this project will at least result in some efficient algorithms for specific applications of two-stage games. The specific research directions are relatively concrete._x000D_
_x000D_
+ Quantifying how the game structure affects the quality of equilibrium solutions is a deep and important question, even for relatively simple games._x000D_
_x000D_
Weaknesses:_x000D_
_x000D_
- For other types of games, questions like "design a game structure so that the price of anarchy is small" are known to be intractable. That said, the PI plans to look at specific types of simpler games, so these questions may be tractable for such instances._x000D_
_x000D_
- Although the PI mentions mechanism design, she does not mention the work on bundling and pricing, where the leader (seller) decides which goods to bring to the market, how to bundle them, and how to price them, with the followers (buyers) deciding which goods to buy. This is often done with full knowledge of the buyer information. This is quite similar to the type of questions the PI is asking, although the type of "operational" strategies that a leader has in such a game is quite different from the ones the PI is intending to study._x000D_
_x000D_
- It would be nice to see more details on how the PI plans to develop algorithms for optimizing the follower's payoff function._x000D_
_x000D_
- Most of the proposed work is in optimization and heuristics. For a proposal in CCF, one would expect to see the main products of the research being theorems and proofs, as well as theoretical insights, but these do not seem to be the main emphasis._x000D_
_x000D_
In the context of the five review elements, please _x000D_
evaluate the strengths and weaknesses of the proposal with respect to broader impacts._x000D_
_x000D_
Strengths:_x000D_
_x000D_
+ Stackelberg games have been applied many times in the real-world. The PI plans to deploy their results and algorithms in real applications, and has collaboration letters._x000D_
_x000D_
+ The PI is involved in mentoring female students, and is involved in mentoring K-12 students._x000D_
_x000D_
Please evaluate the strengths and _x000D_
weaknesses of the proposal with respect to any additional solicitation-specific review criteria, if _x000D_
applicable_x000D_
_x000D_
_x000D_
_x000D_
Summary Statement_x000D_
_x000D_
A qualified PI working on an important topic. It would be good to see more details about the possible approaches._x000D_
_x000D_
_x000D_
</t>
  </si>
  <si>
    <t>UB0978446</t>
  </si>
  <si>
    <t>Finlayson</t>
  </si>
  <si>
    <t>markaf@fiu.edu</t>
  </si>
  <si>
    <t xml:space="preserve">In the context of the five review elements, please _x000D_
evaluate the strengths and weaknesses of the proposal with respect to intellectual merit._x000D_
_x000D_
--A brief statement of what the proposal is about:_x000D_
The proposal proposes to study design of two-layered Stackelberg games (2LSGs), namely, a game where one player (the leader) first designs the game and commits to a strategy, followed by the second player(the follower) deciding on a strategy, resulting in a certain payoff. In particular, the work proposed focuses on the game design stage and integrating this into the significant work on the strategy optimization aspects._x000D_
_x000D_
--Strengths:_x000D_
In general the motivation of the work is quite strong. There are clear missing pieces in the study of 2LSGs, and this research proposes to address them. The general approach of splitting the work into three tasks is good._x000D_
_x000D_
--Weaknesses:_x000D_
My main complaint about the proposal is it does not go into any detail about the specific results, in terms of theorems, generalization frameworks, and results, that are expected. This leaves me with only a very abstract idea of what will happen during the project. It is unclear where the focus will be: will the project focus on two-layer SSEs (2LSSEs) only? Or both 2LSSEs specifically and 2LSGs more generally? Relatedly, the proposal says that tools will be built and the results evaluated in applications, but the detailed form of these tools, applications, and evaluations was not specified in any detail._x000D_
_x000D_
Another concern is whether the proposed scope is appropriate for the budget and timeline. The proposal describes support for only part of a single graduate student, and yet there are three overlapping tasks, with multiple subtasks each. The proposal indicates undergraduates will be engaged, but there doesn't seem to be any money to support this. The budget justification is no help in understanding this. How much does a graduate student cost at CMU? What's the tuition? Where will the remainder of the support come from? The budget justification does not provide the expected level of detail for these questions. The budget includes unexplained items, such as $11k for "other direct costs"._x000D_
_x000D_
Finally, there are brief mentions of collaborations with external entities, but the nature and form of these collaboration is not described at all. How will these collaborators be engaged? What are they bringing to the table?_x000D_
_x000D_
In the context of the five review elements, please _x000D_
evaluate the strengths and weaknesses of the proposal with respect to broader impacts._x000D_
_x000D_
--Strengths:_x000D_
The potential applications of 2LSSEs is a strong point for the broader impacts. There are applications in many areas of critical interest, especially conservation and anti-poaching._x000D_
_x000D_
--Weaknesses:_x000D_
Unfortunately, the impressive potential of these applications is undercut by the lack of detail. What will the tools like that the project will create? How will the researcher collaborate with the external partners? While I know who the WWF is, and can infer who WCS is, I don't know who Rimba is, and the collaboration letter from Sunway is unexplained. How will these results be evaluated, specifically? _x000D_
_x000D_
Further, the proposal discusses broadening participation as a potential broader impact, but again does not give any detail or concrete plans, leaving me unconvinced that this will actually happen. The PI claims a history of "many activities" supporting diversity, but this involves mentoring only a single undergraduate female student, and a single lecture at the WECode conference, plus unspecified numerous informal interactions encouraging women to go into CS. I wonder whether it is justified calling such a limited set "many activities."_x000D_
_x000D_
--Adequacy of Data Management Plan_x000D_
The DMP is inadequate. The data and code will be stored on private servers, and public results only on transient laboratory and departmental website, and retention is promised only for 7 years. This is not enough time. Public software repositiores are mentioned, but no specific ones: I assume something like Github? If so, this is also inadquate. Who knows how long they wil be around. Further, the PI proposes to hold the data under lock and key because of its sensitivity, and release it to those who request it, but only if the data does not contain "sensitive informaiton" and only if the requests "do not lead to security concerns". This is vague and unclear. I would have liked to see specific procedures for data release that maximize value to the community. If the data is sensitive, why can't it be deidentified for release? The DMP makes no mention of the tools. _x000D_
_x000D_
--Adequacy of Postdoctoral Mentoring Plan (if applicable)_x000D_
n/a_x000D_
_x000D_
_x000D_
Please evaluate the strengths and _x000D_
weaknesses of the proposal with respect to any additional solicitation-specific review criteria, if _x000D_
applicable_x000D_
_x000D_
--Is the research appropriate for the proposed duration?_x000D_
Perhaps Not. Only part of a graduate student is proposed, and yet there is a lot of work to do._x000D_
_x000D_
--Does the project have potential to produce sufficient preliminary results to serve as the basis for future competitive research proposals?_x000D_
Yes. The project clearly proposes to make an important forward step that will generate a lot of preliminary results on which the PI can build in the future._x000D_
_x000D_
--Are the activities necessary and critical steps for the PI to achieve research independence?_x000D_
Yes. This work is the next logical step to the work done by the PI before._x000D_
_x000D_
--Strength of Department Letter_x000D_
The letter is quite strong, and covers the points of eligibility clearly and in detail._x000D_
_x000D_
Summary Statement_x000D_
_x000D_
--Justification of your rating, including a brief statement of the proposal's key strengths and/or critical weaknesses_x000D_
_x000D_
While the broad motivation and potential impact of the proposal are strong (for both intellectual merit and broader impacts), it lacks enough detail to be convincing. This is so at every step of the proposal: the expected form of intermediate and final results, specific steps that will be taken, what the tools will look like, how the evaluations will be performed, and how the applications will be effected, and how diversity will be encouraged. The collaborations, budget, and match of resources to the scope of work are especially vague._x000D_
_x000D_
</t>
  </si>
  <si>
    <t>SW0997324</t>
  </si>
  <si>
    <t>Hajishirzi</t>
  </si>
  <si>
    <t>hannaneh@cs.washington.edu</t>
  </si>
  <si>
    <t xml:space="preserve">In the context of the five review elements, please _x000D_
evaluate the strengths and weaknesses of the proposal with respect to intellectual merit._x000D_
_x000D_
A brief statement of what the proposal is about:_x000D_
This proposal introduces a new game called two-layered Stackleberg games that extends two-layer games and Stackleberg games. The proposal aims for design models and the theoretical aspects of designing the games through optimizing the leader's action space, the follower's payoff function, and combining these two._x000D_
_x000D_
Strengths: _x000D_
The PI is well qualified for this task. _x000D_
The proposed game model will advance the game theory area by introducing a new game that potentially can be helpful in industry. _x000D_
Weakness: _x000D_
The application domain that the PI is introducing can also be modeled with a reinforcement learning and Markov decision processes framework. How the proposed game theory model is compared with an MDP setup? _x000D_
The deployment methodology and the evaluation strategy for the applications are not so clear. _x000D_
In terms of the theoretical breakthrough, there are no proposals in what theorems or theoretical foundations will be explored._x000D_
_x000D_
In the context of the five review elements, please _x000D_
evaluate the strengths and weaknesses of the proposal with respect to broader impacts._x000D_
_x000D_
Broad impact: _x000D_
--Strengths:_x000D_
- The proposed project if successful could be helpful in real world applications._x000D_
- The PI is very active in mentoring female K-12 students through US computing Olympiad team._x000D_
- The PI is active in supporting diversity in STEM._x000D_
_x000D_
_x000D_
Please evaluate the strengths and _x000D_
weaknesses of the proposal with respect to any additional solicitation-specific review criteria, if _x000D_
applicable_x000D_
_x000D_
Solicitation: _x000D_
Is the research appropriate for the proposed duration?_x000D_
Yes._x000D_
_x000D_
Does the project have potential to produce sufficient preliminary results to serve as the basis for future competitive research proposals?_x000D_
Yes._x000D_
_x000D_
Are the activities necessary and critical steps for the PI to achieve research independence?_x000D_
The activities are necessary. _x000D_
_x000D_
Strength of Department Letter_x000D_
The department letter is strong_x000D_
_x000D_
_x000D_
_x000D_
Summary Statement_x000D_
_x000D_
The proposed project aims for designing a new game strategy that extends two game categories: multi-layered games and Stackelberg games. The proposed model sounds novel, and if successful would be helpful the build the PI's career. The application of the proposed model to real-world applications seems a bit unclear. Also, why real-world applications should use these games compared to other decision making models such as MDPs. _x000D_
_x000D_
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</si>
  <si>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proposal focuses on extending the existing framework of Stackelberg security games to include the prospect of the leader being able to define the game itself by establishing the framework for the later moves.  This is an interesting and important to the existing framework on Stackelberg games and has the potential to have broad impact outside computer science in a number of practical applications._x000D_
_x000D_
2. To what extent do the proposed activities suggest and explore creative, original, or potentially transformative concepts?_x000D_
_x000D_
The proposed activities are a strict generalization of much current research in the area and have the potential to allow for the modeling and solving of new and unique types of games._x000D_
_x000D_
3. Is the plan for carrying out the proposed activities well-reasoned, well-organized, and based on a sound rationale? Does the plan incorporate a mechanism to assess success?_x000D_
_x000D_
The plan is very well formalized and the research streams are related but not in a way that would prevent failure in one of them from bringing down all the others.  There is a clear and well designed set of measure to evaluate the research motivated by real world applications._x000D_
_x000D_
4. How well qualified is the individual, team, or institution to conduct the proposed activities?_x000D_
_x000D_
The PI is very well qualified having published extensively in the are over the last years.  In addition the PI has extensive experience translating research to impact with all of the identified partners._x000D_
_x000D_
5. Are there adequate resources available to the PI (either at the home institution or through collaborations) to carry out the proposed activities?_x000D_
_x000D_
There are sufficient resources to execute the proposal.  The PI has also established impressive relations with a number of outside parties that will help ensure the success of the research plan._x000D_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Stackelberg games have been used extensively in many real world applications over the last decade.  The PI has been involved in these efforts and in bringing the benefits of this research to a number of communities and areas._x000D_
_x000D_
2. To what extent do the proposed activities suggest and explore creative, original, or potentially transformative concepts?_x000D_
_x000D_
The broader impacts are indeed potentially transformative as they will enable the modeling and solving of a larger class of games that more closely follow the instances that are observed in the real world._x000D_
_x000D_
3. Is the plan for carrying out the proposed activities well-reasoned, well-organized, and based on a sound rationale? Does the plan incorporate a mechanism to assess success?_x000D_
_x000D_
There is a clear plan in place to evaluate the success of the project.  There is a well reasoned path to the broader impacts._x000D_
_x000D_
4. How well qualified is the individual, team, or institution to conduct the proposed activities?_x000D_
_x000D_
The PI is very well suited as she has worked with many of the groups necessary to fully realized the broader impacts in the past._x000D_
_x000D_
5. Are there adequate resources available to the PI (either at the home institution or through collaborations) to carry out the proposed activities?_x000D_
_x000D_
The PI has done an outstanding job of securing commitments to cooperate from all the stakeholders necessary to carry out the broader impacts proposed in the research plan._x000D_
_x000D_
Please evaluate the strengths and _x000D_
weaknesses of the proposal with respect to any additional solicitation-specific review criteria, if _x000D_
applicable_x000D_
_x000D_
_x000D_
_x000D_
Summary Statement_x000D_
_x000D_
An extremely strong proposal that identifies interesting and important extensions to the exiting use of Stackelberg games to the security domain.  The plan is well formed and the PI has a track record of accomplishments in this domain.  The broader impacts are well stated and potentially very impactful and the PI has established relationships with many NGOs who will help bring this to fruition._x000D_
_x000D_
_x000D_
</t>
  </si>
  <si>
    <t xml:space="preserve">In the context of the five review elements, please _x000D_
evaluate the strengths and weaknesses of the proposal with respect to intellectual merit._x000D_
_x000D_
The author proposes a program to study 2 stage stackleberg games.  In the first stage the committing agents chooses a game to play (pure-strategy), and in the second the committing agent chooses a strategy, which is then responded to by the second player.  This is mostly motivated by security games, where the first agent first must commit to facility locations, or a set of resources._x000D_
_x000D_
The proposal lays out two attacks: _x000D_
_x000D_
1) restrict the design space of the committer to a) a small support of strategies; b) choosing strategy supports from several disjoint sets; and c) choosing a set of resources.  The latter two of these will first be studied in the security game context.  The goal of this part of the proposal is designing fast algorithms / heuristics for the problem.  Though, it is also proposed to study a) theoretically as well.  _x000D_
_x000D_
2) allows the committer, for some cost, to modify the payments of the other agent.  The goal is to use quadratic programs to study properties of the solutions with the goal of greatly speeding up computation.  _x000D_
_x000D_
The PI also proposes studying the difference between the best and worst choices in the first round in several instances.  I am not sure why this is interesting in worst-case examples; but it might show the power of the approach in real-world settings.  _x000D_
_x000D_
_x000D_
The actives are novel and creative, but not transformative.  The plan is well thought out.  _x000D_
_x000D_
The PI is very well qualified.  She has tons of experience in security games and will be adequately resourced._x000D_
_x000D_
An additional note: the proposal's tone is a little defensive about two prior works in this area.  Instead I see this as a strength, saying the other people also feel this is an interesting area.  The PI does a good job of showing how the proposal goes beyond these works._x000D_
_x000D_
_x000D_
In the context of the five review elements, please _x000D_
evaluate the strengths and weaknesses of the proposal with respect to broader impacts._x000D_
_x000D_
This proposal, if successful with have applications to real security games: affecting security and environmental sustainability, conservation agencies, national security agencies, and law regulators who aim to protect wildlife, forest, fish etc._x000D_
Additionally, the PI has a history of supporting diversity in STEM through a variety of programs: WeCode, Hour of Code, and additional outreach activities. _x000D_
_x000D_
_x000D_
Please evaluate the strengths and _x000D_
weaknesses of the proposal with respect to any additional solicitation-specific review criteria, if _x000D_
applicable_x000D_
_x000D_
Unfortunately, the proposal makes no effort to explicitly show how this proposal will help to generate the ideas to propel her career forward, and explain the larger picture (within her research) that it is leading to.  It is not hard to guess an outline of what this might be, but details would be very helpful._x000D_
_x000D_
Summary Statement_x000D_
_x000D_
The proposal is well-scoped.  It addresses an interesting problem by a leader of the field.  It is well motivated by broader impacts.  Unfortunately, it does not explicitly address how this fits into the PIs longer term research goals._x000D_
_x000D_
Moreover, for an Algorithmic Foundations CRII, the theoretical directions need to be more fleshed out._x000D_
_x000D_
</t>
  </si>
  <si>
    <t>Stackelberg games (also called leader-follower games) have received increasing interest given its wide applications in power control, spectrum management, security and environmental sustainability domains. The structure of the game is critical in determining the outcome of the game. When the leader is capable of designing the game structure before playing the game, the design of the game structure is of the same importance as the choice of strategy to play in the game. For example, the strategic interaction between the rangers and the poachers can be considered as a Stackelberg game. Rangers? daily patrols often start from and end with patrol posts which cannot be moved frequently. Therefore, the locations of the patrol posts determine the action space of the rangers in the game. An unwise selection of locations would lead to a huge disadvantage for the rangers, and they cannot achieve a high payoff even if they use the optimal patrol strategy. Similar challenges exist in various domains ranging from pollution inspection, illegal logging prevention to flight protection, where the leader can design the game structure by either defining the action space or the payoff functions before playing the game. However, existing work on Stackelberg games has mostly focused on analyzing the equilibrium or computing the optimal strategy for the leader given a game structure, ignoring the leader?s capability of designing the game structure. The problem of game structure design coupled with strategy selection is under-explored. Solving the problem is challenging especially when the design space is large as the computation of optimal strategy is often hard by itself and the relation between the game structure and the leader?s optimal strategy is often embedded in a non-convex form.The goal of proposed research is to tackle the problem of strategy design in two-layered Stackelberg games where the leader can first modify the game structure within a given design space in the first layer, and then play the game against the follower by deploying a mixed strategy in the second layer. The central hypothesis of the proposed work is that we can simultaneously optimize the choice of the game structure and the leader's strategy efficiently. The intellectual merit of the proposed research rests in a solution for designing optimal strategies for the leader in two-layered Stackelberg games. Specifically, this proposal will develop(1) a framework to analyze the impact of game structure on the leader's optimal strategy and expected payoff in Stackelberg games,(2) mathematical models for the optimization problem in two-layered Stackelberg games,(3) rigorous analyses of the properties of the leader's optimal strategy,(4) algorithms that can handle a large and even infinite set of choices for the leader in the first layer and compute the leader's optimal or near-optimalstrategies efficiently. The proposed research is part of a larger plan to analyze the equilibrium of general two-layered games where all players can take actions to jointly determine the game structure.By combining the design of the game structure and the computation of equilibrium, the proposed research opens up new challenges and leads to new lines of research. In addition, the proposed research can lead to significant impact in security and environmental sustainability domains. In collaboration with several non-government organizations, we plan to apply the results of the proposed research to wildlife conservation and forest protection domains to improve the efficiency of law enforcement. We plan to not only publish our results in relevant conferences and journals but also to promote the tools resulted from the proposed research among practitioners in the environmental conservation community. The goals of the proposed project are in line with the PI's interests in the computation for social good, i.e., providing computational tools that can deliver benefits to the society now or in the near future. The PI also participates in many activities to promote diversity in STEM and to improve science communication. The PI will encourage engagement of undergraduate student in minority groups in the proposed research by sharing the PI's research experience in cross-cultural environments.</t>
  </si>
  <si>
    <t>CAREER 18</t>
  </si>
  <si>
    <t>1045 7495</t>
  </si>
  <si>
    <t>Tianbao</t>
  </si>
  <si>
    <t>University of Iowa</t>
  </si>
  <si>
    <t>E/V,V,V,V/G,G,G,G/F</t>
  </si>
  <si>
    <t>Pending, PM recommends decline</t>
  </si>
  <si>
    <t>CAREER: Locally Adaptive Learning and Optimization with Faster Global Convergence</t>
  </si>
  <si>
    <t>tianbao-yang@uiowa.edu</t>
  </si>
  <si>
    <t>DECL</t>
  </si>
  <si>
    <t>FEI</t>
  </si>
  <si>
    <t>E,V/G,G,G,F</t>
  </si>
  <si>
    <t>Decline, DDConcurred</t>
  </si>
  <si>
    <t>CRII: RI: Strategy Design in Two-Layered Stackelberg Games</t>
  </si>
  <si>
    <t>feifang@cmu.edu</t>
  </si>
  <si>
    <t>RI: CAREER/ML: Wong</t>
  </si>
  <si>
    <t xml:space="preserve"> E/V,V    ,G/F</t>
  </si>
  <si>
    <t>19 rated projects: 2 HC, 6 C, 10 LC, 1 NC</t>
  </si>
  <si>
    <t xml:space="preserve"> V/G,G,G</t>
  </si>
  <si>
    <t xml:space="preserve">tianbao-yang@uiowa.edu      </t>
  </si>
  <si>
    <t xml:space="preserve"> E,V/G,G</t>
  </si>
  <si>
    <t>CRII HLT and AI</t>
  </si>
  <si>
    <t xml:space="preserve"> G,F</t>
  </si>
  <si>
    <t>14 rated projects: 3 HC, 1 C, 9 LC, 1 NC</t>
  </si>
  <si>
    <t>James Donlon</t>
  </si>
  <si>
    <t xml:space="preserve">feifang@cmu.edu      </t>
  </si>
  <si>
    <t>https://collaboration.inside.nsf.gov/cise/pdonboarding/Shared Documents/RoboRA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</si>
</sst>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4"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28">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quotePrefix="1" applyNumberFormat="1"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1" fillId="0" borderId="0" xfId="0" applyNumberFormat="1" applyFont="1"/>
    <xf numFmtId="0" fontId="30"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31"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2" fillId="0" borderId="0" xfId="0" applyFont="1" applyProtection="1">
      <protection locked="0"/>
    </xf>
    <xf numFmtId="0" fontId="25" fillId="0" borderId="0" xfId="0" applyNumberFormat="1" applyFont="1" applyFill="1" applyAlignment="1" applyProtection="1">
      <alignment horizontal="left" vertical="center"/>
    </xf>
    <xf numFmtId="0" fontId="19" fillId="0" borderId="0" xfId="0" applyFont="1" applyAlignment="1">
      <alignment vertical="top"/>
    </xf>
    <xf numFmtId="0" fontId="0" fillId="0" borderId="0" xfId="0" applyNumberFormat="1" applyAlignment="1">
      <alignment wrapText="1"/>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0" fontId="24" fillId="3" borderId="0" xfId="0" applyFont="1" applyFill="1" applyAlignment="1">
      <alignment horizontal="center" vertical="center"/>
    </xf>
  </cellXfs>
  <cellStyles count="6">
    <cellStyle name="Currency" xfId="2" builtinId="4"/>
    <cellStyle name="Hyperlink" xfId="1" builtinId="8"/>
    <cellStyle name="Normal" xfId="0" builtinId="0"/>
    <cellStyle name="Percent" xfId="5" builtinId="5"/>
    <cellStyle name="Subtotal" xfId="4"/>
    <cellStyle name="Subtotal Label" xfId="3"/>
  </cellStyles>
  <dxfs count="294">
    <dxf>
      <fill>
        <patternFill>
          <fgColor indexed="64"/>
          <bgColor rgb="FFFBC3AF" tint="0.54997405926694543"/>
        </patternFill>
      </fill>
    </dxf>
    <dxf>
      <border>
        <top style="thin">
          <color auto="1"/>
        </top>
      </border>
    </dxf>
    <dxf>
      <fill>
        <patternFill>
          <fgColor indexed="64"/>
          <bgColor rgb="FFEBF5CD"/>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numFmt numFmtId="0" formatCode="General"/>
    </dxf>
    <dxf>
      <numFmt numFmtId="0" formatCode="General"/>
    </dxf>
    <dxf>
      <numFmt numFmtId="27" formatCode="m/d/yyyy\ h:mm"/>
    </dxf>
    <dxf>
      <numFmt numFmtId="165" formatCode="mm/dd/yy;@"/>
    </dxf>
    <dxf>
      <numFmt numFmtId="165" formatCode="mm/dd/yy;@"/>
    </dxf>
    <dxf>
      <fill>
        <patternFill>
          <bgColor rgb="FFFEEFE2"/>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fill>
        <patternFill>
          <fgColor indexed="64"/>
          <bgColor rgb="FFFBC3AF" tint="0.54997405926694543"/>
        </patternFill>
      </fill>
    </dxf>
    <dxf>
      <fill>
        <patternFill>
          <fgColor indexed="64"/>
          <bgColor rgb="FFEBF5CD"/>
        </patternFill>
      </fill>
    </dxf>
    <dxf>
      <border>
        <top style="thin">
          <color auto="1"/>
        </top>
      </border>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strike val="0"/>
        <color theme="0" tint="-0.34998626667073579"/>
      </font>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numFmt numFmtId="166" formatCode="_(&quot;$&quot;* #,##0_);_(&quot;$&quot;* \(#,##0\);_(&quot;$&quot;* &quot;-&quot;??_);_(@_)"/>
    </dxf>
    <dxf>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ill>
        <patternFill>
          <bgColor theme="6"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outline val="0"/>
        <shadow val="0"/>
        <u val="none"/>
        <vertAlign val="baseline"/>
        <sz val="11"/>
        <color auto="1"/>
        <name val="Calibri"/>
        <scheme val="none"/>
      </font>
    </dxf>
    <dxf>
      <border>
        <top style="thin">
          <color auto="1"/>
        </top>
        <bottom style="thin">
          <color auto="1"/>
        </bottom>
        <vertical/>
        <horizontal/>
      </border>
    </dxf>
    <dxf>
      <fill>
        <patternFill>
          <bgColor rgb="FFFFFCF3"/>
        </patternFill>
      </fill>
    </dxf>
    <dxf>
      <fill>
        <patternFill>
          <bgColor rgb="FFFCF1C8"/>
        </patternFill>
      </fill>
    </dxf>
    <dxf>
      <numFmt numFmtId="27" formatCode="m/d/yyyy\ h:mm"/>
    </dxf>
    <dxf>
      <numFmt numFmtId="0" formatCode="General"/>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family val="2"/>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93"/>
      <tableStyleElement type="headerRow" dxfId="292"/>
      <tableStyleElement type="totalRow" dxfId="291"/>
      <tableStyleElement type="firstRowStripe" dxfId="290"/>
    </tableStyle>
    <tableStyle name="OmitTableStyle" pivot="0" count="6">
      <tableStyleElement type="wholeTable" dxfId="289"/>
      <tableStyleElement type="headerRow" dxfId="288"/>
      <tableStyleElement type="totalRow" dxfId="287"/>
      <tableStyleElement type="firstColumn" dxfId="286"/>
      <tableStyleElement type="lastColumn" dxfId="285"/>
      <tableStyleElement type="firstRowStripe" dxfId="284"/>
    </tableStyle>
    <tableStyle name="TableFall" pivot="0" count="4">
      <tableStyleElement type="wholeTable" dxfId="283"/>
      <tableStyleElement type="headerRow" dxfId="282"/>
      <tableStyleElement type="totalRow" dxfId="281"/>
      <tableStyleElement type="firstRowStripe" dxfId="280"/>
    </tableStyle>
    <tableStyle name="TableStyleMedium3 2" pivot="0" count="7">
      <tableStyleElement type="wholeTable" dxfId="279"/>
      <tableStyleElement type="headerRow" dxfId="278"/>
      <tableStyleElement type="totalRow" dxfId="277"/>
      <tableStyleElement type="firstColumn" dxfId="276"/>
      <tableStyleElement type="lastColumn" dxfId="275"/>
      <tableStyleElement type="firstRowStripe" dxfId="274"/>
      <tableStyleElement type="firstColumnStripe" dxfId="273"/>
    </tableStyle>
    <tableStyle name="TableStyleMedium7 2" pivot="0" count="7">
      <tableStyleElement type="wholeTable" dxfId="272"/>
      <tableStyleElement type="headerRow" dxfId="271"/>
      <tableStyleElement type="totalRow" dxfId="270"/>
      <tableStyleElement type="firstColumn" dxfId="269"/>
      <tableStyleElement type="lastColumn" dxfId="268"/>
      <tableStyleElement type="firstRowStripe" dxfId="267"/>
      <tableStyleElement type="firstColumnStripe" dxfId="266"/>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5" dropStyle="combo" dx="35" fmlaLink="HiddenSettings!$E$6" fmlaRange="HiddenSettings!$D$7:$D$11" sel="2"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5" dropStyle="combo" dx="35" fmlaLink="HiddenSettings!$E$6" fmlaRange="HiddenSettings!$D$7:$D$11" sel="2"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1" Type="http://schemas.openxmlformats.org/officeDocument/2006/relationships/hyperlink" Target="#RoboRA!A1"/></Relationships>
</file>

<file path=xl/drawings/_rels/drawing7.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8.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9.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201386</xdr:colOff>
          <xdr:row>5</xdr:row>
          <xdr:rowOff>21771</xdr:rowOff>
        </xdr:from>
        <xdr:to>
          <xdr:col>5</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7</xdr:row>
          <xdr:rowOff>59871</xdr:rowOff>
        </xdr:from>
        <xdr:to>
          <xdr:col>5</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editAs="absolute">
    <xdr:from>
      <xdr:col>7</xdr:col>
      <xdr:colOff>289832</xdr:colOff>
      <xdr:row>0</xdr:row>
      <xdr:rowOff>0</xdr:rowOff>
    </xdr:from>
    <xdr:to>
      <xdr:col>10</xdr:col>
      <xdr:colOff>370691</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3882118" y="0"/>
          <a:ext cx="2383187"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11</xdr:col>
          <xdr:colOff>179614</xdr:colOff>
          <xdr:row>3</xdr:row>
          <xdr:rowOff>179614</xdr:rowOff>
        </xdr:from>
        <xdr:to>
          <xdr:col>12</xdr:col>
          <xdr:colOff>1649186</xdr:colOff>
          <xdr:row>4</xdr:row>
          <xdr:rowOff>201386</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4</xdr:row>
          <xdr:rowOff>174171</xdr:rowOff>
        </xdr:from>
        <xdr:to>
          <xdr:col>13</xdr:col>
          <xdr:colOff>38100</xdr:colOff>
          <xdr:row>5</xdr:row>
          <xdr:rowOff>136071</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5</xdr:row>
          <xdr:rowOff>136071</xdr:rowOff>
        </xdr:from>
        <xdr:to>
          <xdr:col>13</xdr:col>
          <xdr:colOff>141514</xdr:colOff>
          <xdr:row>6</xdr:row>
          <xdr:rowOff>65314</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6</xdr:row>
          <xdr:rowOff>59871</xdr:rowOff>
        </xdr:from>
        <xdr:to>
          <xdr:col>13</xdr:col>
          <xdr:colOff>38100</xdr:colOff>
          <xdr:row>7</xdr:row>
          <xdr:rowOff>21771</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174171</xdr:colOff>
          <xdr:row>2</xdr:row>
          <xdr:rowOff>87086</xdr:rowOff>
        </xdr:from>
        <xdr:to>
          <xdr:col>13</xdr:col>
          <xdr:colOff>0</xdr:colOff>
          <xdr:row>3</xdr:row>
          <xdr:rowOff>65314</xdr:rowOff>
        </xdr:to>
        <xdr:sp macro="" textlink="">
          <xdr:nvSpPr>
            <xdr:cNvPr id="16400" name="cbConfirmActions"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6</xdr:row>
          <xdr:rowOff>38100</xdr:rowOff>
        </xdr:from>
        <xdr:to>
          <xdr:col>5</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1</xdr:row>
          <xdr:rowOff>141514</xdr:rowOff>
        </xdr:from>
        <xdr:to>
          <xdr:col>13</xdr:col>
          <xdr:colOff>163286</xdr:colOff>
          <xdr:row>2</xdr:row>
          <xdr:rowOff>103414</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4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65314</xdr:rowOff>
        </xdr:from>
        <xdr:to>
          <xdr:col>16</xdr:col>
          <xdr:colOff>898071</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5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288471</xdr:colOff>
          <xdr:row>5</xdr:row>
          <xdr:rowOff>59871</xdr:rowOff>
        </xdr:from>
        <xdr:to>
          <xdr:col>8</xdr:col>
          <xdr:colOff>152400</xdr:colOff>
          <xdr:row>6</xdr:row>
          <xdr:rowOff>10886</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7</xdr:row>
          <xdr:rowOff>38100</xdr:rowOff>
        </xdr:from>
        <xdr:to>
          <xdr:col>8</xdr:col>
          <xdr:colOff>163286</xdr:colOff>
          <xdr:row>7</xdr:row>
          <xdr:rowOff>201386</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xdr:twoCellAnchor editAs="absolute">
    <xdr:from>
      <xdr:col>4</xdr:col>
      <xdr:colOff>954141</xdr:colOff>
      <xdr:row>0</xdr:row>
      <xdr:rowOff>0</xdr:rowOff>
    </xdr:from>
    <xdr:to>
      <xdr:col>7</xdr:col>
      <xdr:colOff>251733</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600-000008000000}"/>
            </a:ext>
          </a:extLst>
        </xdr:cNvPr>
        <xdr:cNvGrpSpPr>
          <a:grpSpLocks noChangeAspect="1"/>
        </xdr:cNvGrpSpPr>
      </xdr:nvGrpSpPr>
      <xdr:grpSpPr>
        <a:xfrm>
          <a:off x="3359884" y="0"/>
          <a:ext cx="2182306" cy="1665514"/>
          <a:chOff x="3257550" y="0"/>
          <a:chExt cx="2553319" cy="2054967"/>
        </a:xfrm>
      </xdr:grpSpPr>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600-00000A000000}"/>
              </a:ext>
            </a:extLst>
          </xdr:cNvPr>
          <xdr:cNvSpPr/>
        </xdr:nvSpPr>
        <xdr:spPr>
          <a:xfrm>
            <a:off x="3377633"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508472</xdr:colOff>
      <xdr:row>24</xdr:row>
      <xdr:rowOff>46421</xdr:rowOff>
    </xdr:from>
    <xdr:to>
      <xdr:col>5</xdr:col>
      <xdr:colOff>188150</xdr:colOff>
      <xdr:row>27</xdr:row>
      <xdr:rowOff>71302</xdr:rowOff>
    </xdr:to>
    <xdr:pic macro="[0]!ClearQueryParams">
      <xdr:nvPicPr>
        <xdr:cNvPr id="16" name="Picture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2</xdr:col>
      <xdr:colOff>615834</xdr:colOff>
      <xdr:row>24</xdr:row>
      <xdr:rowOff>748</xdr:rowOff>
    </xdr:from>
    <xdr:to>
      <xdr:col>4</xdr:col>
      <xdr:colOff>302341</xdr:colOff>
      <xdr:row>28</xdr:row>
      <xdr:rowOff>108342</xdr:rowOff>
    </xdr:to>
    <xdr:pic macro="[0]!RefreshFromBlock">
      <xdr:nvPicPr>
        <xdr:cNvPr id="18" name="Pictur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50620" y="5574234"/>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217714</xdr:colOff>
          <xdr:row>22</xdr:row>
          <xdr:rowOff>10886</xdr:rowOff>
        </xdr:from>
        <xdr:to>
          <xdr:col>6</xdr:col>
          <xdr:colOff>255814</xdr:colOff>
          <xdr:row>23</xdr:row>
          <xdr:rowOff>10886</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6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97971</xdr:colOff>
          <xdr:row>4</xdr:row>
          <xdr:rowOff>201386</xdr:rowOff>
        </xdr:from>
        <xdr:to>
          <xdr:col>3</xdr:col>
          <xdr:colOff>163286</xdr:colOff>
          <xdr:row>6</xdr:row>
          <xdr:rowOff>21771</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600-00002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7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7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7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8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82.475538194441" createdVersion="6" refreshedVersion="6" minRefreshableVersion="3" recordCount="22">
  <cacheSource type="worksheet">
    <worksheetSource name="RADataTable"/>
  </cacheSource>
  <cacheFields count="133">
    <cacheField name="dd_rcom_date" numFmtId="165">
      <sharedItems containsNonDate="0" containsDate="1" containsString="0" containsBlank="1" minDate="2000-01-01T00:00:00" maxDate="2000-01-02T00:00:00"/>
    </cacheField>
    <cacheField name="nsf_rcvd_date" numFmtId="168">
      <sharedItems containsSemiMixedTypes="0" containsNonDate="0" containsDate="1" containsString="0" minDate="2000-01-01T00:00:00" maxDate="2017-10-02T16:59: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NonDate="0" containsDate="1" containsString="0" containsBlank="1" minDate="2000-01-01T00:00:00" maxDate="2000-01-02T00:00:00"/>
    </cacheField>
    <cacheField name="nPanl" numFmtId="0">
      <sharedItems containsSemiMixedTypes="0" containsString="0" containsNumber="1" containsInteger="1" minValue="0" maxValue="2"/>
    </cacheField>
    <cacheField name="RecRkMin" numFmtId="2">
      <sharedItems containsSemiMixedTypes="0" containsString="0" containsNumber="1" minValue="-0.99999998999999995" maxValue="4"/>
    </cacheField>
    <cacheField name="rec0" numFmtId="0">
      <sharedItems/>
    </cacheField>
    <cacheField name="rec1" numFmtId="0">
      <sharedItems containsBlank="1"/>
    </cacheField>
    <cacheField name="rec2" numFmtId="0">
      <sharedItems containsBlank="1"/>
    </cacheField>
    <cacheField name="RAtemplate" numFmtId="49">
      <sharedItems containsBlank="1" count="10">
        <s v="zztemplateFname RAt.docx"/>
        <s v=" "/>
        <s v="Awd RAt.docm"/>
        <s v="Decline RAt.docm"/>
        <m/>
        <s v="Std Decline RAt.docm"/>
        <s v="Awd RAt.docx" u="1"/>
        <s v="templateFilename_RAt.docx" u="1"/>
        <s v="Std Decline RAt.docx" u="1"/>
        <s v="Decline RAt.docx" u="1"/>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8"/>
    </cacheField>
    <cacheField name="Nunmkd" numFmtId="0">
      <sharedItems containsString="0" containsBlank="1" containsNumber="1" containsInteger="1" minValue="0" maxValue="8"/>
    </cacheField>
    <cacheField name="Nunrlsbl" numFmtId="0">
      <sharedItems containsString="0" containsBlank="1" containsNumber="1" containsInteger="1" minValue="0" maxValue="0"/>
    </cacheField>
    <cacheField name="divergentReviews" numFmtId="0">
      <sharedItems/>
    </cacheField>
    <cacheField name="minScore" numFmtId="0">
      <sharedItems containsSemiMixedTypes="0" containsString="0" containsNumber="1" containsInteger="1" minValue="1" maxValue="8"/>
    </cacheField>
    <cacheField name="avg_score" numFmtId="2">
      <sharedItems containsSemiMixedTypes="0" containsString="0" containsNumber="1" minValue="4.5" maxValue="8.5"/>
    </cacheField>
    <cacheField name="maxScore" numFmtId="0">
      <sharedItems containsSemiMixedTypes="0" containsString="0" containsNumber="1" containsInteger="1" minValue="5" maxValue="9"/>
    </cacheField>
    <cacheField name="allReviews" numFmtId="0">
      <sharedItems/>
    </cacheField>
    <cacheField name="last_rev_date" numFmtId="165">
      <sharedItems containsSemiMixedTypes="0" containsNonDate="0" containsDate="1" containsString="0" minDate="2000-01-01T00:00:00" maxDate="2017-12-10T23:21:00"/>
    </cacheField>
    <cacheField name="rqst_tot" numFmtId="166">
      <sharedItems containsSemiMixedTypes="0" containsString="0" containsNumber="1" containsInteger="1" minValue="839097" maxValue="99999999"/>
    </cacheField>
    <cacheField name="budg_tot" numFmtId="166">
      <sharedItems containsSemiMixedTypes="0" containsString="0" containsNumber="1" containsInteger="1" minValue="839097"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2000-01-01T00:00:00" maxDate="2018-09-02T00:00:00"/>
    </cacheField>
    <cacheField name="rqst_mnth_cnt" numFmtId="0">
      <sharedItems containsSemiMixedTypes="0" containsString="0" containsNumber="1" containsInteger="1" minValue="36" maxValue="48"/>
    </cacheField>
    <cacheField name="prop_titl_txt" numFmtId="0">
      <sharedItems/>
    </cacheField>
    <cacheField name="AhNrev" numFmtId="0">
      <sharedItems containsString="0" containsBlank="1" containsNumber="1" containsInteger="1" minValue="0" maxValue="1"/>
    </cacheField>
    <cacheField name="AhRevs" numFmtId="0">
      <sharedItems containsBlank="1"/>
    </cacheField>
    <cacheField name="AhLast" numFmtId="165">
      <sharedItems containsNonDate="0" containsDate="1" containsString="0" containsBlank="1" minDate="2000-01-01T00:00:00" maxDate="2017-12-06T00:26:00"/>
    </cacheField>
    <cacheField name="panl_id0" numFmtId="0">
      <sharedItems/>
    </cacheField>
    <cacheField name="RCOM_TXT0" numFmtId="0">
      <sharedItems/>
    </cacheField>
    <cacheField name="rank0" numFmtId="0">
      <sharedItems containsString="0" containsBlank="1" containsNumber="1" containsInteger="1" minValue="1" maxValue="99"/>
    </cacheField>
    <cacheField name="panl_name0" numFmtId="0">
      <sharedItems/>
    </cacheField>
    <cacheField name="panl_end0" numFmtId="165">
      <sharedItems containsSemiMixedTypes="0" containsNonDate="0" containsDate="1" containsString="0" minDate="2000-01-01T00:00:00" maxDate="2017-12-09T00:00:00"/>
    </cacheField>
    <cacheField name="revs0" numFmtId="0">
      <sharedItems/>
    </cacheField>
    <cacheField name="PanlString0" numFmtId="0">
      <sharedItems/>
    </cacheField>
    <cacheField name="pnlst0" numFmtId="0">
      <sharedItems containsSemiMixedTypes="0" containsString="0" containsNumber="1" containsInteger="1" minValue="0" maxValue="10"/>
    </cacheField>
    <cacheField name="confl0" numFmtId="0">
      <sharedItems containsString="0" containsBlank="1" containsNumber="1" containsInteger="1" minValue="0" maxValue="4"/>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17-12-15T00:00:00"/>
    </cacheField>
    <cacheField name="revs1" numFmtId="0">
      <sharedItems containsBlank="1"/>
    </cacheField>
    <cacheField name="PanlString1" numFmtId="0">
      <sharedItems containsBlank="1"/>
    </cacheField>
    <cacheField name="pnlst1" numFmtId="0">
      <sharedItems containsString="0" containsBlank="1" containsNumber="1" containsInteger="1" minValue="0" maxValue="9"/>
    </cacheField>
    <cacheField name="confl1" numFmtId="0">
      <sharedItems containsString="0" containsBlank="1" containsNumber="1" containsInteger="1" minValue="0" maxValue="1"/>
    </cacheField>
    <cacheField name="panl_id2" numFmtId="0">
      <sharedItems containsBlank="1"/>
    </cacheField>
    <cacheField name="RCOM_TXT2" numFmtId="0">
      <sharedItems containsBlank="1"/>
    </cacheField>
    <cacheField name="rank2" numFmtId="0">
      <sharedItems containsString="0" containsBlank="1" containsNumber="1" containsInteger="1" minValue="99" maxValue="99"/>
    </cacheField>
    <cacheField name="panl_name2" numFmtId="0">
      <sharedItems containsBlank="1"/>
    </cacheField>
    <cacheField name="panl_end2" numFmtId="165">
      <sharedItems containsNonDate="0" containsDate="1" containsString="0" containsBlank="1" minDate="2000-01-01T00:00:00" maxDate="2000-01-02T00:00:00"/>
    </cacheField>
    <cacheField name="revs2" numFmtId="0">
      <sharedItems containsBlank="1"/>
    </cacheField>
    <cacheField name="PanlString2" numFmtId="0">
      <sharedItems containsBlank="1"/>
    </cacheField>
    <cacheField name="pnlst2" numFmtId="0">
      <sharedItems containsString="0" containsBlank="1" containsNumber="1" containsInteger="1" minValue="0" maxValue="0"/>
    </cacheField>
    <cacheField name="confl2" numFmtId="0">
      <sharedItems containsString="0" containsBlank="1"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397158" maxValue="99999999"/>
    </cacheField>
    <cacheField name="b0tot" numFmtId="166">
      <sharedItems containsSemiMixedTypes="0" containsString="0" containsNumber="1" containsInteger="1" minValue="397158" maxValue="99999999"/>
    </cacheField>
    <cacheField name="PRC0" numFmtId="0">
      <sharedItems containsBlank="1"/>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150000" maxValue="99999999"/>
    </cacheField>
    <cacheField name="b1tot" numFmtId="166">
      <sharedItems containsString="0" containsBlank="1" containsNumber="1" containsInteger="1" minValue="150000"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386998" maxValue="99999999"/>
    </cacheField>
    <cacheField name="b2tot" numFmtId="166">
      <sharedItems containsString="0" containsBlank="1" containsNumber="1" containsInteger="1" minValue="386998"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99999999" maxValue="99999999"/>
    </cacheField>
    <cacheField name="b3tot" numFmtId="166">
      <sharedItems containsString="0" containsBlank="1" containsNumber="1" containsInteger="1" minValue="99999999"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99999999" maxValue="99999999"/>
    </cacheField>
    <cacheField name="b4tot" numFmtId="166">
      <sharedItems containsString="0" containsBlank="1" containsNumber="1" containsInteger="1" minValue="99999999"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7-12-13T11:19:13"/>
    </cacheField>
    <cacheField name="email" numFmtId="0">
      <sharedItems/>
    </cacheField>
    <cacheField name="allPIemail"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84.327890277775" createdVersion="6" refreshedVersion="6" minRefreshableVersion="3" recordCount="1">
  <cacheSource type="worksheet">
    <worksheetSource name="ckSplits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Blank="1" count="7">
        <m/>
        <s v="8078" u="1"/>
        <s v="1139" u="1"/>
        <s v="7796" u="1"/>
        <s v="1253" u="1"/>
        <s v="9150" u="1"/>
        <s v="041Y" u="1"/>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ntainsNumber="1" containsInteger="1" minValue="2015" maxValue="2021" count="7">
        <m/>
        <n v="2018" u="1"/>
        <n v="2019" u="1"/>
        <n v="2015" u="1"/>
        <n v="2020" u="1"/>
        <n v="2021" u="1"/>
        <n v="2017" u="1"/>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Blank="1" count="24">
        <m/>
        <s v="1740776" u="1"/>
        <s v="1652257" u="1"/>
        <s v="1740796" u="1"/>
        <s v="1757781" u="1"/>
        <s v="1651838" u="1"/>
        <s v="1740822" u="1"/>
        <s v="1740850" u="1"/>
        <s v="1652303" u="1"/>
        <s v="1740833" u="1"/>
        <s v="1652491" u="1"/>
        <s v="1740741" u="1"/>
        <s v="1740751" u="1"/>
        <s v="1740761" u="1"/>
        <s v="1740855" u="1"/>
        <s v="1740762" u="1"/>
        <s v="1740707" u="1"/>
        <s v="1740735" u="1"/>
        <s v="1740858" u="1"/>
        <s v="1652862" u="1"/>
        <s v="1735569" u="1"/>
        <s v="1651861" u="1"/>
        <s v="1652218" u="1"/>
        <s v="1740551" u="1"/>
      </sharedItems>
    </cacheField>
    <cacheField name="pi_last_name" numFmtId="22">
      <sharedItems containsNonDate="0" containsBlank="1" count="23">
        <m/>
        <s v="Wright" u="1"/>
        <s v="Peikert" u="1"/>
        <s v="Scheinberg" u="1"/>
        <s v="Indyk" u="1"/>
        <s v="Weinberger" u="1"/>
        <s v="Yuan" u="1"/>
        <s v="Braverman" u="1"/>
        <s v="Dey" u="1"/>
        <s v="Orabona" u="1"/>
        <s v="Diakonikolas" u="1"/>
        <s v="Vijayaraghavan" u="1"/>
        <s v="Sheehy" u="1"/>
        <s v="Rothvoss" u="1"/>
        <s v="Liu" u="1"/>
        <s v="Mahoney" u="1"/>
        <s v="Saha" u="1"/>
        <s v="Brock" u="1"/>
        <s v="Kakade" u="1"/>
        <s v="Zhang" u="1"/>
        <s v="Getoor" u="1"/>
        <s v="Williams" u="1"/>
        <s v="Huo" u="1"/>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2">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r>
  <r>
    <m/>
    <d v="2017-09-20T16:38:00"/>
    <s v="NSF 17-571"/>
    <s v="05010000"/>
    <s v="7798"/>
    <s v="NEW"/>
    <s v="PEND"/>
    <s v="4110"/>
    <s v="FY18MEDCTX"/>
    <s v="NAMLA"/>
    <m/>
    <n v="1"/>
    <n v="1.01"/>
    <s v="HC"/>
    <m/>
    <m/>
    <x v="1"/>
    <s v="RA 1762299 Dillig"/>
    <m/>
    <m/>
    <s v="Nina Amla"/>
    <s v="Cognizant Program Director"/>
    <s v="eJ"/>
    <s v="isil@cs.utexas.edu"/>
    <s v="PIs@"/>
    <s v="CCF"/>
    <s v="1762299"/>
    <n v="4"/>
    <n v="4"/>
    <m/>
    <s v=""/>
    <n v="8"/>
    <n v="8.5"/>
    <n v="9"/>
    <s v="E,E,E/V,E/V"/>
    <d v="2017-12-05T08:29:00"/>
    <n v="1200000"/>
    <n v="1200000"/>
    <n v="0"/>
    <d v="2018-09-01T00:00:00"/>
    <n v="48"/>
    <s v="SHF: Medium: Collaborative Research: Computer-Aided Programming for Data Science"/>
    <m/>
    <m/>
    <m/>
    <s v="P180456"/>
    <s v="Highly Competitive"/>
    <n v="1"/>
    <s v="SHF FY18 FM/PL Medium Panel"/>
    <d v="2017-12-08T00:00:00"/>
    <s v=" E,E,E/V,E/V"/>
    <s v="21 rated projects: 1 HC, 8 C, 11 LC, 1 NC"/>
    <n v="10"/>
    <n v="1"/>
    <m/>
    <m/>
    <m/>
    <m/>
    <m/>
    <m/>
    <m/>
    <m/>
    <m/>
    <m/>
    <m/>
    <m/>
    <m/>
    <m/>
    <m/>
    <m/>
    <m/>
    <m/>
    <s v="1762299"/>
    <s v="Dillig"/>
    <s v="Isil"/>
    <s v="U of Texas Austin"/>
    <n v="1050000"/>
    <n v="1050000"/>
    <m/>
    <s v="1762363"/>
    <s v="Goncalves Martins"/>
    <s v="Ruben"/>
    <s v="Carnegie Mellon University"/>
    <n v="150000"/>
    <n v="150000"/>
    <s v="7924 8206"/>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isil@cs.utexas.edu"/>
    <s v="isil@cs.utexas.edu;rubenm@andrew.cmu.edu     "/>
  </r>
  <r>
    <m/>
    <d v="2017-09-27T10:37:00"/>
    <s v="NSF 17-571"/>
    <s v="05010000"/>
    <s v="7798"/>
    <s v="NEW"/>
    <s v="PEND"/>
    <s v="4110"/>
    <s v="FY18MEDCTX"/>
    <s v="NAMLA"/>
    <m/>
    <n v="1"/>
    <n v="2.02"/>
    <s v="C"/>
    <m/>
    <m/>
    <x v="1"/>
    <s v="RA 1763514 Alur"/>
    <m/>
    <m/>
    <s v="Nina Amla"/>
    <s v="Cognizant Program Director"/>
    <s v="eJ"/>
    <s v="alur@cis.upenn.edu"/>
    <s v="PIs@"/>
    <s v="CCF"/>
    <s v="1763514"/>
    <n v="4"/>
    <n v="4"/>
    <m/>
    <s v=""/>
    <n v="6"/>
    <n v="7"/>
    <n v="9"/>
    <s v="E,V,V/G,V/G"/>
    <d v="2017-12-07T10:21:00"/>
    <n v="1200000"/>
    <n v="1200000"/>
    <n v="0"/>
    <d v="2018-07-01T00:00:00"/>
    <n v="48"/>
    <s v="CCF: Medium: Enabling Real-Time Quantitative Decision Making over Streaming Data"/>
    <n v="1"/>
    <s v=" V/G"/>
    <d v="2017-12-06T00:26:00"/>
    <s v="P180456"/>
    <s v="Competitive"/>
    <n v="2"/>
    <s v="SHF FY18 FM/PL Medium Panel"/>
    <d v="2017-12-08T00:00:00"/>
    <s v=" E,V,V/G"/>
    <s v="21 rated projects: 1 HC, 8 C, 11 LC, 1 NC"/>
    <n v="10"/>
    <n v="1"/>
    <m/>
    <m/>
    <m/>
    <m/>
    <m/>
    <m/>
    <m/>
    <m/>
    <m/>
    <m/>
    <m/>
    <m/>
    <m/>
    <m/>
    <m/>
    <m/>
    <m/>
    <m/>
    <s v="1763514"/>
    <s v="Alur"/>
    <s v="Rajeev"/>
    <s v="U of Pennsylvania"/>
    <n v="1200000"/>
    <n v="1200000"/>
    <s v="7924 8206"/>
    <m/>
    <m/>
    <m/>
    <m/>
    <m/>
    <m/>
    <m/>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alur@cis.upenn.edu"/>
    <s v="alur@cis.upenn.edu      "/>
  </r>
  <r>
    <m/>
    <d v="2017-09-27T16:22:00"/>
    <s v="NSF 17-571"/>
    <s v="05010000"/>
    <s v="7798"/>
    <s v="NEW"/>
    <s v="PEND"/>
    <s v="4110"/>
    <s v="FY18MEDCTX"/>
    <s v="NAMLA"/>
    <m/>
    <n v="1"/>
    <n v="2.02"/>
    <s v="C"/>
    <m/>
    <m/>
    <x v="1"/>
    <s v="RA 1763957 D'Antoni"/>
    <m/>
    <m/>
    <s v="Nina Amla"/>
    <s v="Cognizant Program Director"/>
    <s v="eJ"/>
    <s v="loris@cs.wisc.edu"/>
    <s v="PIs@"/>
    <s v="CCF"/>
    <s v="1763957"/>
    <n v="4"/>
    <n v="4"/>
    <m/>
    <s v=""/>
    <n v="6"/>
    <n v="7.75"/>
    <n v="9"/>
    <s v="E,E,V,V/G"/>
    <d v="2017-12-07T08:45:00"/>
    <n v="1199996"/>
    <n v="1199996"/>
    <n v="0"/>
    <d v="2018-09-01T00:00:00"/>
    <n v="48"/>
    <s v="SHF: Medium: Collaborative research: Combining Formal and Data-Driven Methods for Scaling and Expanding Automatic Feedback in Data Science Education"/>
    <m/>
    <m/>
    <m/>
    <s v="P180456"/>
    <s v="Competitive"/>
    <n v="2"/>
    <s v="SHF FY18 FM/PL Medium Panel"/>
    <d v="2017-12-08T00:00:00"/>
    <s v=" E,E,V,V/G"/>
    <s v="21 rated projects: 1 HC, 8 C, 11 LC, 1 NC"/>
    <n v="10"/>
    <m/>
    <m/>
    <m/>
    <m/>
    <m/>
    <m/>
    <m/>
    <m/>
    <m/>
    <m/>
    <m/>
    <m/>
    <m/>
    <m/>
    <m/>
    <m/>
    <m/>
    <m/>
    <m/>
    <s v="1763957"/>
    <s v="D'Antoni"/>
    <s v="Loris"/>
    <s v="U of Wisconsin Madison"/>
    <n v="600000"/>
    <n v="600000"/>
    <s v="7924 8206"/>
    <s v="1763577"/>
    <s v="Hartmann"/>
    <s v="Bjoern"/>
    <s v="U of Cal Berkeley"/>
    <n v="599996"/>
    <n v="599996"/>
    <s v="7924 8206"/>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loris@cs.wisc.edu"/>
    <s v="loris@cs.wisc.edu;bjoern@eecs.berkeley.edu     "/>
  </r>
  <r>
    <m/>
    <d v="2017-09-27T16:55:00"/>
    <s v="NSF 17-571"/>
    <s v="05010000"/>
    <s v="7798"/>
    <s v="NEW"/>
    <s v="PEND"/>
    <s v="4110"/>
    <s v="FY18MEDCTX"/>
    <s v="NAMLA"/>
    <m/>
    <n v="1"/>
    <n v="2.0499999999999998"/>
    <s v="C"/>
    <m/>
    <m/>
    <x v="1"/>
    <s v="RA 1764018 Chaudhuri"/>
    <m/>
    <m/>
    <s v="Nina Amla"/>
    <s v="Cognizant Program Director"/>
    <s v="eJ"/>
    <s v="swarat@rice.edu"/>
    <s v="PIs@"/>
    <s v="CCF"/>
    <s v="1764018"/>
    <n v="4"/>
    <n v="4"/>
    <m/>
    <s v=""/>
    <n v="6"/>
    <n v="6.75"/>
    <n v="8"/>
    <s v="E/V,V,V/G,V/G"/>
    <d v="2017-12-07T08:46:00"/>
    <n v="1200000"/>
    <n v="1200000"/>
    <n v="0"/>
    <d v="2018-08-01T00:00:00"/>
    <n v="36"/>
    <s v="SHF: Medium: Guiding Formal Methods with Discovered Knowledge"/>
    <m/>
    <m/>
    <m/>
    <s v="P180456"/>
    <s v="Competitive"/>
    <n v="5"/>
    <s v="SHF FY18 FM/PL Medium Panel"/>
    <d v="2017-12-08T00:00:00"/>
    <s v=" E/V,V,V/G,V/G"/>
    <s v="21 rated projects: 1 HC, 8 C, 11 LC, 1 NC"/>
    <n v="10"/>
    <n v="1"/>
    <m/>
    <m/>
    <m/>
    <m/>
    <m/>
    <m/>
    <m/>
    <m/>
    <m/>
    <m/>
    <m/>
    <m/>
    <m/>
    <m/>
    <m/>
    <m/>
    <m/>
    <m/>
    <s v="1764018"/>
    <s v="Chaudhuri"/>
    <s v="Swarat"/>
    <s v="William Marsh Rice Univ"/>
    <n v="1200000"/>
    <n v="1200000"/>
    <s v="7924 8206"/>
    <m/>
    <m/>
    <m/>
    <m/>
    <m/>
    <m/>
    <m/>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swarat@rice.edu"/>
    <s v="swarat@rice.edu      "/>
  </r>
  <r>
    <m/>
    <d v="2017-09-26T22:36:00"/>
    <s v="NSF 17-571"/>
    <s v="05010000"/>
    <s v="7798"/>
    <s v="NEW"/>
    <s v="PEND"/>
    <s v="4110"/>
    <s v="FY18MEDCTX"/>
    <s v="NAMLA"/>
    <m/>
    <n v="1"/>
    <n v="2.08"/>
    <s v="C"/>
    <m/>
    <m/>
    <x v="1"/>
    <s v="RA 1763442 Myers"/>
    <m/>
    <m/>
    <s v="Nina Amla"/>
    <s v="Cognizant Program Director"/>
    <s v="eJ"/>
    <s v="myers@ece.utah.edu"/>
    <s v="PIs@"/>
    <s v="CCF"/>
    <s v="1763442"/>
    <n v="4"/>
    <n v="4"/>
    <m/>
    <s v="Y"/>
    <n v="3"/>
    <n v="6.25"/>
    <n v="8"/>
    <s v="E/V,V,V,F"/>
    <d v="2017-12-08T08:17:00"/>
    <n v="1199739"/>
    <n v="1199739"/>
    <n v="0"/>
    <d v="2018-04-01T00:00:00"/>
    <n v="48"/>
    <s v="SHF:Medium:Collaborative Research: An Efficient Framework for the Probabilistic Verification of Safety-Critical Systems"/>
    <n v="1"/>
    <s v=" E/V"/>
    <d v="2017-12-05T10:33:00"/>
    <s v="P180456"/>
    <s v="Competitive"/>
    <n v="8"/>
    <s v="SHF FY18 FM/PL Medium Panel"/>
    <d v="2017-12-08T00:00:00"/>
    <s v=" V,V,F"/>
    <s v="21 rated projects: 1 HC, 8 C, 11 LC, 1 NC"/>
    <n v="10"/>
    <m/>
    <m/>
    <m/>
    <m/>
    <m/>
    <m/>
    <m/>
    <m/>
    <m/>
    <m/>
    <m/>
    <m/>
    <m/>
    <m/>
    <m/>
    <m/>
    <m/>
    <m/>
    <m/>
    <s v="1763442"/>
    <s v="Myers"/>
    <s v="Chris"/>
    <s v="University of Utah"/>
    <n v="397158"/>
    <n v="397158"/>
    <s v="7924 8206"/>
    <s v="1763334"/>
    <s v="Zheng"/>
    <s v="Hao"/>
    <s v="U of South Florida"/>
    <n v="400086"/>
    <n v="400086"/>
    <s v="7924 8206"/>
    <s v="1763433"/>
    <s v="Zhang"/>
    <s v="Zhen"/>
    <s v="Utah State University"/>
    <n v="402495"/>
    <n v="402495"/>
    <s v="7924 8206"/>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myers@ece.utah.edu"/>
    <s v="myers@ece.utah.edu;zheng@cse.usf.edu;zhen.zhang@usu.edu    "/>
  </r>
  <r>
    <m/>
    <d v="2017-09-26T16:06:00"/>
    <s v="NSF 17-571"/>
    <s v="05010000"/>
    <s v="7798"/>
    <s v="NEW"/>
    <s v="PEND"/>
    <s v="4110"/>
    <s v="FY18MEDCTX"/>
    <s v="NAMLA"/>
    <m/>
    <n v="1"/>
    <n v="3"/>
    <s v="LC"/>
    <m/>
    <m/>
    <x v="1"/>
    <s v="RA 1763384 Kincaid"/>
    <m/>
    <m/>
    <s v="Nina Amla"/>
    <s v="Cognizant Program Director"/>
    <s v="eJ"/>
    <s v="zkincaid@cs.princeton.edu"/>
    <s v="PIs@"/>
    <s v="CCF"/>
    <s v="1763384"/>
    <n v="4"/>
    <n v="4"/>
    <m/>
    <s v=""/>
    <n v="5"/>
    <n v="5.75"/>
    <n v="7"/>
    <s v="V,V/G,G,G"/>
    <d v="2017-12-03T23:28:00"/>
    <n v="1200000"/>
    <n v="1200000"/>
    <n v="0"/>
    <d v="2018-07-01T00:00:00"/>
    <n v="48"/>
    <s v="SHF: Medium: Collaborative Research: Algebraic Program-Analysis Techniques for Invariant Synthesis"/>
    <m/>
    <m/>
    <m/>
    <s v="P180456"/>
    <s v="Low Competitive"/>
    <m/>
    <s v="SHF FY18 FM/PL Medium Panel"/>
    <d v="2017-12-08T00:00:00"/>
    <s v=" V,V/G,G,G"/>
    <s v="21 rated projects: 1 HC, 8 C, 11 LC, 1 NC"/>
    <n v="10"/>
    <n v="2"/>
    <m/>
    <m/>
    <m/>
    <m/>
    <m/>
    <m/>
    <m/>
    <m/>
    <m/>
    <m/>
    <m/>
    <m/>
    <m/>
    <m/>
    <m/>
    <m/>
    <m/>
    <m/>
    <s v="1763384"/>
    <s v="Kincaid"/>
    <s v="Zachary"/>
    <s v="Princeton University"/>
    <n v="600000"/>
    <n v="600000"/>
    <m/>
    <s v="1763170"/>
    <s v="Reps"/>
    <s v="Thomas"/>
    <s v="U of Wisconsin Madison"/>
    <n v="600000"/>
    <n v="600000"/>
    <s v="7924 8206"/>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zkincaid@cs.princeton.edu"/>
    <s v="zkincaid@cs.princeton.edu;reps@cs.wisc.edu     "/>
  </r>
  <r>
    <m/>
    <d v="2017-09-27T10:44:00"/>
    <s v="NSF 17-571"/>
    <s v="05010000"/>
    <s v="7798"/>
    <s v="NEW"/>
    <s v="PEND"/>
    <s v="4110"/>
    <s v="FY18MEDCTX"/>
    <s v="NAMLA"/>
    <m/>
    <n v="1"/>
    <n v="3"/>
    <s v="LC"/>
    <m/>
    <m/>
    <x v="1"/>
    <s v="RA 1763518 Foster"/>
    <m/>
    <m/>
    <s v="Nina Amla"/>
    <s v="Cognizant Program Director"/>
    <s v="eJ"/>
    <s v="jfoster@cs.umd.edu"/>
    <s v="PIs@"/>
    <s v="CCF"/>
    <s v="1763518"/>
    <n v="4"/>
    <n v="4"/>
    <m/>
    <s v=""/>
    <n v="3"/>
    <n v="4.5"/>
    <n v="6"/>
    <s v="V/G,G,G/F,F"/>
    <d v="2017-12-07T13:32:00"/>
    <n v="1199734"/>
    <n v="1199734"/>
    <n v="0"/>
    <d v="2018-07-01T00:00:00"/>
    <n v="36"/>
    <s v="SHF: Medium: Collaborative Research: Scalable Program Synthesis for Object-Oriented Languages"/>
    <m/>
    <m/>
    <m/>
    <s v="P180456"/>
    <s v="Low Competitive"/>
    <m/>
    <s v="SHF FY18 FM/PL Medium Panel"/>
    <d v="2017-12-08T00:00:00"/>
    <s v=" V/G,G,G/F,F"/>
    <s v="21 rated projects: 1 HC, 8 C, 11 LC, 1 NC"/>
    <n v="10"/>
    <n v="2"/>
    <m/>
    <m/>
    <m/>
    <m/>
    <m/>
    <m/>
    <m/>
    <m/>
    <m/>
    <m/>
    <m/>
    <m/>
    <m/>
    <m/>
    <m/>
    <m/>
    <m/>
    <m/>
    <s v="1763518"/>
    <s v="Foster"/>
    <s v="Jeffrey"/>
    <s v="U of MD College Park"/>
    <n v="427810"/>
    <n v="427810"/>
    <s v="7924 8206"/>
    <s v="1763472"/>
    <s v="Nguyen"/>
    <s v="ThanhVu"/>
    <s v="U of Nebraska-Lincoln"/>
    <n v="384926"/>
    <n v="384926"/>
    <s v="7924 8206"/>
    <s v="1763556"/>
    <s v="Qiu"/>
    <s v="Xiaokang"/>
    <s v="Purdue University"/>
    <n v="386998"/>
    <n v="386998"/>
    <s v="7924 8206"/>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jfoster@cs.umd.edu"/>
    <s v="jfoster@cs.umd.edu;tnguyen@unl.edu;xkqiu@purdue.edu    "/>
  </r>
  <r>
    <m/>
    <d v="2017-09-27T15:11:00"/>
    <s v="NSF 17-571"/>
    <s v="05010000"/>
    <s v="7798"/>
    <s v="NEW"/>
    <s v="PEND"/>
    <s v="4110"/>
    <s v="FY18MEDCTX"/>
    <s v="NAMLA"/>
    <m/>
    <n v="1"/>
    <n v="3"/>
    <s v="LC"/>
    <m/>
    <m/>
    <x v="1"/>
    <s v="RA 1763833 Basu"/>
    <m/>
    <m/>
    <s v="Nina Amla"/>
    <s v="Cognizant Program Director"/>
    <s v="eJ"/>
    <s v="sbasu@cs.iastate.edu"/>
    <s v="PIs@"/>
    <s v="CCF"/>
    <s v="1763833"/>
    <n v="4"/>
    <n v="4"/>
    <m/>
    <s v=""/>
    <n v="3"/>
    <n v="4.5"/>
    <n v="6"/>
    <s v="V/G,G,G/F,F"/>
    <d v="2017-12-08T09:34:00"/>
    <n v="1199943"/>
    <n v="1199943"/>
    <n v="0"/>
    <d v="2018-08-01T00:00:00"/>
    <n v="48"/>
    <s v="SHF: Medium: Collaborative Research: Representing and Reasoning with Qualitative Multi-Stakeholder Preferences"/>
    <n v="1"/>
    <s v=" V/G"/>
    <d v="2017-11-26T21:50:00"/>
    <s v="P180456"/>
    <s v="Low Competitive"/>
    <m/>
    <s v="SHF FY18 FM/PL Medium Panel"/>
    <d v="2017-12-08T00:00:00"/>
    <s v=" G,G/F,F"/>
    <s v="21 rated projects: 1 HC, 8 C, 11 LC, 1 NC"/>
    <n v="10"/>
    <m/>
    <m/>
    <m/>
    <m/>
    <m/>
    <m/>
    <m/>
    <m/>
    <m/>
    <m/>
    <m/>
    <m/>
    <m/>
    <m/>
    <m/>
    <m/>
    <m/>
    <m/>
    <m/>
    <s v="1763833"/>
    <s v="Basu"/>
    <s v="Samik"/>
    <s v="Iowa State University"/>
    <n v="520907"/>
    <n v="520907"/>
    <s v="7924 8206"/>
    <s v="1763792"/>
    <s v="Honavar"/>
    <s v="Vasant"/>
    <s v="PA St U University Park"/>
    <n v="679036"/>
    <n v="679036"/>
    <s v="7924 8206"/>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sbasu@cs.iastate.edu"/>
    <s v="sbasu@cs.iastate.edu;vhonavar@ist.psu.edu     "/>
  </r>
  <r>
    <m/>
    <d v="2017-09-27T16:28:00"/>
    <s v="NSF 17-571"/>
    <s v="05010000"/>
    <s v="7798"/>
    <s v="NEW"/>
    <s v="PEND"/>
    <s v="4110"/>
    <s v="FY18MEDCTX"/>
    <s v="NAMLA"/>
    <m/>
    <n v="1"/>
    <n v="3"/>
    <s v="LC"/>
    <m/>
    <m/>
    <x v="1"/>
    <s v="RA 1763967 Sistla"/>
    <m/>
    <m/>
    <s v="Nina Amla"/>
    <s v="Cognizant Program Director"/>
    <s v="eJ"/>
    <s v="sistla@cs.uic.edu"/>
    <s v="PIs@"/>
    <s v="CCF"/>
    <s v="1763967"/>
    <n v="3"/>
    <n v="3"/>
    <m/>
    <s v=""/>
    <n v="5"/>
    <n v="6"/>
    <n v="8"/>
    <s v="E/V,G,G"/>
    <d v="2017-12-08T04:27:00"/>
    <n v="1199993"/>
    <n v="1199993"/>
    <n v="0"/>
    <d v="2018-08-15T00:00:00"/>
    <n v="36"/>
    <s v="SHF: Medium: Assuring Safety of Physical Systems Controlled Through Soft Computing"/>
    <m/>
    <m/>
    <m/>
    <s v="P180456"/>
    <s v="Low Competitive"/>
    <m/>
    <s v="SHF FY18 FM/PL Medium Panel"/>
    <d v="2017-12-08T00:00:00"/>
    <s v=" E/V,G,G"/>
    <s v="21 rated projects: 1 HC, 8 C, 11 LC, 1 NC"/>
    <n v="10"/>
    <m/>
    <m/>
    <m/>
    <m/>
    <m/>
    <m/>
    <m/>
    <m/>
    <m/>
    <m/>
    <m/>
    <m/>
    <m/>
    <m/>
    <m/>
    <m/>
    <m/>
    <m/>
    <m/>
    <s v="1763967"/>
    <s v="Sistla"/>
    <s v="Aravinda"/>
    <s v="U of Illinois Chicago"/>
    <n v="1199993"/>
    <n v="1199993"/>
    <s v="7924 8206"/>
    <m/>
    <m/>
    <m/>
    <m/>
    <m/>
    <m/>
    <m/>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sistla@cs.uic.edu"/>
    <s v="sistla@cs.uic.edu      "/>
  </r>
  <r>
    <m/>
    <d v="2017-09-26T16:51:00"/>
    <s v="NSF 17-571"/>
    <s v="05010000"/>
    <s v="7798"/>
    <s v="NEW"/>
    <s v="PEND"/>
    <s v="4110"/>
    <s v="FY18MEDCTX"/>
    <s v="ABANERJ"/>
    <m/>
    <n v="1"/>
    <n v="2.04"/>
    <s v="C"/>
    <m/>
    <m/>
    <x v="2"/>
    <s v="Awd  1763399 Shao"/>
    <m/>
    <m/>
    <s v="Anindya Banerjee"/>
    <s v="Cognizant Program Director"/>
    <s v="eJ"/>
    <s v="shao@cs.yale.edu"/>
    <s v="PIs@"/>
    <s v="CCF"/>
    <s v="1763399"/>
    <n v="4"/>
    <n v="4"/>
    <m/>
    <s v=""/>
    <n v="7"/>
    <n v="7"/>
    <n v="7"/>
    <s v="V,V,V,V"/>
    <d v="2017-12-08T09:38:00"/>
    <n v="901435"/>
    <n v="901435"/>
    <n v="0"/>
    <d v="2018-06-01T00:00:00"/>
    <n v="42"/>
    <s v="SHF: Medium: DeepSEA: A Language for Programming and Synthesizing Certified Software"/>
    <m/>
    <m/>
    <m/>
    <s v="P180456"/>
    <s v="Competitive"/>
    <n v="4"/>
    <s v="SHF FY18 FM/PL Medium Panel"/>
    <d v="2017-12-08T00:00:00"/>
    <s v=" V,V,V,V"/>
    <s v="21 rated projects: 1 HC, 8 C, 11 LC, 1 NC"/>
    <n v="10"/>
    <m/>
    <m/>
    <m/>
    <m/>
    <m/>
    <m/>
    <m/>
    <m/>
    <m/>
    <m/>
    <m/>
    <m/>
    <m/>
    <m/>
    <m/>
    <m/>
    <m/>
    <m/>
    <m/>
    <s v="1763399"/>
    <s v="Shao"/>
    <s v="Zhong"/>
    <s v="Yale University"/>
    <n v="901435"/>
    <n v="901435"/>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shao@cs.yale.edu"/>
    <s v="shao@cs.yale.edu      "/>
  </r>
  <r>
    <m/>
    <d v="2017-09-27T16:03:00"/>
    <s v="NSF 17-571"/>
    <s v="05010000"/>
    <s v="7798"/>
    <s v="NEW"/>
    <s v="PEND"/>
    <s v="4110"/>
    <s v="FY18MEDCTX"/>
    <s v="ABANERJ"/>
    <m/>
    <n v="1"/>
    <n v="2.0499999999999998"/>
    <s v="C"/>
    <m/>
    <m/>
    <x v="2"/>
    <s v="Awd  1763922 Tobin-Hochstadt"/>
    <m/>
    <m/>
    <s v="Anindya Banerjee"/>
    <s v="Cognizant Program Director"/>
    <s v="eJ"/>
    <s v="samth@cs.indiana.edu"/>
    <s v="PIs@"/>
    <s v="CCF"/>
    <s v="1763922"/>
    <n v="4"/>
    <n v="4"/>
    <m/>
    <s v=""/>
    <n v="5"/>
    <n v="6.5"/>
    <n v="9"/>
    <s v="E,V,G,G"/>
    <d v="2017-12-08T11:10:00"/>
    <n v="1192054"/>
    <n v="1192054"/>
    <n v="0"/>
    <d v="2018-07-01T00:00:00"/>
    <n v="36"/>
    <s v="SHF: MEDIUM: Performant Sound Gradual Typing"/>
    <m/>
    <m/>
    <m/>
    <s v="P180456"/>
    <s v="Competitive"/>
    <n v="5"/>
    <s v="SHF FY18 FM/PL Medium Panel"/>
    <d v="2017-12-08T00:00:00"/>
    <s v=" E,V,G,G"/>
    <s v="21 rated projects: 1 HC, 8 C, 11 LC, 1 NC"/>
    <n v="10"/>
    <m/>
    <m/>
    <m/>
    <m/>
    <m/>
    <m/>
    <m/>
    <m/>
    <m/>
    <m/>
    <m/>
    <m/>
    <m/>
    <m/>
    <m/>
    <m/>
    <m/>
    <m/>
    <m/>
    <s v="1763922"/>
    <s v="Tobin-Hochstadt"/>
    <s v="Sam"/>
    <s v="Indiana University"/>
    <n v="1192054"/>
    <n v="1192054"/>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samth@cs.indiana.edu"/>
    <s v="samth@cs.indiana.edu      "/>
  </r>
  <r>
    <m/>
    <d v="2017-09-22T15:15:00"/>
    <s v="NSF 17-571"/>
    <s v="05010000"/>
    <s v="7798"/>
    <s v="NEW"/>
    <s v="PEND"/>
    <s v="4110"/>
    <s v="FY18MEDCTX"/>
    <s v="ABANERJ"/>
    <m/>
    <n v="1"/>
    <n v="2.0699999999999998"/>
    <s v="C"/>
    <m/>
    <m/>
    <x v="3"/>
    <s v="Decline  1762907 Felleisen"/>
    <m/>
    <m/>
    <s v="Anindya Banerjee"/>
    <s v="Cognizant Program Director"/>
    <s v="eJ"/>
    <s v="matthias@ccs.neu.edu"/>
    <s v="PIs@"/>
    <s v="CCF"/>
    <s v="1762907"/>
    <n v="4"/>
    <n v="4"/>
    <m/>
    <s v=""/>
    <n v="5"/>
    <n v="6"/>
    <n v="7"/>
    <s v="V,V,G,G"/>
    <d v="2017-12-08T11:07:00"/>
    <n v="1181269"/>
    <n v="1181269"/>
    <n v="0"/>
    <d v="2018-07-01T00:00:00"/>
    <n v="36"/>
    <s v="SHF: Medium: Broadening the Scope DSL Development"/>
    <m/>
    <m/>
    <m/>
    <s v="P180456"/>
    <s v="Competitive"/>
    <n v="7"/>
    <s v="SHF FY18 FM/PL Medium Panel"/>
    <d v="2017-12-08T00:00:00"/>
    <s v=" V,V,G,G"/>
    <s v="21 rated projects: 1 HC, 8 C, 11 LC, 1 NC"/>
    <n v="10"/>
    <m/>
    <m/>
    <m/>
    <m/>
    <m/>
    <m/>
    <m/>
    <m/>
    <m/>
    <m/>
    <m/>
    <m/>
    <m/>
    <m/>
    <m/>
    <m/>
    <m/>
    <m/>
    <m/>
    <s v="1762907"/>
    <s v="Felleisen"/>
    <s v="Matthias"/>
    <s v="Northeastern University"/>
    <n v="1181269"/>
    <n v="1181269"/>
    <m/>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matthias@ccs.neu.edu"/>
    <s v="matthias@ccs.neu.edu      "/>
  </r>
  <r>
    <m/>
    <d v="2017-09-27T15:00:00"/>
    <s v="NSF 17-571"/>
    <s v="05010000"/>
    <s v="7798"/>
    <s v="NEW"/>
    <s v="PEND"/>
    <s v="4110"/>
    <s v="FY18MEDCTX"/>
    <s v="ABANERJ"/>
    <m/>
    <n v="2"/>
    <n v="2.0699999999999998"/>
    <s v="C"/>
    <m/>
    <m/>
    <x v="4"/>
    <s v="RA 1763814 Jhala"/>
    <m/>
    <m/>
    <s v="Anindya Banerjee"/>
    <s v="Cognizant Program Director"/>
    <s v="eJ"/>
    <s v="jhala@cs.ucsd.edu"/>
    <s v="PIs@"/>
    <s v="CCF"/>
    <s v="1763814"/>
    <n v="8"/>
    <n v="8"/>
    <m/>
    <s v=""/>
    <n v="5"/>
    <n v="7.25"/>
    <n v="9"/>
    <s v="E,E,E,E,V/G,V/G,G,G"/>
    <d v="2017-12-10T23:21:00"/>
    <n v="1200000"/>
    <n v="1200000"/>
    <n v="0"/>
    <d v="2018-07-01T00:00:00"/>
    <n v="48"/>
    <s v="SHF: Medium: Collaborative Research: Program Analytics: Using Trace Data for Localization, Explanation and Synthesis"/>
    <m/>
    <m/>
    <m/>
    <s v="P180456"/>
    <s v="Competitive"/>
    <n v="7"/>
    <s v="SHF FY18 FM/PL Medium Panel"/>
    <d v="2017-12-08T00:00:00"/>
    <s v=" E ,V/G,V/G,G"/>
    <s v="21 rated projects: 1 HC, 8 C, 11 LC, 1 NC"/>
    <n v="10"/>
    <n v="2"/>
    <s v="P180578"/>
    <m/>
    <m/>
    <s v="SHF Medium SE Panel"/>
    <d v="2017-12-14T00:00:00"/>
    <s v=" E,E ,E   ,G"/>
    <s v="No rated projects"/>
    <n v="9"/>
    <n v="1"/>
    <m/>
    <m/>
    <m/>
    <m/>
    <m/>
    <m/>
    <m/>
    <m/>
    <m/>
    <s v="1763814"/>
    <s v="Jhala"/>
    <s v="Ranjit"/>
    <s v="U of Cal San Diego"/>
    <n v="900000"/>
    <n v="900000"/>
    <s v="7924 7943"/>
    <s v="1763674"/>
    <s v="Weimer"/>
    <s v="Westley"/>
    <s v="University of Michigan"/>
    <n v="300000"/>
    <n v="300000"/>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jhala@cs.ucsd.edu"/>
    <s v="jhala@cs.ucsd.edu;weimerw@umich.edu     "/>
  </r>
  <r>
    <m/>
    <d v="2017-09-26T17:21:00"/>
    <s v="NSF 17-571"/>
    <s v="05010000"/>
    <s v="7798"/>
    <s v="NEW"/>
    <s v="PEND"/>
    <s v="4110"/>
    <s v="FY18MEDCTX"/>
    <s v="ABANERJ"/>
    <m/>
    <n v="1"/>
    <n v="3"/>
    <s v="LC"/>
    <m/>
    <m/>
    <x v="5"/>
    <s v="Std Decline  1763415 Moss"/>
    <m/>
    <m/>
    <s v="Anindya Banerjee"/>
    <s v="Cognizant Program Director"/>
    <s v="eJ"/>
    <s v="moss@cs.umass.edu"/>
    <s v="PIs@"/>
    <s v="CCF"/>
    <s v="1763415"/>
    <n v="4"/>
    <n v="4"/>
    <m/>
    <s v=""/>
    <n v="4"/>
    <n v="4.75"/>
    <n v="5"/>
    <s v="G,G,G,G/F"/>
    <d v="2017-12-03T21:47:00"/>
    <n v="1199719"/>
    <n v="1199719"/>
    <n v="0"/>
    <d v="2018-07-01T00:00:00"/>
    <n v="48"/>
    <s v="SHF:Medium:Verified State-of-the-Art Concurrent Memory Management for Managed Languages on Modern Processors"/>
    <m/>
    <m/>
    <m/>
    <s v="P180456"/>
    <s v="Low Competitive"/>
    <m/>
    <s v="SHF FY18 FM/PL Medium Panel"/>
    <d v="2017-12-08T00:00:00"/>
    <s v=" G,G,G,G/F"/>
    <s v="21 rated projects: 1 HC, 8 C, 11 LC, 1 NC"/>
    <n v="10"/>
    <m/>
    <m/>
    <m/>
    <m/>
    <m/>
    <m/>
    <m/>
    <m/>
    <m/>
    <m/>
    <m/>
    <m/>
    <m/>
    <m/>
    <m/>
    <m/>
    <m/>
    <m/>
    <m/>
    <s v="1763415"/>
    <s v="Moss"/>
    <s v="J. Eliot"/>
    <s v="U of Massachusetts Amherst"/>
    <n v="1199719"/>
    <n v="1199719"/>
    <m/>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moss@cs.umass.edu"/>
    <s v="moss@cs.umass.edu      "/>
  </r>
  <r>
    <m/>
    <d v="2017-09-27T13:09:00"/>
    <s v="NSF 17-571"/>
    <s v="05010000"/>
    <s v="7798"/>
    <s v="NEW"/>
    <s v="PEND"/>
    <s v="4110"/>
    <s v="FY18MEDCTX"/>
    <s v="ABANERJ"/>
    <m/>
    <n v="1"/>
    <n v="3"/>
    <s v="LC"/>
    <m/>
    <m/>
    <x v="5"/>
    <s v="Std Decline  1763646 Strout"/>
    <m/>
    <m/>
    <s v="Anindya Banerjee"/>
    <s v="Cognizant Program Director"/>
    <s v="eJ"/>
    <s v="mstrout@cs.arizona.edu"/>
    <s v="PIs@"/>
    <s v="CCF"/>
    <s v="1763646"/>
    <n v="4"/>
    <n v="4"/>
    <m/>
    <s v=""/>
    <n v="5"/>
    <n v="5.5"/>
    <n v="6"/>
    <s v="V/G,V/G,G,G"/>
    <d v="2017-12-07T15:35:00"/>
    <n v="1231999"/>
    <n v="1231999"/>
    <n v="0"/>
    <d v="2018-07-01T00:00:00"/>
    <n v="36"/>
    <s v="SHF: Medium: Bringing Science Up To Par Through Language-Agnostic Interpreter Optimization"/>
    <n v="1"/>
    <s v=" G"/>
    <d v="2017-12-01T17:49:00"/>
    <s v="P180456"/>
    <s v="Low Competitive"/>
    <m/>
    <s v="SHF FY18 FM/PL Medium Panel"/>
    <d v="2017-12-08T00:00:00"/>
    <s v=" V/G,V/G,G"/>
    <s v="21 rated projects: 1 HC, 8 C, 11 LC, 1 NC"/>
    <n v="10"/>
    <m/>
    <m/>
    <m/>
    <m/>
    <m/>
    <m/>
    <m/>
    <m/>
    <m/>
    <m/>
    <m/>
    <m/>
    <m/>
    <m/>
    <m/>
    <m/>
    <m/>
    <m/>
    <m/>
    <s v="1763646"/>
    <s v="Strout"/>
    <s v="Michelle"/>
    <s v="U of Arizona"/>
    <n v="1231999"/>
    <n v="1231999"/>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mstrout@cs.arizona.edu"/>
    <s v="mstrout@cs.arizona.edu      "/>
  </r>
  <r>
    <m/>
    <d v="2017-09-27T13:28:00"/>
    <s v="NSF 17-571"/>
    <s v="05010000"/>
    <s v="7798"/>
    <s v="NEW"/>
    <s v="PEND"/>
    <s v="4110"/>
    <s v="FY18MEDCTX"/>
    <s v="ABANERJ"/>
    <m/>
    <n v="1"/>
    <n v="3"/>
    <s v="LC"/>
    <m/>
    <m/>
    <x v="5"/>
    <s v="Std Decline  1763667 Campanoni"/>
    <m/>
    <m/>
    <s v="Anindya Banerjee"/>
    <s v="Cognizant Program Director"/>
    <s v="eJ"/>
    <s v="simonec@eecs.northwestern.edu"/>
    <s v="PIs@"/>
    <s v="CCF"/>
    <s v="1763667"/>
    <n v="4"/>
    <n v="4"/>
    <m/>
    <s v=""/>
    <n v="3"/>
    <n v="5"/>
    <n v="6"/>
    <s v="V/G,V/G,G,F"/>
    <d v="2017-12-08T10:57:00"/>
    <n v="1200000"/>
    <n v="1200000"/>
    <n v="0"/>
    <d v="2018-04-01T00:00:00"/>
    <n v="36"/>
    <s v="SHF: Medium: Collaborative Research: A Collaborative Code Analysis and Transformation Framework"/>
    <m/>
    <m/>
    <m/>
    <s v="P180456"/>
    <s v="Low Competitive"/>
    <m/>
    <s v="SHF FY18 FM/PL Medium Panel"/>
    <d v="2017-12-08T00:00:00"/>
    <s v=" V/G,V/G,G,F"/>
    <s v="21 rated projects: 1 HC, 8 C, 11 LC, 1 NC"/>
    <n v="10"/>
    <m/>
    <m/>
    <m/>
    <m/>
    <m/>
    <m/>
    <m/>
    <m/>
    <m/>
    <m/>
    <m/>
    <m/>
    <m/>
    <m/>
    <m/>
    <m/>
    <m/>
    <m/>
    <m/>
    <s v="1763667"/>
    <s v="Campanoni"/>
    <s v="Simone"/>
    <s v="Northwestern University"/>
    <n v="600000"/>
    <n v="600000"/>
    <s v="7924 7943"/>
    <s v="1763460"/>
    <s v="August"/>
    <s v="David"/>
    <s v="Princeton University"/>
    <n v="600000"/>
    <n v="600000"/>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simonec@eecs.northwestern.edu"/>
    <s v="simonec@eecs.northwestern.edu;august@cs.princeton.edu     "/>
  </r>
  <r>
    <m/>
    <d v="2017-09-27T15:16:00"/>
    <s v="NSF 17-571"/>
    <s v="05010000"/>
    <s v="7798"/>
    <s v="NEW"/>
    <s v="PEND"/>
    <s v="4110"/>
    <s v="FY18MEDCTX"/>
    <s v="ABANERJ"/>
    <m/>
    <n v="1"/>
    <n v="3"/>
    <s v="LC"/>
    <m/>
    <m/>
    <x v="5"/>
    <s v="Std Decline  1763839 Newton"/>
    <m/>
    <m/>
    <s v="Anindya Banerjee"/>
    <s v="Cognizant Program Director"/>
    <s v="eJ"/>
    <s v="rrnewton@indiana.edu"/>
    <s v="PIs@"/>
    <s v="CCF"/>
    <s v="1763839"/>
    <n v="4"/>
    <n v="4"/>
    <m/>
    <s v=""/>
    <n v="5"/>
    <n v="5.75"/>
    <n v="7"/>
    <s v="V,V/G,G,G"/>
    <d v="2017-12-05T16:17:00"/>
    <n v="1200000"/>
    <n v="1200000"/>
    <n v="0"/>
    <d v="2018-09-01T00:00:00"/>
    <n v="48"/>
    <s v="SHF: Medium: Collaborative Research: Towards 100% Deterministic Containers"/>
    <m/>
    <m/>
    <m/>
    <s v="P180456"/>
    <s v="Low Competitive"/>
    <m/>
    <s v="SHF FY18 FM/PL Medium Panel"/>
    <d v="2017-12-08T00:00:00"/>
    <s v=" V,V/G,G,G"/>
    <s v="21 rated projects: 1 HC, 8 C, 11 LC, 1 NC"/>
    <n v="10"/>
    <n v="1"/>
    <m/>
    <m/>
    <m/>
    <m/>
    <m/>
    <m/>
    <m/>
    <m/>
    <m/>
    <m/>
    <m/>
    <m/>
    <m/>
    <m/>
    <m/>
    <m/>
    <m/>
    <m/>
    <s v="1763839"/>
    <s v="Newton"/>
    <s v="Ryan"/>
    <s v="Indiana University"/>
    <n v="600000"/>
    <n v="600000"/>
    <s v="7924 7943"/>
    <s v="1763487"/>
    <s v="Devietti"/>
    <s v="Joseph"/>
    <s v="U of Pennsylvania"/>
    <n v="600000"/>
    <n v="600000"/>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rrnewton@indiana.edu"/>
    <s v="rrnewton@indiana.edu;devietti@cis.upenn.edu     "/>
  </r>
  <r>
    <m/>
    <d v="2017-09-27T15:22:00"/>
    <s v="NSF 17-571"/>
    <s v="05010000"/>
    <s v="7798"/>
    <s v="NEW"/>
    <s v="PEND"/>
    <s v="4110"/>
    <s v="FY18MEDCTX"/>
    <s v="ABANERJ"/>
    <m/>
    <n v="1"/>
    <n v="3"/>
    <s v="LC"/>
    <m/>
    <m/>
    <x v="5"/>
    <s v="Std Decline  1763853 Acar"/>
    <m/>
    <m/>
    <s v="Anindya Banerjee"/>
    <s v="Cognizant Program Director"/>
    <s v="eJ"/>
    <s v="umut@cs.cmu.edu"/>
    <s v="PIs@"/>
    <s v="CCF"/>
    <s v="1763853"/>
    <n v="4"/>
    <n v="4"/>
    <m/>
    <s v=""/>
    <n v="4"/>
    <n v="5.5"/>
    <n v="7"/>
    <s v="V,V/G,G,G/F"/>
    <d v="2017-12-07T17:33:00"/>
    <n v="1199721"/>
    <n v="1199721"/>
    <n v="0"/>
    <d v="2018-07-01T00:00:00"/>
    <n v="48"/>
    <s v="SHF: Medium: Encapsulating Effects in Functional Parallel Programming"/>
    <n v="1"/>
    <s v=" V"/>
    <d v="2017-12-03T15:43:00"/>
    <s v="P180456"/>
    <s v="Low Competitive"/>
    <m/>
    <s v="SHF FY18 FM/PL Medium Panel"/>
    <d v="2017-12-08T00:00:00"/>
    <s v=" V/G,G,G/F"/>
    <s v="21 rated projects: 1 HC, 8 C, 11 LC, 1 NC"/>
    <n v="10"/>
    <n v="1"/>
    <m/>
    <m/>
    <m/>
    <m/>
    <m/>
    <m/>
    <m/>
    <m/>
    <m/>
    <m/>
    <m/>
    <m/>
    <m/>
    <m/>
    <m/>
    <m/>
    <m/>
    <m/>
    <s v="1763853"/>
    <s v="Acar"/>
    <s v="Umut"/>
    <s v="Carnegie Mellon University"/>
    <n v="1199721"/>
    <n v="1199721"/>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umut@cs.cmu.edu"/>
    <s v="umut@cs.cmu.edu      "/>
  </r>
  <r>
    <m/>
    <d v="2017-09-27T18:24:00"/>
    <s v="NSF 17-571"/>
    <s v="05010000"/>
    <s v="7798"/>
    <s v="NEW"/>
    <s v="PEND"/>
    <s v="4110"/>
    <s v="FY18MEDCTX"/>
    <s v="ABANERJ"/>
    <m/>
    <n v="1"/>
    <n v="3"/>
    <s v="LC"/>
    <m/>
    <m/>
    <x v="5"/>
    <s v="Std Decline  1764080 Millstein"/>
    <m/>
    <m/>
    <s v="Anindya Banerjee"/>
    <s v="Cognizant Program Director"/>
    <s v="eJ"/>
    <s v="todd@cs.ucla.edu"/>
    <s v="PIs@"/>
    <s v="CCF"/>
    <s v="1764080"/>
    <n v="4"/>
    <n v="4"/>
    <m/>
    <s v=""/>
    <n v="3"/>
    <n v="5.25"/>
    <n v="7"/>
    <s v="V,V,G/F,F"/>
    <d v="2017-12-08T10:47:00"/>
    <n v="935636"/>
    <n v="935636"/>
    <n v="0"/>
    <d v="2018-07-01T00:00:00"/>
    <n v="48"/>
    <s v="SHF:Medium: Probabilistic Program Abstraction for Verification and Inference"/>
    <m/>
    <m/>
    <m/>
    <s v="P180456"/>
    <s v="Low Competitive"/>
    <m/>
    <s v="SHF FY18 FM/PL Medium Panel"/>
    <d v="2017-12-08T00:00:00"/>
    <s v=" V,V,G/F,F"/>
    <s v="21 rated projects: 1 HC, 8 C, 11 LC, 1 NC"/>
    <n v="10"/>
    <m/>
    <m/>
    <m/>
    <m/>
    <m/>
    <m/>
    <m/>
    <m/>
    <m/>
    <m/>
    <m/>
    <m/>
    <m/>
    <m/>
    <m/>
    <m/>
    <m/>
    <m/>
    <m/>
    <s v="1764080"/>
    <s v="Millstein"/>
    <s v="Todd"/>
    <s v="U of Cal Los Angeles"/>
    <n v="935636"/>
    <n v="935636"/>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todd@cs.ucla.edu"/>
    <s v="todd@cs.ucla.edu      "/>
  </r>
  <r>
    <m/>
    <d v="2017-10-02T16:59:00"/>
    <s v="NSF 17-571"/>
    <s v="05010000"/>
    <s v="7798"/>
    <s v="NEW"/>
    <s v="PEND"/>
    <s v="4110"/>
    <s v="FY18MEDCTX"/>
    <s v="ABANERJ"/>
    <m/>
    <n v="1"/>
    <n v="3"/>
    <s v="LC"/>
    <m/>
    <m/>
    <x v="5"/>
    <s v="Std Decline  1800538 Rozier"/>
    <m/>
    <m/>
    <s v="Anindya Banerjee"/>
    <s v="Cognizant Program Director"/>
    <s v="eJ"/>
    <s v="kyrozier@iastate.edu"/>
    <s v="PIs@"/>
    <s v="CCF"/>
    <s v="1800538"/>
    <n v="4"/>
    <n v="4"/>
    <m/>
    <s v=""/>
    <n v="5"/>
    <n v="6.25"/>
    <n v="7"/>
    <s v="V,V,V/G,G"/>
    <d v="2017-12-08T11:57:00"/>
    <n v="839097"/>
    <n v="839097"/>
    <n v="0"/>
    <d v="2018-03-15T00:00:00"/>
    <n v="36"/>
    <s v="SHF: Medium: Collaborative Research: Open-Source State-of-the-Art Symbolic Model-Checking Framework"/>
    <m/>
    <m/>
    <m/>
    <s v="P180456"/>
    <s v="Low Competitive"/>
    <m/>
    <s v="SHF FY18 FM/PL Medium Panel"/>
    <d v="2017-12-08T00:00:00"/>
    <s v=" V,V,V/G,G"/>
    <s v="21 rated projects: 1 HC, 8 C, 11 LC, 1 NC"/>
    <n v="10"/>
    <n v="4"/>
    <m/>
    <m/>
    <m/>
    <m/>
    <m/>
    <m/>
    <m/>
    <m/>
    <m/>
    <m/>
    <m/>
    <m/>
    <m/>
    <m/>
    <m/>
    <m/>
    <m/>
    <m/>
    <s v="1800538"/>
    <s v="Rozier"/>
    <s v="Kristin"/>
    <s v="Iowa State University"/>
    <n v="572949"/>
    <n v="572949"/>
    <s v="7924 7943"/>
    <s v="1800535"/>
    <s v="Vardi"/>
    <s v="Moshe"/>
    <s v="William Marsh Rice Univ"/>
    <n v="266148"/>
    <n v="266148"/>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kyrozier@iastate.edu"/>
    <s v="kyrozier@iastate.edu;vardi@rice.edu     "/>
  </r>
  <r>
    <m/>
    <d v="2017-09-27T11:37:00"/>
    <s v="NSF 17-571"/>
    <s v="05010000"/>
    <s v="7798"/>
    <s v="NEW"/>
    <s v="PEND"/>
    <s v="4110"/>
    <s v="FY18MEDCTX"/>
    <s v="ABANERJ"/>
    <m/>
    <n v="1"/>
    <n v="4"/>
    <s v="NC"/>
    <m/>
    <m/>
    <x v="5"/>
    <s v="Std Decline  1763565 Whalley"/>
    <m/>
    <m/>
    <s v="Anindya Banerjee"/>
    <s v="Cognizant Program Director"/>
    <s v="eJ"/>
    <s v="whalley@cs.fsu.edu"/>
    <s v="PIs@"/>
    <s v="CCF"/>
    <s v="1763565"/>
    <n v="4"/>
    <m/>
    <m/>
    <s v=""/>
    <n v="4"/>
    <n v="4.75"/>
    <n v="5"/>
    <s v="G,G,G,G/F"/>
    <d v="2017-12-07T17:33:00"/>
    <n v="1199958"/>
    <n v="1199958"/>
    <n v="0"/>
    <d v="2018-07-01T00:00:00"/>
    <n v="48"/>
    <s v="SHF: Medium: Collaborative Research: Improving Performance by Applying Branch and Control Dependence Elimination"/>
    <m/>
    <m/>
    <m/>
    <s v="P180456"/>
    <s v="Not Competitive"/>
    <m/>
    <s v="SHF FY18 FM/PL Medium Panel"/>
    <d v="2017-12-08T00:00:00"/>
    <s v=" G,G,G,G/F"/>
    <s v="21 rated projects: 1 HC, 8 C, 11 LC, 1 NC"/>
    <n v="10"/>
    <m/>
    <m/>
    <m/>
    <m/>
    <m/>
    <m/>
    <m/>
    <m/>
    <m/>
    <m/>
    <m/>
    <m/>
    <m/>
    <m/>
    <m/>
    <m/>
    <m/>
    <m/>
    <m/>
    <s v="1763565"/>
    <s v="Whalley"/>
    <s v="David"/>
    <s v="Florida State University"/>
    <n v="600000"/>
    <n v="600000"/>
    <s v="7924 7943"/>
    <s v="1763706"/>
    <s v="Onder"/>
    <s v="Soner"/>
    <s v="Mich Technological Univ"/>
    <n v="599958"/>
    <n v="599958"/>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whalley@cs.fsu.edu"/>
    <s v="whalley@cs.fsu.edu;soner@mtu.edu     "/>
  </r>
</pivotCacheRecords>
</file>

<file path=xl/pivotCache/pivotCacheRecords2.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8">
        <item m="1" x="6"/>
        <item m="1" x="4"/>
        <item m="1" x="3"/>
        <item m="1" x="1"/>
        <item m="1" x="5"/>
        <item m="1" x="2"/>
        <item x="0"/>
        <item t="default"/>
      </items>
    </pivotField>
    <pivotField subtotalTop="0" showAll="0"/>
    <pivotField subtotalTop="0" showAll="0"/>
    <pivotField subtotalTop="0" showAll="0"/>
    <pivotField subtotalTop="0" showAll="0"/>
    <pivotField subtotalTop="0" showAll="0"/>
    <pivotField axis="axisCol" subtotalTop="0" showAll="0">
      <items count="8">
        <item m="1" x="6"/>
        <item m="1" x="1"/>
        <item m="1" x="2"/>
        <item m="1" x="4"/>
        <item m="1" x="5"/>
        <item m="1" x="3"/>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24">
        <item m="1" x="5"/>
        <item m="1" x="21"/>
        <item m="1" x="22"/>
        <item m="1" x="2"/>
        <item m="1" x="8"/>
        <item m="1" x="10"/>
        <item m="1" x="19"/>
        <item m="1" x="17"/>
        <item m="1" x="11"/>
        <item m="1" x="12"/>
        <item m="1" x="15"/>
        <item m="1" x="1"/>
        <item m="1" x="3"/>
        <item m="1" x="6"/>
        <item m="1" x="9"/>
        <item m="1" x="23"/>
        <item m="1" x="16"/>
        <item m="1" x="13"/>
        <item m="1" x="7"/>
        <item m="1" x="14"/>
        <item m="1" x="18"/>
        <item m="1" x="4"/>
        <item m="1" x="20"/>
        <item x="0"/>
      </items>
    </pivotField>
    <pivotField axis="axisRow" subtotalTop="0" showAll="0" defaultSubtotal="0">
      <items count="23">
        <item m="1" x="7"/>
        <item m="1" x="17"/>
        <item m="1" x="10"/>
        <item m="1" x="22"/>
        <item m="1" x="4"/>
        <item m="1" x="14"/>
        <item m="1" x="9"/>
        <item m="1" x="13"/>
        <item m="1" x="16"/>
        <item m="1" x="3"/>
        <item m="1" x="12"/>
        <item m="1" x="11"/>
        <item m="1" x="5"/>
        <item m="1" x="21"/>
        <item m="1" x="1"/>
        <item m="1" x="18"/>
        <item m="1" x="8"/>
        <item m="1" x="20"/>
        <item m="1" x="15"/>
        <item m="1" x="19"/>
        <item m="1" x="6"/>
        <item m="1" x="2"/>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v="23"/>
      <x v="22"/>
    </i>
    <i r="2">
      <x v="6"/>
    </i>
    <i t="grand">
      <x/>
    </i>
  </rowItems>
  <colFields count="1">
    <field x="15"/>
  </colFields>
  <colItems count="2">
    <i>
      <x v="6"/>
    </i>
    <i t="grand">
      <x/>
    </i>
  </colItems>
  <dataFields count="1">
    <dataField name="Sum of budg_splt_tot_dol" fld="17" baseField="0" baseItem="0" numFmtId="166"/>
  </dataFields>
  <formats count="3">
    <format dxfId="46">
      <pivotArea outline="0" collapsedLevelsAreSubtotals="1" fieldPosition="0"/>
    </format>
    <format dxfId="45">
      <pivotArea outline="0" collapsedLevelsAreSubtotals="1" fieldPosition="0"/>
    </format>
    <format dxfId="4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7:E24" firstHeaderRow="1" firstDataRow="1" firstDataCol="1"/>
  <pivotFields count="133">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11">
        <item x="1"/>
        <item m="1" x="6"/>
        <item m="1" x="9"/>
        <item m="1" x="8"/>
        <item m="1" x="7"/>
        <item x="0"/>
        <item x="4"/>
        <item x="2"/>
        <item x="3"/>
        <item x="5"/>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7">
    <i>
      <x/>
    </i>
    <i>
      <x v="5"/>
    </i>
    <i>
      <x v="6"/>
    </i>
    <i>
      <x v="7"/>
    </i>
    <i>
      <x v="8"/>
    </i>
    <i>
      <x v="9"/>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30">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58" dataBound="0" tableColumnId="2"/>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5.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6.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145">
    <queryTableFields count="133">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s>
  </queryTableRefresh>
</queryTable>
</file>

<file path=xl/queryTables/queryTable7.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8.xml><?xml version="1.0" encoding="utf-8"?>
<queryTable xmlns="http://schemas.openxmlformats.org/spreadsheetml/2006/main" name="Query from RPTSERVER" backgroundRefresh="0" adjustColumnWidth="0" connectionId="6"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8" name="AwdPropTable" displayName="AwdPropTable" ref="B12:B13" insertRow="1" totalsRowShown="0" dataDxfId="265">
  <autoFilter ref="B12:B13"/>
  <tableColumns count="1">
    <tableColumn id="1" name="prop_id" dataDxfId="264"/>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2:E13" insertRow="1" totalsRowShown="0" dataDxfId="263">
  <autoFilter ref="E12:E13"/>
  <tableColumns count="1">
    <tableColumn id="1" name="prop_id" dataDxfId="262"/>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2:H13" insertRow="1" totalsRowShown="0" dataDxfId="261">
  <autoFilter ref="H12:H13"/>
  <tableColumns count="1">
    <tableColumn id="1" name="prop_id" dataDxfId="260"/>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L96" tableType="queryTable" totalsRowShown="0">
  <autoFilter ref="A1:BL96"/>
  <tableColumns count="64">
    <tableColumn id="123" uniqueName="123" name="dd_rcom_date" queryTableFieldId="1" dataDxfId="253"/>
    <tableColumn id="124" uniqueName="124" name="nsf_rcvd_date" queryTableFieldId="2" dataDxfId="252"/>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51"/>
    <tableColumn id="131" uniqueName="131" name="bas_rsch_pct" queryTableFieldId="9" dataDxfId="250"/>
    <tableColumn id="132" uniqueName="132" name="other_pct" queryTableFieldId="10" dataDxfId="249"/>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IF(SUM(ckCodingTable[[#This Row],[NfmlPIs]:[NnonWhtAsnPIs]])&gt;0,"WMD","")</calculatedColumnFormula>
    </tableColumn>
    <tableColumn id="188" uniqueName="188" name="epscor" queryTableFieldId="67">
      <calculatedColumnFormula>_xlfn.XOR(IFERROR(MATCH(ckCodingTable[[#This Row],[st_code]],EpscorTable[],0)&gt;0,FALSE),IFERROR(FIND("9150",ckCodingTable[[#This Row],[propPRCs]])&gt;0,FALSE))</calculatedColumnFormula>
    </tableColumn>
    <tableColumn id="189" uniqueName="189" name="dmog" queryTableFieldId="66" dataDxfId="248">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47"/>
    <tableColumn id="186" uniqueName="186" name="0" queryTableFieldId="65" dataDxfId="246">
      <calculatedColumnFormula>S1+(ckCodingTable[[#This Row],[ILN]]&lt;"M")</calculatedColumnFormula>
    </tableColumn>
    <tableColumn id="139" uniqueName="139" name="ILN" queryTableFieldId="17" dataDxfId="245"/>
    <tableColumn id="138" uniqueName="138" name="lead" queryTableFieldId="16"/>
    <tableColumn id="185" uniqueName="185" name="eJ" queryTableFieldId="64" dataCellStyle="Hyperlink">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44" dataCellStyle="Hyperlink">
      <calculatedColumnFormula>HYPERLINK("mailto:"&amp;ckCodingTable[[#This Row],[email]]&amp;"&amp;subject=Your NSF Proposal:  "&amp;ckCodingTable[[#This Row],[Div]]&amp;" "&amp;ckCodingTable[[#This Row],[prop_id]], ckCodingTable[[#This Row],[email]])</calculatedColumnFormula>
    </tableColumn>
    <tableColumn id="145" uniqueName="145" name="rqst_eff_date" queryTableFieldId="23" dataDxfId="243"/>
    <tableColumn id="146" uniqueName="146" name="rqst_mnth_cnt" queryTableFieldId="24"/>
    <tableColumn id="147" uniqueName="147" name="nPanl" queryTableFieldId="25"/>
    <tableColumn id="149" uniqueName="149" name="nPSunrls" queryTableFieldId="27"/>
    <tableColumn id="148" uniqueName="148" name="nPSunmrkd" queryTableFieldId="26" dataDxfId="242"/>
    <tableColumn id="152" uniqueName="152" name="allReviews" queryTableFieldId="30"/>
    <tableColumn id="153" uniqueName="153" name="avg_score" queryTableFieldId="31" dataDxfId="241"/>
    <tableColumn id="154" uniqueName="154" name="last_rev_date" queryTableFieldId="32" dataDxfId="240"/>
    <tableColumn id="156" uniqueName="156" name="Nconfl" queryTableFieldId="34" dataDxfId="239"/>
    <tableColumn id="151" uniqueName="151" name="nRev" queryTableFieldId="29"/>
    <tableColumn id="157" uniqueName="157" name="Nunrlsbl" queryTableFieldId="35"/>
    <tableColumn id="155" uniqueName="155" name="Nunmkd" queryTableFieldId="33" dataDxfId="238"/>
    <tableColumn id="158" uniqueName="158" name="NrlsdCDNPS" queryTableFieldId="36" dataDxfId="237"/>
    <tableColumn id="159" uniqueName="159" name="NpendSlct" queryTableFieldId="37" dataDxfId="236"/>
    <tableColumn id="160" uniqueName="160" name="NdiffFLeJ" queryTableFieldId="38" dataDxfId="235"/>
    <tableColumn id="5" uniqueName="5" name="eJ again" queryTableFieldId="81" dataCellStyle="Hyperlink">
      <calculatedColumnFormula>HYPERLINK("https://www.ejacket.nsf.gov/ej/showProposal.do?ID="&amp;ckCodingTable[[#This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IF(ckCodingTable[[#This Row],[ILN]]="N",SUBSTITUTE(AT1," ","")&lt;&gt;SUBSTITUTE(ckCodingTable[[#This Row],[prop_titl_txt]]," ",""), FALSE)</calculatedColumnFormula>
    </tableColumn>
    <tableColumn id="163" uniqueName="163" name="brevn" queryTableFieldId="41"/>
    <tableColumn id="164" uniqueName="164" name="rqst_tot" queryTableFieldId="42" dataDxfId="234" dataCellStyle="Currency"/>
    <tableColumn id="165" uniqueName="165" name="budg_tot" queryTableFieldId="43" dataDxfId="233" dataCellStyle="Currency"/>
    <tableColumn id="166" uniqueName="166" name="sub_ctr_tot" queryTableFieldId="44" dataDxfId="232" dataCellStyle="Currency"/>
    <tableColumn id="167" uniqueName="167" name="frgn_trav_tot" queryTableFieldId="45" dataDxfId="231" dataCellStyle="Currency"/>
    <tableColumn id="168" uniqueName="168" name="pdoc_tot" queryTableFieldId="46" dataDxfId="230" dataCellStyle="Currency"/>
    <tableColumn id="169" uniqueName="169" name="part_tot_dol" queryTableFieldId="47" dataDxfId="229"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5.xml><?xml version="1.0" encoding="utf-8"?>
<table xmlns="http://schemas.openxmlformats.org/spreadsheetml/2006/main" id="7" name="ckAwdTable" displayName="ckAwdTable" ref="A1:AX96" tableType="queryTable" totalsRowShown="0">
  <autoFilter ref="A1:AX96"/>
  <tableColumns count="50">
    <tableColumn id="1" uniqueName="1" name="dd_rcom_date" queryTableFieldId="214" dataDxfId="224"/>
    <tableColumn id="4" uniqueName="4" name="nsf_rcvd_date" queryTableFieldId="4" dataDxfId="223"/>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22"/>
    <tableColumn id="39" uniqueName="39" name="natr_rqst_abbr" queryTableFieldId="280" dataDxfId="221"/>
    <tableColumn id="49" uniqueName="49" name="rcom_istr_abbr" queryTableFieldId="281" dataDxfId="220"/>
    <tableColumn id="19" uniqueName="19" name="obj_clas_code" queryTableFieldId="221"/>
    <tableColumn id="11" uniqueName="11" name="cntx_stmt_id" queryTableFieldId="11"/>
    <tableColumn id="32" uniqueName="32" name="RAupdate" queryTableFieldId="254" dataDxfId="219"/>
    <tableColumn id="25" uniqueName="25" name="0" queryTableFieldId="230" dataDxfId="218">
      <calculatedColumnFormula xml:space="preserve"> M1+(ckAwdTable[ILN]&lt;"M")</calculatedColumnFormula>
    </tableColumn>
    <tableColumn id="2" uniqueName="2" name="ILN" queryTableFieldId="215"/>
    <tableColumn id="3" uniqueName="3" name="lead" queryTableFieldId="216"/>
    <tableColumn id="205" uniqueName="205" name="eJ" queryTableFieldId="213" dataDxfId="217" dataCellStyle="Hyperlink">
      <calculatedColumnFormula>HYPERLINK("https://www.ejacket.nsf.gov/ej/showProposal.do?ID="&amp;ckAwdTable[[#This Row],[prop_id]],"eJ")</calculatedColumnFormula>
    </tableColumn>
    <tableColumn id="27" uniqueName="27" name="Div" queryTableFieldId="282" dataDxfId="216"/>
    <tableColumn id="12" uniqueName="12" name="prop_id" queryTableFieldId="12"/>
    <tableColumn id="13" uniqueName="13" name="pi_last_name" queryTableFieldId="13"/>
    <tableColumn id="14" uniqueName="14" name="pi_frst_name" queryTableFieldId="14"/>
    <tableColumn id="24" uniqueName="24" name="inst" queryTableFieldId="283" dataDxfId="215"/>
    <tableColumn id="23" uniqueName="23" name="st_code" queryTableFieldId="225"/>
    <tableColumn id="206" uniqueName="206" name="@pi email" queryTableFieldId="212" dataDxfId="214" dataCellStyle="Hyperlink">
      <calculatedColumnFormula>HYPERLINK("mailto:"&amp; ckAwdTable[[#This Row],[email]]&amp;"&amp;subject=Your NSF Proposal:  "&amp;ckAwdTable[[#This Row],[prop_id]], ckAwdTable[[#This Row],[email]])</calculatedColumnFormula>
    </tableColumn>
    <tableColumn id="16" uniqueName="16" name="rqst_eff_date" queryTableFieldId="16" dataDxfId="213"/>
    <tableColumn id="17" uniqueName="17" name="rqst_mnth_cnt" queryTableFieldId="17"/>
    <tableColumn id="9" uniqueName="9" name="humn_date" queryTableFieldId="218"/>
    <tableColumn id="28" uniqueName="28" name="hum_asur" queryTableFieldId="301" dataDxfId="212"/>
    <tableColumn id="29" uniqueName="29" name="HUM_EXPT" queryTableFieldId="302" dataDxfId="211"/>
    <tableColumn id="10" uniqueName="10" name="vrtb_date" queryTableFieldId="219"/>
    <tableColumn id="37" uniqueName="37" name="vrtb_asur" queryTableFieldId="303" dataDxfId="210"/>
    <tableColumn id="30" uniqueName="30" name="Country" queryTableFieldId="250" dataDxfId="209"/>
    <tableColumn id="34" uniqueName="34" name="rqst_tot" queryTableFieldId="288" dataDxfId="208" dataCellStyle="Currency"/>
    <tableColumn id="35" uniqueName="35" name="brevn" queryTableFieldId="289" dataDxfId="207"/>
    <tableColumn id="36" uniqueName="36" name="budg_tot" queryTableFieldId="290" dataDxfId="206"/>
    <tableColumn id="40" uniqueName="40" name="sub_ctr_tot" queryTableFieldId="292" dataDxfId="205"/>
    <tableColumn id="41" uniqueName="41" name="frgn_trav_tot" queryTableFieldId="293" dataDxfId="204"/>
    <tableColumn id="42" uniqueName="42" name="pdoc_tot" queryTableFieldId="294" dataDxfId="203"/>
    <tableColumn id="43" uniqueName="43" name="part_tot_dol" queryTableFieldId="295" dataDxfId="202"/>
    <tableColumn id="44" uniqueName="44" name="grad_tot_cnt" queryTableFieldId="296" dataDxfId="201"/>
    <tableColumn id="45" uniqueName="45" name="sr_tot_cnt" queryTableFieldId="297" dataDxfId="200"/>
    <tableColumn id="46" uniqueName="46" name="sr_sumr_mnths" queryTableFieldId="298" dataDxfId="199"/>
    <tableColumn id="47" uniqueName="47" name="sr_acad_mnths" queryTableFieldId="299" dataDxfId="198"/>
    <tableColumn id="48" uniqueName="48" name="sr_cal_mnths" queryTableFieldId="300" dataDxfId="197"/>
    <tableColumn id="8" uniqueName="8" name="prop_stts_txt" queryTableFieldId="278" dataDxfId="196"/>
    <tableColumn id="54" uniqueName="54" name="OTH_AGCY_SUBM_FLAG" queryTableFieldId="287" dataDxfId="195"/>
    <tableColumn id="53" uniqueName="53" name="Abstr?marks" queryTableFieldId="320" dataDxfId="194">
      <calculatedColumnFormula>IFERROR(IF(FIND("?",ckAwdTable[abst_narr_txt]),SummarizeQuestMarks(ckAwdTable[abst_narr_txt]),""),"")</calculatedColumnFormula>
    </tableColumn>
    <tableColumn id="51" uniqueName="51" name="abst_narr_txt" queryTableFieldId="251" dataDxfId="193"/>
    <tableColumn id="83" uniqueName="83" name="prop_titl_txt" queryTableFieldId="83"/>
    <tableColumn id="52" uniqueName="52" name="titl_ck" queryTableFieldId="322">
      <calculatedColumnFormula>AND(ckAwdTable[[#This Row],[ILN]]&gt;"M", SUBSTITUTE(ckAwdTable[[#This Row],[prop_titl_txt]]," ","")&lt;&gt;SUBSTITUTE(AV1," ",""))</calculatedColumnFormula>
    </tableColumn>
    <tableColumn id="26" uniqueName="26" name="email" queryTableFieldId="284" dataDxfId="192"/>
  </tableColumns>
  <tableStyleInfo name="TableStyleLight11" showFirstColumn="0" showLastColumn="0" showRowStripes="0" showColumnStripes="0"/>
</table>
</file>

<file path=xl/tables/table6.xml><?xml version="1.0" encoding="utf-8"?>
<table xmlns="http://schemas.openxmlformats.org/spreadsheetml/2006/main" id="5" name="BudgetsTable" displayName="BudgetsTable" ref="A3:AD473" tableType="queryTable" totalsRowShown="0" dataDxfId="188">
  <autoFilter ref="A3:AD473"/>
  <tableColumns count="30">
    <tableColumn id="10" uniqueName="10" name="prop_id" queryTableFieldId="10" dataDxfId="187"/>
    <tableColumn id="9" uniqueName="9" name="ILN" queryTableFieldId="89" dataDxfId="186" dataCellStyle="Hyperlink"/>
    <tableColumn id="31" uniqueName="31" name="10" queryTableFieldId="98" dataDxfId="185" dataCellStyle="Hyperlink">
      <calculatedColumnFormula>C3+(BudgetsTable[[#This Row],[lead]]&lt;&gt;K3)</calculatedColumnFormula>
    </tableColumn>
    <tableColumn id="32" uniqueName="32" name="0" queryTableFieldId="97" dataDxfId="184" dataCellStyle="Hyperlink">
      <calculatedColumnFormula>D3*(BudgetsTable[[#This Row],[lead]]=K3)+(BudgetsTable[[#This Row],[prop_id]]&lt;&gt;A3)</calculatedColumnFormula>
    </tableColumn>
    <tableColumn id="3" uniqueName="3" name="nsf_rcvd_date" queryTableFieldId="63" dataDxfId="183" dataCellStyle="Hyperlink"/>
    <tableColumn id="4" uniqueName="4" name="pgm_annc_id" queryTableFieldId="64" dataDxfId="182" dataCellStyle="Hyperlink"/>
    <tableColumn id="5" uniqueName="5" name="org_code" queryTableFieldId="65" dataDxfId="181" dataCellStyle="Hyperlink"/>
    <tableColumn id="6" uniqueName="6" name="pgm_ele_code" queryTableFieldId="66" dataDxfId="180" dataCellStyle="Hyperlink"/>
    <tableColumn id="27" uniqueName="27" name="PO" queryTableFieldId="91" dataDxfId="179" dataCellStyle="Hyperlink"/>
    <tableColumn id="28" uniqueName="28" name="pi_email" queryTableFieldId="92" dataDxfId="178" dataCellStyle="Hyperlink"/>
    <tableColumn id="8" uniqueName="8" name="lead" queryTableFieldId="68" dataDxfId="177"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DxfId="176" dataCellStyle="Hyperlink">
      <calculatedColumnFormula>IF(BudgetsTable[[#This Row],[pi_last_name]]=" ","",HYPERLINK("https://www.ejacket.nsf.gov/ej/processReviewAnalysis.do?dispatch=add&amp;uniqId="&amp;BudgetsTable[[#This Row],[prop_id]]&amp;PO_id,"&gt;ra"))</calculatedColumnFormula>
    </tableColumn>
    <tableColumn id="11" uniqueName="11" name="pi_last_name" queryTableFieldId="70" dataDxfId="175" dataCellStyle="Hyperlink"/>
    <tableColumn id="30" uniqueName="30" name="@pi" queryTableFieldId="96" dataCellStyle="Hyperlink">
      <calculatedColumnFormula>IF(BudgetsTable[[#This Row],[pi_last_name]]=" ","",HYPERLINK("mailto:"&amp;BudgetsTable[[#This Row],[pi_email]]&amp;"&amp;subject=Your NSF Proposal:  "&amp;BudgetsTable[[#This Row],[prop_id]],BudgetsTable[[#This Row],[pi_email]]))</calculatedColumnFormula>
    </tableColumn>
    <tableColumn id="12" uniqueName="12" name="inst_name" queryTableFieldId="71" dataDxfId="174" dataCellStyle="Hyperlink"/>
    <tableColumn id="14" uniqueName="14" name="sr_pers_cnt" queryTableFieldId="73" dataDxfId="173" dataCellStyle="Hyperlink"/>
    <tableColumn id="15" uniqueName="15" name="sr_summ_mnth_cnt" queryTableFieldId="74" dataDxfId="172" dataCellStyle="Hyperlink"/>
    <tableColumn id="16" uniqueName="16" name="pdoc_grnt_dol" queryTableFieldId="75" dataDxfId="171" dataCellStyle="Currency"/>
    <tableColumn id="17" uniqueName="17" name="frgn_trav_dol" queryTableFieldId="76" dataDxfId="170" dataCellStyle="Currency"/>
    <tableColumn id="18" uniqueName="18" name="part_dol" queryTableFieldId="77" dataDxfId="169" dataCellStyle="Currency"/>
    <tableColumn id="19" uniqueName="19" name="budg_tot_dol" queryTableFieldId="78" dataDxfId="168" dataCellStyle="Currency"/>
    <tableColumn id="20" uniqueName="20" name="revn_num" queryTableFieldId="79" dataDxfId="167" dataCellStyle="Hyperlink"/>
    <tableColumn id="21" uniqueName="21" name="budg_seq_yr" queryTableFieldId="80" dataDxfId="166" dataCellStyle="Hyperlink"/>
    <tableColumn id="26" uniqueName="26" name="Column1" queryTableFieldId="85" dataDxfId="165" dataCellStyle="Hyperlink">
      <calculatedColumnFormula>IF(ISBLANK(BudgetsTable[[#This Row],[budg_seq_yr]]),"FY"&amp;fiscalyear,"FY"&amp;fiscalyear-1+BudgetsTable[[#This Row],[budg_seq_yr]])</calculatedColumnFormula>
    </tableColumn>
    <tableColumn id="22" uniqueName="22" name="dol" queryTableFieldId="81" dataDxfId="164" dataCellStyle="Currency"/>
    <tableColumn id="23" uniqueName="23" name="org_code2" queryTableFieldId="82" dataDxfId="163" dataCellStyle="Hyperlink"/>
    <tableColumn id="24" uniqueName="24" name="PEC" queryTableFieldId="83" dataDxfId="162" dataCellStyle="Hyperlink"/>
    <tableColumn id="7" uniqueName="7" name="Obj" queryTableFieldId="99" dataDxfId="161" dataCellStyle="Hyperlink"/>
    <tableColumn id="25" uniqueName="25" name="PRCs" queryTableFieldId="84" dataDxfId="160" dataCellStyle="Hyperlink"/>
  </tableColumns>
  <tableStyleInfo name="AddTableStyle" showFirstColumn="0" showLastColumn="0" showRowStripes="0" showColumnStripes="0"/>
</table>
</file>

<file path=xl/tables/table7.xml><?xml version="1.0" encoding="utf-8"?>
<table xmlns="http://schemas.openxmlformats.org/spreadsheetml/2006/main" id="11" name="PRCGlossaryTable" displayName="PRCGlossaryTable" ref="A2:B13" tableType="queryTable" totalsRowShown="0" headerRowCellStyle="Normal" dataCellStyle="Normal">
  <autoFilter ref="A2:B13"/>
  <tableColumns count="2">
    <tableColumn id="1" uniqueName="1" name="PRC" queryTableFieldId="278" dataDxfId="159"/>
    <tableColumn id="2" uniqueName="2" name="PRC_Description" queryTableFieldId="279"/>
  </tableColumns>
  <tableStyleInfo name="TableFall" showFirstColumn="0" showLastColumn="0" showRowStripes="1" showColumnStripes="0"/>
</table>
</file>

<file path=xl/tables/table8.xml><?xml version="1.0" encoding="utf-8"?>
<table xmlns="http://schemas.openxmlformats.org/spreadsheetml/2006/main" id="13" name="PECGlossaryTable" displayName="PECGlossaryTable" ref="D2:E5" tableType="queryTable" totalsRowShown="0" headerRowCellStyle="Normal" dataCellStyle="Normal">
  <autoFilter ref="D2:E5"/>
  <tableColumns count="2">
    <tableColumn id="1" uniqueName="1" name="PEC" queryTableFieldId="280" dataDxfId="158"/>
    <tableColumn id="2" uniqueName="2" name="PEC_Description" queryTableFieldId="281"/>
  </tableColumns>
  <tableStyleInfo name="TableFall" showFirstColumn="0" showLastColumn="0" showRowStripes="1" showColumnStripes="0"/>
</table>
</file>

<file path=xl/tables/table9.xml><?xml version="1.0" encoding="utf-8"?>
<table xmlns="http://schemas.openxmlformats.org/spreadsheetml/2006/main" id="2" name="RADataTable" displayName="RADataTable" ref="A1:EC79" tableType="queryTable" totalsRowShown="0">
  <autoFilter ref="A1:EC79">
    <filterColumn colId="12">
      <customFilters>
        <customFilter operator="greaterThan" val="0"/>
      </customFilters>
    </filterColumn>
  </autoFilter>
  <sortState ref="A2:EC79">
    <sortCondition ref="M1:M79"/>
  </sortState>
  <tableColumns count="133">
    <tableColumn id="1" uniqueName="1" name="dd_rcom_date" queryTableFieldId="1" dataDxfId="156"/>
    <tableColumn id="2" uniqueName="2" name="nsf_rcvd_date" queryTableFieldId="2" dataDxfId="155"/>
    <tableColumn id="3" uniqueName="3" name="pgm_annc_id" queryTableFieldId="3" dataDxfId="154"/>
    <tableColumn id="4" uniqueName="4" name="org_code" queryTableFieldId="4" dataDxfId="153"/>
    <tableColumn id="5" uniqueName="5" name="pgm_ele_code" queryTableFieldId="5" dataDxfId="152"/>
    <tableColumn id="6" uniqueName="6" name="natr_rqst_abbr" queryTableFieldId="6" dataDxfId="151"/>
    <tableColumn id="7" uniqueName="7" name="prop_stts_abbr" queryTableFieldId="7" dataDxfId="150"/>
    <tableColumn id="8" uniqueName="8" name="obj_clas_code" queryTableFieldId="8"/>
    <tableColumn id="9" uniqueName="9" name="cntx_stmt_id" queryTableFieldId="9"/>
    <tableColumn id="10" uniqueName="10" name="PO" queryTableFieldId="10"/>
    <tableColumn id="11" uniqueName="11" name="RAupdate" queryTableFieldId="11" dataDxfId="149"/>
    <tableColumn id="12" uniqueName="12" name="nPanl" queryTableFieldId="12"/>
    <tableColumn id="13" uniqueName="13" name="RecRkMin" queryTableFieldId="13" dataDxfId="148"/>
    <tableColumn id="14" uniqueName="14" name="rec0" queryTableFieldId="14"/>
    <tableColumn id="15" uniqueName="15" name="rec1" queryTableFieldId="15"/>
    <tableColumn id="16" uniqueName="16" name="rec2" queryTableFieldId="16"/>
    <tableColumn id="17" uniqueName="17" name="RAtemplate" queryTableFieldId="17" dataDxfId="147"/>
    <tableColumn id="133" uniqueName="133" name="Radraft_filename" queryTableFieldId="135" dataDxfId="146">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145"/>
    <tableColumn id="137" uniqueName="137" name="RAps_note" queryTableFieldId="136" dataDxfId="144"/>
    <tableColumn id="134" uniqueName="134" name="RAsigner" queryTableFieldId="134" dataDxfId="143">
      <calculatedColumnFormula>IF(signer1="PD",IF(ISBLANK(RADataTable[[#This Row],[sign_blck_name]]),"",RADataTable[[#This Row],[sign_blck_name]]),IF(ISBLANK(signer1),"",signer1))</calculatedColumnFormula>
    </tableColumn>
    <tableColumn id="135" uniqueName="135" name="RAsigner2" queryTableFieldId="133" dataDxfId="142">
      <calculatedColumnFormula>signer2</calculatedColumnFormula>
    </tableColumn>
    <tableColumn id="138" uniqueName="138" name="ej" queryTableFieldId="142" dataDxfId="141" dataCellStyle="Hyperlink">
      <calculatedColumnFormula>HYPERLINK("https://www.ejacket.nsf.gov/ej/showProposal.do?Continue=Y&amp;ID="&amp;RADataTable[[#This Row],[prop_id0]],"eJ")</calculatedColumnFormula>
    </tableColumn>
    <tableColumn id="139" uniqueName="139" name="@PI" queryTableFieldId="141" dataDxfId="140" dataCellStyle="Hyperlink">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139" dataCellStyle="Hyperlink">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dataDxfId="138">
      <calculatedColumnFormula>IF(RADataTable[[#This Row],[maxScore]]-RADataTable[[#This Row],[minScore]]&gt;4,"Y","")</calculatedColumnFormula>
    </tableColumn>
    <tableColumn id="22" uniqueName="22" name="minScore" queryTableFieldId="22" dataDxfId="137"/>
    <tableColumn id="23" uniqueName="23" name="avg_score" queryTableFieldId="23" dataDxfId="136"/>
    <tableColumn id="24" uniqueName="24" name="maxScore" queryTableFieldId="24"/>
    <tableColumn id="25" uniqueName="25" name="allReviews" queryTableFieldId="25"/>
    <tableColumn id="26" uniqueName="26" name="last_rev_date" queryTableFieldId="26" dataDxfId="135"/>
    <tableColumn id="28" uniqueName="28" name="rqst_tot" queryTableFieldId="28" dataDxfId="134" dataCellStyle="Currency"/>
    <tableColumn id="29" uniqueName="29" name="budg_tot" queryTableFieldId="29" dataDxfId="133" dataCellStyle="Currency"/>
    <tableColumn id="30" uniqueName="30" name="budRevnMax" queryTableFieldId="30"/>
    <tableColumn id="31" uniqueName="31" name="rqst_eff_date" queryTableFieldId="31" dataDxfId="132"/>
    <tableColumn id="32" uniqueName="32" name="rqst_mnth_cnt" queryTableFieldId="32" dataDxfId="131"/>
    <tableColumn id="33" uniqueName="33" name="prop_titl_txt" queryTableFieldId="33" dataDxfId="130"/>
    <tableColumn id="34" uniqueName="34" name="AhNrev" queryTableFieldId="34"/>
    <tableColumn id="35" uniqueName="35" name="AhRevs" queryTableFieldId="35"/>
    <tableColumn id="36" uniqueName="36" name="AhLast" queryTableFieldId="36" dataDxfId="129"/>
    <tableColumn id="37" uniqueName="37" name="panl_id0" queryTableFieldId="37"/>
    <tableColumn id="38" uniqueName="38" name="RCOM_TXT0" queryTableFieldId="38" dataDxfId="128"/>
    <tableColumn id="39" uniqueName="39" name="rank0" queryTableFieldId="39" dataDxfId="127"/>
    <tableColumn id="40" uniqueName="40" name="panl_name0" queryTableFieldId="40" dataDxfId="126"/>
    <tableColumn id="41" uniqueName="41" name="panl_end0" queryTableFieldId="41" dataDxfId="125"/>
    <tableColumn id="42" uniqueName="42" name="revs0" queryTableFieldId="42" dataDxfId="124"/>
    <tableColumn id="43" uniqueName="43" name="PanlString0" queryTableFieldId="43" dataDxfId="123"/>
    <tableColumn id="44" uniqueName="44" name="pnlst0" queryTableFieldId="44" dataDxfId="122"/>
    <tableColumn id="45" uniqueName="45" name="confl0" queryTableFieldId="45" dataDxfId="121"/>
    <tableColumn id="46" uniqueName="46" name="panl_id1" queryTableFieldId="46" dataDxfId="120"/>
    <tableColumn id="47" uniqueName="47" name="RCOM_TXT1" queryTableFieldId="47" dataDxfId="119"/>
    <tableColumn id="48" uniqueName="48" name="rank1" queryTableFieldId="48" dataDxfId="118"/>
    <tableColumn id="49" uniqueName="49" name="panl_name1" queryTableFieldId="49" dataDxfId="117"/>
    <tableColumn id="50" uniqueName="50" name="panl_end1" queryTableFieldId="50" dataDxfId="116"/>
    <tableColumn id="51" uniqueName="51" name="revs1" queryTableFieldId="51" dataDxfId="115"/>
    <tableColumn id="52" uniqueName="52" name="PanlString1" queryTableFieldId="52" dataDxfId="114"/>
    <tableColumn id="53" uniqueName="53" name="pnlst1" queryTableFieldId="53" dataDxfId="113"/>
    <tableColumn id="54" uniqueName="54" name="confl1" queryTableFieldId="54" dataDxfId="112"/>
    <tableColumn id="55" uniqueName="55" name="panl_id2" queryTableFieldId="55" dataDxfId="111"/>
    <tableColumn id="56" uniqueName="56" name="RCOM_TXT2" queryTableFieldId="56" dataDxfId="110"/>
    <tableColumn id="57" uniqueName="57" name="rank2" queryTableFieldId="57" dataDxfId="109"/>
    <tableColumn id="58" uniqueName="58" name="panl_name2" queryTableFieldId="58" dataDxfId="108"/>
    <tableColumn id="59" uniqueName="59" name="panl_end2" queryTableFieldId="59" dataDxfId="107"/>
    <tableColumn id="60" uniqueName="60" name="revs2" queryTableFieldId="60" dataDxfId="106"/>
    <tableColumn id="61" uniqueName="61" name="PanlString2" queryTableFieldId="61" dataDxfId="105"/>
    <tableColumn id="62" uniqueName="62" name="pnlst2" queryTableFieldId="62" dataDxfId="104"/>
    <tableColumn id="63" uniqueName="63" name="confl2" queryTableFieldId="63" dataDxfId="103"/>
    <tableColumn id="64" uniqueName="64" name="prop_id0" queryTableFieldId="64"/>
    <tableColumn id="65" uniqueName="65" name="last0" queryTableFieldId="65" dataDxfId="102"/>
    <tableColumn id="66" uniqueName="66" name="frst0" queryTableFieldId="66" dataDxfId="101"/>
    <tableColumn id="67" uniqueName="67" name="inst0" queryTableFieldId="67" dataDxfId="100"/>
    <tableColumn id="68" uniqueName="68" name="rqst0" queryTableFieldId="68" dataDxfId="99"/>
    <tableColumn id="69" uniqueName="69" name="b0tot" queryTableFieldId="69" dataDxfId="98"/>
    <tableColumn id="70" uniqueName="70" name="PRC0" queryTableFieldId="70"/>
    <tableColumn id="71" uniqueName="71" name="prop_id1" queryTableFieldId="71" dataDxfId="97"/>
    <tableColumn id="72" uniqueName="72" name="last1" queryTableFieldId="72" dataDxfId="96"/>
    <tableColumn id="73" uniqueName="73" name="frst1" queryTableFieldId="73" dataDxfId="95"/>
    <tableColumn id="74" uniqueName="74" name="inst1" queryTableFieldId="74" dataDxfId="94"/>
    <tableColumn id="75" uniqueName="75" name="rqst1" queryTableFieldId="75" dataDxfId="93"/>
    <tableColumn id="76" uniqueName="76" name="b1tot" queryTableFieldId="76" dataDxfId="92"/>
    <tableColumn id="77" uniqueName="77" name="PRC1" queryTableFieldId="77"/>
    <tableColumn id="78" uniqueName="78" name="prop_id2" queryTableFieldId="78" dataDxfId="91"/>
    <tableColumn id="79" uniqueName="79" name="last2" queryTableFieldId="79" dataDxfId="90"/>
    <tableColumn id="80" uniqueName="80" name="frst2" queryTableFieldId="80" dataDxfId="89"/>
    <tableColumn id="81" uniqueName="81" name="inst2" queryTableFieldId="81" dataDxfId="88"/>
    <tableColumn id="82" uniqueName="82" name="rqst2" queryTableFieldId="82" dataDxfId="87"/>
    <tableColumn id="83" uniqueName="83" name="b2tot" queryTableFieldId="83" dataDxfId="86"/>
    <tableColumn id="84" uniqueName="84" name="PRC2" queryTableFieldId="84"/>
    <tableColumn id="85" uniqueName="85" name="prop_id3" queryTableFieldId="85" dataDxfId="85"/>
    <tableColumn id="86" uniqueName="86" name="last3" queryTableFieldId="86" dataDxfId="84"/>
    <tableColumn id="87" uniqueName="87" name="frst3" queryTableFieldId="87" dataDxfId="83"/>
    <tableColumn id="88" uniqueName="88" name="inst3" queryTableFieldId="88" dataDxfId="82"/>
    <tableColumn id="89" uniqueName="89" name="rqst3" queryTableFieldId="89" dataDxfId="81"/>
    <tableColumn id="90" uniqueName="90" name="b3tot" queryTableFieldId="90" dataDxfId="80"/>
    <tableColumn id="91" uniqueName="91" name="PRC3" queryTableFieldId="91" dataDxfId="79"/>
    <tableColumn id="92" uniqueName="92" name="prop_id4" queryTableFieldId="92" dataDxfId="78"/>
    <tableColumn id="93" uniqueName="93" name="last4" queryTableFieldId="93" dataDxfId="77"/>
    <tableColumn id="94" uniqueName="94" name="frst4" queryTableFieldId="94" dataDxfId="76"/>
    <tableColumn id="95" uniqueName="95" name="inst4" queryTableFieldId="95" dataDxfId="75"/>
    <tableColumn id="96" uniqueName="96" name="rqst4" queryTableFieldId="96" dataDxfId="74"/>
    <tableColumn id="97" uniqueName="97" name="b4tot" queryTableFieldId="97" dataDxfId="73"/>
    <tableColumn id="98" uniqueName="98" name="PRC4" queryTableFieldId="98" dataDxfId="72"/>
    <tableColumn id="99" uniqueName="99" name="prop_id5" queryTableFieldId="99" dataDxfId="71"/>
    <tableColumn id="100" uniqueName="100" name="last5" queryTableFieldId="100" dataDxfId="70"/>
    <tableColumn id="101" uniqueName="101" name="frst5" queryTableFieldId="101" dataDxfId="69"/>
    <tableColumn id="102" uniqueName="102" name="inst5" queryTableFieldId="102" dataDxfId="68"/>
    <tableColumn id="103" uniqueName="103" name="rqst5" queryTableFieldId="103" dataDxfId="67"/>
    <tableColumn id="104" uniqueName="104" name="b5tot" queryTableFieldId="104" dataDxfId="66"/>
    <tableColumn id="105" uniqueName="105" name="PRC5" queryTableFieldId="105"/>
    <tableColumn id="106" uniqueName="106" name="prop_id6" queryTableFieldId="106" dataDxfId="65"/>
    <tableColumn id="107" uniqueName="107" name="last6" queryTableFieldId="107" dataDxfId="64"/>
    <tableColumn id="108" uniqueName="108" name="frst6" queryTableFieldId="108" dataDxfId="63"/>
    <tableColumn id="109" uniqueName="109" name="inst6" queryTableFieldId="109" dataDxfId="62"/>
    <tableColumn id="110" uniqueName="110" name="rqst6" queryTableFieldId="110" dataDxfId="61"/>
    <tableColumn id="111" uniqueName="111" name="b6tot" queryTableFieldId="111" dataDxfId="60"/>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59"/>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58"/>
    <tableColumn id="123" uniqueName="123" name="email" queryTableFieldId="123"/>
    <tableColumn id="124" uniqueName="124" name="allPIemail" queryTableFieldId="124"/>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J10:J11" insertRow="1" totalsRowShown="0" headerRowDxfId="56" dataDxfId="55">
  <autoFilter ref="J10:J11"/>
  <tableColumns count="1">
    <tableColumn id="1" name="Available templates:" dataDxfId="54"/>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N2:N30" totalsRowCount="1" headerRowDxfId="53" dataDxfId="52">
  <autoFilter ref="N2:N29"/>
  <tableColumns count="1">
    <tableColumn id="1" name="Epscor" totalsRowFunction="count" dataDxfId="51" totalsRowDxfId="50"/>
  </tableColumns>
  <tableStyleInfo name="TableFall" showFirstColumn="0" showLastColumn="0" showRowStripes="1" showColumnStripes="0"/>
</table>
</file>

<file path=xl/tables/table12.xml><?xml version="1.0" encoding="utf-8"?>
<table xmlns="http://schemas.openxmlformats.org/spreadsheetml/2006/main" id="12" name="ckSplitsTable" displayName="ckSplitsTable" ref="A1:AH2" tableType="queryTable" insertRow="1" totalsRowShown="0">
  <autoFilter ref="A1:AH2"/>
  <tableColumns count="34">
    <tableColumn id="21" uniqueName="21" name="dd_rcom_date" queryTableFieldId="1" dataDxfId="43"/>
    <tableColumn id="22" uniqueName="22" name="nsf_rcvd_date" queryTableFieldId="2" dataDxfId="42"/>
    <tableColumn id="23" uniqueName="23" name="cntx_stmt_id" queryTableFieldId="3"/>
    <tableColumn id="24" uniqueName="24" name="pgm_annc_id" queryTableFieldId="4"/>
    <tableColumn id="60" uniqueName="60" name="pObj" queryTableFieldId="13" dataDxfId="41"/>
    <tableColumn id="61" uniqueName="61" name="bObj" queryTableFieldId="14" dataDxfId="40"/>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39"/>
    <tableColumn id="35" uniqueName="35" name="rcom_istr_abbr" queryTableFieldId="15" dataDxfId="38"/>
    <tableColumn id="57" uniqueName="57" name="budg_yr" queryTableFieldId="27" dataDxfId="37"/>
    <tableColumn id="58" uniqueName="58" name="splt_id" queryTableFieldId="28" dataDxfId="36"/>
    <tableColumn id="59" uniqueName="59" name="budg_splt_tot_dol" queryTableFieldId="29" dataDxfId="35"/>
    <tableColumn id="54" uniqueName="54" name="0" queryTableFieldId="35" dataDxfId="34">
      <calculatedColumnFormula>S1+(X2&lt;&gt;X1)</calculatedColumnFormula>
    </tableColumn>
    <tableColumn id="37" uniqueName="37" name="ILN" queryTableFieldId="17" dataDxfId="33"/>
    <tableColumn id="36" uniqueName="36" name="lead" queryTableFieldId="16" dataDxfId="32"/>
    <tableColumn id="55" uniqueName="55" name="eJ" queryTableFieldId="36" dataDxfId="31" dataCellStyle="Hyperlink">
      <calculatedColumnFormula>HYPERLINK("https://www.ejacket.nsf.gov/ej/showProposal.do?ID="&amp;ckSplitsTable[[#This Row],[prop_id]],"eJ")</calculatedColumnFormula>
    </tableColumn>
    <tableColumn id="38" uniqueName="38" name="Div" queryTableFieldId="18" dataDxfId="30"/>
    <tableColumn id="39" uniqueName="39" name="prop_id" queryTableFieldId="19" dataDxfId="29"/>
    <tableColumn id="40" uniqueName="40" name="pi_last_name" queryTableFieldId="20" dataDxfId="28"/>
    <tableColumn id="41" uniqueName="41" name="pi_frst_name" queryTableFieldId="21" dataDxfId="27"/>
    <tableColumn id="42" uniqueName="42" name="inst" queryTableFieldId="22" dataDxfId="26"/>
    <tableColumn id="56" uniqueName="56" name="@ pi" queryTableFieldId="37" dataDxfId="25" dataCellStyle="Hyperlink">
      <calculatedColumnFormula>HYPERLINK("mailto:"&amp;ckSplitsTable[[#This Row],[email]]&amp;"&amp;subject=Your NSF Proposal:  "&amp;ckSplitsTable[[#This Row],[prop_id]],ckSplitsTable[[#This Row],[email]])</calculatedColumnFormula>
    </tableColumn>
    <tableColumn id="43" uniqueName="43" name="email" queryTableFieldId="23" dataDxfId="24"/>
    <tableColumn id="44" uniqueName="44" name="propPRCs" queryTableFieldId="24" dataDxfId="23"/>
    <tableColumn id="45" uniqueName="45" name="bPRCs" queryTableFieldId="25" dataDxfId="22"/>
    <tableColumn id="46" uniqueName="46" name="awd_id" queryTableFieldId="26" dataDxfId="21"/>
    <tableColumn id="50" uniqueName="50" name="prop_stts_txt" queryTableFieldId="30" dataDxfId="20"/>
    <tableColumn id="51" uniqueName="51" name="prop_titl_txt" queryTableFieldId="31" dataDxfId="19"/>
  </tableColumns>
  <tableStyleInfo name="TableStyleLight11" showFirstColumn="0" showLastColumn="0" showRowStripes="0" showColumnStripes="0"/>
</table>
</file>

<file path=xl/tables/table13.xml><?xml version="1.0" encoding="utf-8"?>
<table xmlns="http://schemas.openxmlformats.org/spreadsheetml/2006/main" id="1" name="ProjTextTable" displayName="ProjTextTable" ref="A1:P515" tableType="queryTable" totalsRowCount="1">
  <autoFilter ref="A1:P514"/>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17" totalsRowDxfId="16"/>
    <tableColumn id="11" uniqueName="11" name="returned" queryTableFieldId="11" dataDxfId="15"/>
    <tableColumn id="14" uniqueName="14" name="nchars" queryTableFieldId="15" dataDxfId="14">
      <calculatedColumnFormula>LEN(ProjTextTable[[#This Row],[text]])</calculatedColumnFormula>
    </tableColumn>
    <tableColumn id="15" uniqueName="15" name="nwords" queryTableFieldId="14" dataDxfId="13">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3.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7.xml"/><Relationship Id="rId7" Type="http://schemas.openxmlformats.org/officeDocument/2006/relationships/ctrlProp" Target="../ctrlProps/ctrlProp13.xml"/><Relationship Id="rId2" Type="http://schemas.openxmlformats.org/officeDocument/2006/relationships/printerSettings" Target="../printerSettings/printerSettings7.bin"/><Relationship Id="rId1" Type="http://schemas.openxmlformats.org/officeDocument/2006/relationships/hyperlink" Target="https://collaboration.inside.nsf.gov/Desktop/Automation/scratch/output" TargetMode="External"/><Relationship Id="rId6" Type="http://schemas.openxmlformats.org/officeDocument/2006/relationships/ctrlProp" Target="../ctrlProps/ctrlProp12.xml"/><Relationship Id="rId11" Type="http://schemas.openxmlformats.org/officeDocument/2006/relationships/comments" Target="../comments5.xml"/><Relationship Id="rId5" Type="http://schemas.openxmlformats.org/officeDocument/2006/relationships/ctrlProp" Target="../ctrlProps/ctrlProp11.xml"/><Relationship Id="rId10" Type="http://schemas.openxmlformats.org/officeDocument/2006/relationships/table" Target="../tables/table11.xml"/><Relationship Id="rId4" Type="http://schemas.openxmlformats.org/officeDocument/2006/relationships/vmlDrawing" Target="../drawings/vmlDrawing6.v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13.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N62"/>
  <sheetViews>
    <sheetView showGridLines="0" workbookViewId="0">
      <selection activeCell="N16" sqref="N16"/>
    </sheetView>
  </sheetViews>
  <sheetFormatPr defaultRowHeight="14.6" x14ac:dyDescent="0.4"/>
  <cols>
    <col min="1" max="1" width="4.3046875" customWidth="1"/>
    <col min="2" max="2" width="12.84375" customWidth="1"/>
    <col min="3" max="3" width="5.15234375" customWidth="1"/>
    <col min="4" max="4" width="3.15234375" customWidth="1"/>
    <col min="5" max="5" width="15.3046875" customWidth="1"/>
    <col min="6" max="6" width="4.84375" customWidth="1"/>
    <col min="7" max="7" width="5.15234375" customWidth="1"/>
    <col min="8" max="8" width="14" customWidth="1"/>
    <col min="10" max="10" width="9.3046875" customWidth="1"/>
    <col min="12" max="12" width="4.53515625" customWidth="1"/>
    <col min="13" max="13" width="26.69140625" customWidth="1"/>
  </cols>
  <sheetData>
    <row r="1" spans="2:14" ht="18" customHeight="1" x14ac:dyDescent="0.4">
      <c r="B1" s="36" t="s">
        <v>217</v>
      </c>
      <c r="C1" s="36"/>
      <c r="D1" s="36"/>
      <c r="E1" s="36"/>
      <c r="F1" s="36"/>
      <c r="G1" s="36"/>
      <c r="L1" s="3" t="s">
        <v>206</v>
      </c>
    </row>
    <row r="2" spans="2:14" ht="18" customHeight="1" x14ac:dyDescent="0.4">
      <c r="B2" s="36" t="s">
        <v>381</v>
      </c>
      <c r="C2" s="36"/>
      <c r="D2" s="36"/>
      <c r="E2" s="36"/>
      <c r="F2" s="36"/>
      <c r="G2" s="36"/>
      <c r="I2" s="33"/>
      <c r="J2">
        <v>2</v>
      </c>
      <c r="L2" s="118" t="s">
        <v>476</v>
      </c>
    </row>
    <row r="3" spans="2:14" ht="18" customHeight="1" x14ac:dyDescent="0.4">
      <c r="B3" s="3" t="s">
        <v>208</v>
      </c>
      <c r="C3" s="3"/>
      <c r="D3" s="37" t="s">
        <v>209</v>
      </c>
      <c r="E3" s="36" t="s">
        <v>515</v>
      </c>
      <c r="F3" s="36"/>
      <c r="I3" s="33"/>
    </row>
    <row r="4" spans="2:14" ht="18" customHeight="1" x14ac:dyDescent="0.4">
      <c r="B4" s="3"/>
      <c r="C4" s="35" t="s">
        <v>215</v>
      </c>
      <c r="D4" s="38" t="s">
        <v>210</v>
      </c>
      <c r="E4" s="36" t="s">
        <v>510</v>
      </c>
      <c r="F4" s="36"/>
      <c r="I4" s="33"/>
      <c r="J4" t="b">
        <v>0</v>
      </c>
      <c r="L4" s="3" t="s">
        <v>207</v>
      </c>
    </row>
    <row r="5" spans="2:14" ht="18" customHeight="1" x14ac:dyDescent="0.4">
      <c r="B5" s="3"/>
      <c r="C5" s="35"/>
      <c r="D5" s="38" t="s">
        <v>211</v>
      </c>
      <c r="E5" s="36" t="s">
        <v>514</v>
      </c>
      <c r="F5" s="36"/>
      <c r="I5" s="33"/>
    </row>
    <row r="6" spans="2:14" ht="18" customHeight="1" x14ac:dyDescent="0.4">
      <c r="B6" s="3"/>
      <c r="C6" s="35" t="s">
        <v>216</v>
      </c>
      <c r="D6" s="38" t="s">
        <v>212</v>
      </c>
      <c r="E6" s="36"/>
      <c r="F6" s="36"/>
    </row>
    <row r="7" spans="2:14" ht="18" customHeight="1" x14ac:dyDescent="0.4">
      <c r="B7" s="3"/>
      <c r="C7" s="35" t="s">
        <v>218</v>
      </c>
      <c r="D7" s="38" t="s">
        <v>213</v>
      </c>
      <c r="E7" s="36"/>
      <c r="F7" s="36"/>
    </row>
    <row r="8" spans="2:14" ht="18" customHeight="1" x14ac:dyDescent="0.4">
      <c r="B8" s="3"/>
      <c r="C8" s="35" t="s">
        <v>219</v>
      </c>
      <c r="D8" s="38" t="s">
        <v>214</v>
      </c>
      <c r="E8" s="36"/>
      <c r="F8" s="36"/>
      <c r="L8" s="44">
        <v>50</v>
      </c>
      <c r="M8" s="45" t="s">
        <v>227</v>
      </c>
    </row>
    <row r="9" spans="2:14" ht="18" customHeight="1" x14ac:dyDescent="0.4">
      <c r="B9" s="3"/>
      <c r="C9" s="35"/>
      <c r="D9" s="38"/>
      <c r="E9" s="36"/>
      <c r="F9" s="36"/>
    </row>
    <row r="10" spans="2:14" ht="18" customHeight="1" x14ac:dyDescent="0.4">
      <c r="B10" s="3" t="s">
        <v>205</v>
      </c>
      <c r="C10" s="3"/>
      <c r="D10" s="34"/>
      <c r="E10" s="3" t="s">
        <v>204</v>
      </c>
      <c r="F10" s="3"/>
      <c r="G10" s="3"/>
      <c r="H10" s="3" t="s">
        <v>220</v>
      </c>
      <c r="L10" s="3" t="s">
        <v>509</v>
      </c>
    </row>
    <row r="11" spans="2:14" ht="18" customHeight="1" x14ac:dyDescent="0.4">
      <c r="B11" t="s">
        <v>173</v>
      </c>
      <c r="E11" t="s">
        <v>174</v>
      </c>
      <c r="H11" t="s">
        <v>176</v>
      </c>
      <c r="L11" s="61" t="s">
        <v>261</v>
      </c>
      <c r="M11" s="29" t="s">
        <v>260</v>
      </c>
    </row>
    <row r="12" spans="2:14" ht="18" customHeight="1" x14ac:dyDescent="0.4">
      <c r="B12" t="s">
        <v>0</v>
      </c>
      <c r="E12" t="s">
        <v>0</v>
      </c>
      <c r="H12" t="s">
        <v>0</v>
      </c>
      <c r="L12" s="61" t="s">
        <v>262</v>
      </c>
      <c r="M12" s="29" t="s">
        <v>475</v>
      </c>
    </row>
    <row r="13" spans="2:14" x14ac:dyDescent="0.4">
      <c r="B13" s="25"/>
      <c r="E13" s="25"/>
      <c r="H13" s="25"/>
    </row>
    <row r="14" spans="2:14" x14ac:dyDescent="0.4">
      <c r="L14" s="3" t="s">
        <v>426</v>
      </c>
    </row>
    <row r="15" spans="2:14" x14ac:dyDescent="0.4">
      <c r="M15" s="3" t="s">
        <v>422</v>
      </c>
      <c r="N15" s="7" t="s">
        <v>424</v>
      </c>
    </row>
    <row r="16" spans="2:14" x14ac:dyDescent="0.4">
      <c r="M16" s="3" t="s">
        <v>435</v>
      </c>
      <c r="N16" s="7" t="s">
        <v>420</v>
      </c>
    </row>
    <row r="17" spans="3:14" x14ac:dyDescent="0.4">
      <c r="M17" s="3" t="s">
        <v>431</v>
      </c>
      <c r="N17" s="7" t="s">
        <v>420</v>
      </c>
    </row>
    <row r="18" spans="3:14" x14ac:dyDescent="0.4">
      <c r="M18" s="3" t="s">
        <v>421</v>
      </c>
      <c r="N18" s="7" t="s">
        <v>420</v>
      </c>
    </row>
    <row r="19" spans="3:14" x14ac:dyDescent="0.4">
      <c r="M19" s="3" t="s">
        <v>548</v>
      </c>
      <c r="N19" s="7" t="s">
        <v>420</v>
      </c>
    </row>
    <row r="20" spans="3:14" x14ac:dyDescent="0.4">
      <c r="M20" s="3" t="s">
        <v>516</v>
      </c>
      <c r="N20" s="7" t="s">
        <v>418</v>
      </c>
    </row>
    <row r="21" spans="3:14" x14ac:dyDescent="0.4">
      <c r="C21" s="43"/>
      <c r="M21" s="3" t="s">
        <v>547</v>
      </c>
      <c r="N21" s="7" t="s">
        <v>418</v>
      </c>
    </row>
    <row r="22" spans="3:14" x14ac:dyDescent="0.4">
      <c r="M22" s="3" t="s">
        <v>434</v>
      </c>
      <c r="N22" s="7" t="s">
        <v>418</v>
      </c>
    </row>
    <row r="23" spans="3:14" x14ac:dyDescent="0.4">
      <c r="M23" s="3" t="s">
        <v>459</v>
      </c>
      <c r="N23" s="7" t="s">
        <v>12</v>
      </c>
    </row>
    <row r="24" spans="3:14" x14ac:dyDescent="0.4">
      <c r="M24" s="3" t="s">
        <v>439</v>
      </c>
      <c r="N24" s="7" t="s">
        <v>428</v>
      </c>
    </row>
    <row r="25" spans="3:14" x14ac:dyDescent="0.4">
      <c r="M25" s="3" t="s">
        <v>549</v>
      </c>
      <c r="N25" s="7" t="s">
        <v>428</v>
      </c>
    </row>
    <row r="26" spans="3:14" x14ac:dyDescent="0.4">
      <c r="M26" s="3" t="s">
        <v>438</v>
      </c>
      <c r="N26" s="7" t="s">
        <v>428</v>
      </c>
    </row>
    <row r="27" spans="3:14" x14ac:dyDescent="0.4">
      <c r="M27" s="3" t="s">
        <v>456</v>
      </c>
      <c r="N27" s="7" t="s">
        <v>419</v>
      </c>
    </row>
    <row r="28" spans="3:14" x14ac:dyDescent="0.4">
      <c r="M28" s="3" t="s">
        <v>443</v>
      </c>
      <c r="N28" s="7" t="s">
        <v>442</v>
      </c>
    </row>
    <row r="29" spans="3:14" x14ac:dyDescent="0.4">
      <c r="M29" s="3" t="s">
        <v>429</v>
      </c>
      <c r="N29" s="7" t="s">
        <v>430</v>
      </c>
    </row>
    <row r="30" spans="3:14" x14ac:dyDescent="0.4">
      <c r="M30" s="3" t="s">
        <v>427</v>
      </c>
      <c r="N30" s="7" t="s">
        <v>423</v>
      </c>
    </row>
    <row r="31" spans="3:14" x14ac:dyDescent="0.4">
      <c r="M31" s="3" t="s">
        <v>433</v>
      </c>
      <c r="N31" s="7" t="s">
        <v>432</v>
      </c>
    </row>
    <row r="32" spans="3:14" x14ac:dyDescent="0.4">
      <c r="M32" s="3" t="s">
        <v>440</v>
      </c>
      <c r="N32" s="7" t="s">
        <v>441</v>
      </c>
    </row>
    <row r="35" spans="8:8" x14ac:dyDescent="0.4">
      <c r="H35" s="43"/>
    </row>
    <row r="45" spans="8:8" x14ac:dyDescent="0.4">
      <c r="H45" s="43"/>
    </row>
    <row r="46" spans="8:8" x14ac:dyDescent="0.4">
      <c r="H46" s="43"/>
    </row>
    <row r="47" spans="8:8" x14ac:dyDescent="0.4">
      <c r="H47" s="43"/>
    </row>
    <row r="48" spans="8:8" x14ac:dyDescent="0.4">
      <c r="H48" s="43"/>
    </row>
    <row r="49" spans="8:8" x14ac:dyDescent="0.4">
      <c r="H49" s="43"/>
    </row>
    <row r="50" spans="8:8" x14ac:dyDescent="0.4">
      <c r="H50" s="43"/>
    </row>
    <row r="51" spans="8:8" x14ac:dyDescent="0.4">
      <c r="H51" s="43"/>
    </row>
    <row r="52" spans="8:8" x14ac:dyDescent="0.4">
      <c r="H52" s="43"/>
    </row>
    <row r="53" spans="8:8" x14ac:dyDescent="0.4">
      <c r="H53" s="43"/>
    </row>
    <row r="54" spans="8:8" x14ac:dyDescent="0.4">
      <c r="H54" s="43"/>
    </row>
    <row r="55" spans="8:8" x14ac:dyDescent="0.4">
      <c r="H55" s="43"/>
    </row>
    <row r="56" spans="8:8" x14ac:dyDescent="0.4">
      <c r="H56" s="43"/>
    </row>
    <row r="57" spans="8:8" x14ac:dyDescent="0.4">
      <c r="H57" s="43"/>
    </row>
    <row r="58" spans="8:8" x14ac:dyDescent="0.4">
      <c r="H58" s="43"/>
    </row>
    <row r="59" spans="8:8" x14ac:dyDescent="0.4">
      <c r="H59" s="43"/>
    </row>
    <row r="60" spans="8:8" x14ac:dyDescent="0.4">
      <c r="H60" s="43"/>
    </row>
    <row r="61" spans="8:8" x14ac:dyDescent="0.4">
      <c r="H61" s="43"/>
    </row>
    <row r="62" spans="8:8" x14ac:dyDescent="0.4">
      <c r="H62" s="43"/>
    </row>
  </sheetData>
  <dataValidations count="1">
    <dataValidation type="list" allowBlank="1" showInputMessage="1" showErrorMessage="1" sqref="B11 E11 H11">
      <formula1>INDIRECT("AvailableTemplates[Available templates:]")</formula1>
    </dataValidation>
  </dataValidations>
  <hyperlinks>
    <hyperlink ref="N16" location="ckCoding!I1" display="ckCoding"/>
    <hyperlink ref="N32" location="ProjText!A1" tooltip="see step 4 above; pdf with RA drafts" display="pdf from ProjText"/>
    <hyperlink ref="N31" location="RAData!T1" tooltip="Text in RAps_note is added to RA drafts after signature without modifying the template" display="RAData, or edit template"/>
    <hyperlink ref="N30" location="RAData!R1" tooltip="to change all, set above and 'Pull Data'; set individually in RAdata, or leave blank for Word to fill in." display="above, or RAData"/>
    <hyperlink ref="N29" location="ckSplits!AM1" tooltip="Feel free to edit pivot table" display="Pivot table on ckSplits"/>
    <hyperlink ref="N27" location="Budgets!L1" tooltip="Latest budget revisions shown" display="Budgets"/>
    <hyperlink ref="N24" location="Advanced!H7" tooltip="Hit Refresh to load new ones" display="Advanced"/>
    <hyperlink ref="N25" location="Advanced!H8" tooltip="Pick either your R drive or your local drive" display="Advanced"/>
    <hyperlink ref="N26" location="Advanced!M1" tooltip="Add/remove state abbreviations here" display="Advanced"/>
    <hyperlink ref="N23" location="PRCs!A1" tooltip="Shows only those in use by projects" display="PRCs"/>
    <hyperlink ref="N21" location="ckAwd!AT1" tooltip="Shows question marks except those after a letter &amp; before a space.  Non-lead abstracts highlighted if they differ from lead." display="ckAwd"/>
    <hyperlink ref="N22" location="ckAwd!AE1" tooltip="See countries from cover and total frgn_trav bugdet" display="ckAwd"/>
    <hyperlink ref="N20" location="ckAwd!Z1" tooltip="Information from the cover pages." display="ckAwd"/>
    <hyperlink ref="N15" location="RAData!W1" display="RAData"/>
    <hyperlink ref="N28" location="ckSplits!A1" tooltip="Mostly for IAS use; compare budget and proposal codes &amp; PRCs." display="ckSplits"/>
    <hyperlink ref="N17" location="ckCoding!M1" display="ckCoding"/>
    <hyperlink ref="N18" location="ckCoding!C1" tooltip="Highlights mismatches (coding, title, ...) throughout tab" display="ckCoding"/>
    <hyperlink ref="N19" location="ckCoding!AE1" tooltip="Black numbers (of panels, conflicts, reviews, unreleasable) are information.  Red numbers (unreleased, released conflicts, received reviews marked pending) should be checked out." display="ckCoding"/>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PullDataFromTables">
                <anchor moveWithCells="1">
                  <from>
                    <xdr:col>3</xdr:col>
                    <xdr:colOff>201386</xdr:colOff>
                    <xdr:row>5</xdr:row>
                    <xdr:rowOff>21771</xdr:rowOff>
                  </from>
                  <to>
                    <xdr:col>5</xdr:col>
                    <xdr:colOff>114300</xdr:colOff>
                    <xdr:row>6</xdr:row>
                    <xdr:rowOff>21771</xdr:rowOff>
                  </to>
                </anchor>
              </controlPr>
            </control>
          </mc:Choice>
        </mc:AlternateContent>
        <mc:AlternateContent xmlns:mc="http://schemas.openxmlformats.org/markup-compatibility/2006">
          <mc:Choice Requires="x14">
            <control shapeId="16388" r:id="rId5" name="Button 4">
              <controlPr defaultSize="0" print="0" autoFill="0" autoPict="0" macro="[0]!MakeIndicatedRAs">
                <anchor moveWithCells="1">
                  <from>
                    <xdr:col>3</xdr:col>
                    <xdr:colOff>201386</xdr:colOff>
                    <xdr:row>7</xdr:row>
                    <xdr:rowOff>59871</xdr:rowOff>
                  </from>
                  <to>
                    <xdr:col>5</xdr:col>
                    <xdr:colOff>114300</xdr:colOff>
                    <xdr:row>8</xdr:row>
                    <xdr:rowOff>59871</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11</xdr:col>
                    <xdr:colOff>179614</xdr:colOff>
                    <xdr:row>3</xdr:row>
                    <xdr:rowOff>179614</xdr:rowOff>
                  </from>
                  <to>
                    <xdr:col>12</xdr:col>
                    <xdr:colOff>1649186</xdr:colOff>
                    <xdr:row>4</xdr:row>
                    <xdr:rowOff>201386</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11</xdr:col>
                    <xdr:colOff>179614</xdr:colOff>
                    <xdr:row>4</xdr:row>
                    <xdr:rowOff>174171</xdr:rowOff>
                  </from>
                  <to>
                    <xdr:col>13</xdr:col>
                    <xdr:colOff>38100</xdr:colOff>
                    <xdr:row>5</xdr:row>
                    <xdr:rowOff>136071</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11</xdr:col>
                    <xdr:colOff>179614</xdr:colOff>
                    <xdr:row>5</xdr:row>
                    <xdr:rowOff>136071</xdr:rowOff>
                  </from>
                  <to>
                    <xdr:col>13</xdr:col>
                    <xdr:colOff>141514</xdr:colOff>
                    <xdr:row>6</xdr:row>
                    <xdr:rowOff>65314</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11</xdr:col>
                    <xdr:colOff>179614</xdr:colOff>
                    <xdr:row>6</xdr:row>
                    <xdr:rowOff>59871</xdr:rowOff>
                  </from>
                  <to>
                    <xdr:col>13</xdr:col>
                    <xdr:colOff>38100</xdr:colOff>
                    <xdr:row>7</xdr:row>
                    <xdr:rowOff>21771</xdr:rowOff>
                  </to>
                </anchor>
              </controlPr>
            </control>
          </mc:Choice>
        </mc:AlternateContent>
        <mc:AlternateContent xmlns:mc="http://schemas.openxmlformats.org/markup-compatibility/2006">
          <mc:Choice Requires="x14">
            <control shapeId="16400" r:id="rId10" name="cbConfirmActions">
              <controlPr defaultSize="0" autoFill="0" autoLine="0" autoPict="0">
                <anchor moveWithCells="1">
                  <from>
                    <xdr:col>11</xdr:col>
                    <xdr:colOff>174171</xdr:colOff>
                    <xdr:row>2</xdr:row>
                    <xdr:rowOff>87086</xdr:rowOff>
                  </from>
                  <to>
                    <xdr:col>13</xdr:col>
                    <xdr:colOff>0</xdr:colOff>
                    <xdr:row>3</xdr:row>
                    <xdr:rowOff>65314</xdr:rowOff>
                  </to>
                </anchor>
              </controlPr>
            </control>
          </mc:Choice>
        </mc:AlternateContent>
        <mc:AlternateContent xmlns:mc="http://schemas.openxmlformats.org/markup-compatibility/2006">
          <mc:Choice Requires="x14">
            <control shapeId="16402" r:id="rId11" name="Button 18">
              <controlPr defaultSize="0" print="0" autoFill="0" autoPict="0" macro="[0]!makeProjText">
                <anchor moveWithCells="1">
                  <from>
                    <xdr:col>3</xdr:col>
                    <xdr:colOff>201386</xdr:colOff>
                    <xdr:row>6</xdr:row>
                    <xdr:rowOff>38100</xdr:rowOff>
                  </from>
                  <to>
                    <xdr:col>5</xdr:col>
                    <xdr:colOff>114300</xdr:colOff>
                    <xdr:row>7</xdr:row>
                    <xdr:rowOff>38100</xdr:rowOff>
                  </to>
                </anchor>
              </controlPr>
            </control>
          </mc:Choice>
        </mc:AlternateContent>
        <mc:AlternateContent xmlns:mc="http://schemas.openxmlformats.org/markup-compatibility/2006">
          <mc:Choice Requires="x14">
            <control shapeId="16403" r:id="rId12" name="ddPropStts_RoboRA">
              <controlPr defaultSize="0" autoLine="0" autoPict="0">
                <anchor moveWithCells="1">
                  <from>
                    <xdr:col>11</xdr:col>
                    <xdr:colOff>304800</xdr:colOff>
                    <xdr:row>1</xdr:row>
                    <xdr:rowOff>141514</xdr:rowOff>
                  </from>
                  <to>
                    <xdr:col>13</xdr:col>
                    <xdr:colOff>163286</xdr:colOff>
                    <xdr:row>2</xdr:row>
                    <xdr:rowOff>103414</xdr:rowOff>
                  </to>
                </anchor>
              </controlPr>
            </control>
          </mc:Choice>
        </mc:AlternateContent>
      </controls>
    </mc:Choice>
  </mc:AlternateContent>
  <tableParts count="3">
    <tablePart r:id="rId13"/>
    <tablePart r:id="rId14"/>
    <tablePart r:id="rId1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96"/>
  <sheetViews>
    <sheetView topLeftCell="D2" zoomScale="98" zoomScaleNormal="98" workbookViewId="0">
      <selection activeCell="I1" sqref="I1"/>
    </sheetView>
  </sheetViews>
  <sheetFormatPr defaultRowHeight="14.6" x14ac:dyDescent="0.4"/>
  <cols>
    <col min="1" max="1" width="8.69140625" style="17" customWidth="1"/>
    <col min="2" max="2" width="8.69140625" style="30" customWidth="1"/>
    <col min="3" max="3" width="11.3046875" customWidth="1"/>
    <col min="4" max="4" width="9.84375" customWidth="1"/>
    <col min="5" max="5" width="5.3828125" customWidth="1"/>
    <col min="6" max="6" width="5.69140625" style="18" customWidth="1"/>
    <col min="7" max="7" width="5.53515625" style="18" customWidth="1"/>
    <col min="8" max="8" width="5.3046875" style="21" customWidth="1"/>
    <col min="9" max="9" width="5.69140625" customWidth="1"/>
    <col min="10" max="10" width="5.15234375" customWidth="1"/>
    <col min="11" max="11" width="11.53515625" customWidth="1"/>
    <col min="12" max="12" width="9.3046875" bestFit="1" customWidth="1"/>
    <col min="13" max="13" width="4.3046875" customWidth="1"/>
    <col min="14" max="14" width="3.84375" customWidth="1"/>
    <col min="15" max="15" width="5.53515625" hidden="1" customWidth="1"/>
    <col min="16" max="16" width="6.53515625" style="21" hidden="1" customWidth="1"/>
    <col min="17" max="17" width="14.15234375" customWidth="1"/>
    <col min="18" max="18" width="14.3046875" style="22" customWidth="1"/>
    <col min="19" max="19" width="4.15234375" style="108" customWidth="1"/>
    <col min="20" max="20" width="2.15234375" style="90" customWidth="1"/>
    <col min="21" max="21" width="8.15234375" style="39" customWidth="1"/>
    <col min="22" max="22" width="2.69140625" style="39" customWidth="1"/>
    <col min="23" max="23" width="3.69140625" customWidth="1"/>
    <col min="24" max="24" width="8.15234375" customWidth="1"/>
    <col min="25" max="25" width="11.15234375" customWidth="1"/>
    <col min="26" max="26" width="9.53515625" style="17" customWidth="1"/>
    <col min="27" max="27" width="18.3828125" customWidth="1"/>
    <col min="28" max="28" width="8.15234375" style="109" customWidth="1"/>
    <col min="29" max="29" width="8.69140625" style="30" customWidth="1"/>
    <col min="30" max="30" width="3.53515625" style="18" customWidth="1"/>
    <col min="31" max="33" width="2.15234375" customWidth="1"/>
    <col min="34" max="34" width="14.3828125" customWidth="1"/>
    <col min="35" max="35" width="4.53515625" customWidth="1"/>
    <col min="36" max="36" width="14.3828125" style="26" customWidth="1"/>
    <col min="37" max="37" width="2.15234375" style="21" customWidth="1"/>
    <col min="38" max="44" width="2.84375" customWidth="1"/>
    <col min="45" max="45" width="23" customWidth="1"/>
    <col min="46" max="46" width="80.53515625" bestFit="1" customWidth="1"/>
    <col min="47" max="47" width="7.84375" hidden="1" customWidth="1"/>
    <col min="48" max="48" width="4.53515625" customWidth="1"/>
    <col min="49" max="49" width="11.69140625" customWidth="1"/>
    <col min="50" max="50" width="11.3828125" customWidth="1"/>
    <col min="51" max="51" width="10.53515625" customWidth="1"/>
    <col min="52" max="52" width="10.84375" customWidth="1"/>
    <col min="53" max="53" width="11.15234375" customWidth="1"/>
    <col min="54" max="54" width="9.84375" customWidth="1"/>
    <col min="55" max="59" width="4.69140625" customWidth="1"/>
    <col min="60" max="63" width="4.3046875" customWidth="1"/>
    <col min="64" max="64" width="18.3046875" customWidth="1"/>
  </cols>
  <sheetData>
    <row r="1" spans="1:64" ht="53.15" customHeight="1" x14ac:dyDescent="0.4">
      <c r="A1" s="17" t="s">
        <v>87</v>
      </c>
      <c r="B1" s="30" t="s">
        <v>7</v>
      </c>
      <c r="C1" t="s">
        <v>8</v>
      </c>
      <c r="D1" t="s">
        <v>5</v>
      </c>
      <c r="E1" t="s">
        <v>4</v>
      </c>
      <c r="F1" t="s">
        <v>165</v>
      </c>
      <c r="G1" t="s">
        <v>163</v>
      </c>
      <c r="H1" s="90" t="s">
        <v>92</v>
      </c>
      <c r="I1" s="39" t="s">
        <v>125</v>
      </c>
      <c r="J1" s="39" t="s">
        <v>126</v>
      </c>
      <c r="K1" t="s">
        <v>17</v>
      </c>
      <c r="L1" t="s">
        <v>91</v>
      </c>
      <c r="M1" t="s">
        <v>93</v>
      </c>
      <c r="N1" t="s">
        <v>408</v>
      </c>
      <c r="O1" t="s">
        <v>409</v>
      </c>
      <c r="P1" s="21" t="s">
        <v>410</v>
      </c>
      <c r="Q1" t="s">
        <v>288</v>
      </c>
      <c r="R1" s="22" t="s">
        <v>16</v>
      </c>
      <c r="S1" s="108" t="s">
        <v>101</v>
      </c>
      <c r="T1" s="21" t="s">
        <v>88</v>
      </c>
      <c r="U1" t="s">
        <v>9</v>
      </c>
      <c r="V1" t="s">
        <v>1</v>
      </c>
      <c r="W1" s="14" t="s">
        <v>143</v>
      </c>
      <c r="X1" t="s">
        <v>0</v>
      </c>
      <c r="Y1" t="s">
        <v>10</v>
      </c>
      <c r="Z1" t="s">
        <v>18</v>
      </c>
      <c r="AA1" t="s">
        <v>287</v>
      </c>
      <c r="AB1" s="110" t="s">
        <v>403</v>
      </c>
      <c r="AC1" s="30" t="s">
        <v>19</v>
      </c>
      <c r="AD1" t="s">
        <v>20</v>
      </c>
      <c r="AE1" s="106" t="s">
        <v>151</v>
      </c>
      <c r="AF1" s="107" t="s">
        <v>289</v>
      </c>
      <c r="AG1" s="106" t="s">
        <v>152</v>
      </c>
      <c r="AH1" t="s">
        <v>291</v>
      </c>
      <c r="AI1" s="26" t="s">
        <v>23</v>
      </c>
      <c r="AJ1" s="22" t="s">
        <v>147</v>
      </c>
      <c r="AK1" s="122" t="s">
        <v>390</v>
      </c>
      <c r="AL1" s="106" t="s">
        <v>290</v>
      </c>
      <c r="AM1" s="106" t="s">
        <v>292</v>
      </c>
      <c r="AN1" s="106" t="s">
        <v>146</v>
      </c>
      <c r="AO1" s="106" t="s">
        <v>293</v>
      </c>
      <c r="AP1" s="106" t="s">
        <v>294</v>
      </c>
      <c r="AQ1" s="106" t="s">
        <v>295</v>
      </c>
      <c r="AR1" t="s">
        <v>463</v>
      </c>
      <c r="AS1" t="s">
        <v>166</v>
      </c>
      <c r="AT1" t="s">
        <v>36</v>
      </c>
      <c r="AU1" t="s">
        <v>411</v>
      </c>
      <c r="AV1" t="s">
        <v>296</v>
      </c>
      <c r="AW1" t="s">
        <v>21</v>
      </c>
      <c r="AX1" t="s">
        <v>22</v>
      </c>
      <c r="AY1" t="s">
        <v>297</v>
      </c>
      <c r="AZ1" t="s">
        <v>298</v>
      </c>
      <c r="BA1" t="s">
        <v>299</v>
      </c>
      <c r="BB1" t="s">
        <v>300</v>
      </c>
      <c r="BC1" t="s">
        <v>301</v>
      </c>
      <c r="BD1" t="s">
        <v>302</v>
      </c>
      <c r="BE1" t="s">
        <v>303</v>
      </c>
      <c r="BF1" t="s">
        <v>304</v>
      </c>
      <c r="BG1" t="s">
        <v>305</v>
      </c>
      <c r="BH1" t="s">
        <v>133</v>
      </c>
      <c r="BI1" t="s">
        <v>134</v>
      </c>
      <c r="BJ1" t="s">
        <v>136</v>
      </c>
      <c r="BK1" t="s">
        <v>135</v>
      </c>
      <c r="BL1" t="s">
        <v>145</v>
      </c>
    </row>
    <row r="2" spans="1:64" x14ac:dyDescent="0.4">
      <c r="A2" s="30"/>
      <c r="B2" s="30">
        <v>42930.554166666669</v>
      </c>
      <c r="C2" t="s">
        <v>1430</v>
      </c>
      <c r="D2" t="s">
        <v>477</v>
      </c>
      <c r="E2" t="s">
        <v>582</v>
      </c>
      <c r="F2" t="s">
        <v>171</v>
      </c>
      <c r="G2" t="s">
        <v>169</v>
      </c>
      <c r="H2" s="21" t="s">
        <v>94</v>
      </c>
      <c r="I2" s="86">
        <v>1</v>
      </c>
      <c r="J2" s="86">
        <v>0</v>
      </c>
      <c r="K2" t="s">
        <v>1431</v>
      </c>
      <c r="L2" t="s">
        <v>604</v>
      </c>
      <c r="M2" t="s">
        <v>1433</v>
      </c>
      <c r="N2" t="str">
        <f>IF(SUM(ckCodingTable[[#This Row],[NfmlPIs]:[NnonWhtAsnPIs]])&gt;0,"WMD","")</f>
        <v/>
      </c>
      <c r="O2" t="b">
        <f>_xlfn.XOR(IFERROR(MATCH(ckCodingTable[[#This Row],[st_code]],EpscorTable[],0)&gt;0,FALSE),IFERROR(FIND("9150",ckCodingTable[[#This Row],[propPRCs]])&gt;0,FALSE))</f>
        <v>0</v>
      </c>
      <c r="P2" s="21" t="b">
        <f>_xlfn.XOR(ckCodingTable[[#This Row],[wmd]]&lt;&gt;"",IFERROR(FIND("9102",ckCodingTable[[#This Row],[propPRCs]])&gt;0,FALSE))</f>
        <v>0</v>
      </c>
      <c r="Q2" t="s">
        <v>1432</v>
      </c>
      <c r="R2" s="22">
        <v>43076.608981481484</v>
      </c>
      <c r="S2" s="108">
        <f>S1+(ckCodingTable[[#This Row],[ILN]]&lt;"M")</f>
        <v>1</v>
      </c>
      <c r="T2" s="21" t="s">
        <v>95</v>
      </c>
      <c r="U2" t="s">
        <v>602</v>
      </c>
      <c r="V2" s="7" t="str">
        <f>HYPERLINK("https://www.ejacket.nsf.gov/ej/showProposal.do?ID="&amp;ckCodingTable[[#This Row],[prop_id]],"eJ")</f>
        <v>eJ</v>
      </c>
      <c r="W2" t="s">
        <v>478</v>
      </c>
      <c r="X2" t="s">
        <v>602</v>
      </c>
      <c r="Y2" t="s">
        <v>603</v>
      </c>
      <c r="Z2" t="s">
        <v>1434</v>
      </c>
      <c r="AA2" t="s">
        <v>1435</v>
      </c>
      <c r="AB2" s="111" t="str">
        <f>HYPERLINK("mailto:"&amp;ckCodingTable[[#This Row],[email]]&amp;"&amp;subject=Your NSF Proposal:  "&amp;ckCodingTable[[#This Row],[Div]]&amp;" "&amp;ckCodingTable[[#This Row],[prop_id]], ckCodingTable[[#This Row],[email]])</f>
        <v>steffen.borgwardt@ucdenver.edu</v>
      </c>
      <c r="AC2" s="30">
        <v>43101</v>
      </c>
      <c r="AD2">
        <v>60</v>
      </c>
      <c r="AE2">
        <v>1</v>
      </c>
      <c r="AG2" s="112">
        <v>1</v>
      </c>
      <c r="AH2" t="s">
        <v>1436</v>
      </c>
      <c r="AI2" s="26">
        <v>3.75</v>
      </c>
      <c r="AJ2" s="22">
        <v>43031.583333333336</v>
      </c>
      <c r="AL2">
        <v>4</v>
      </c>
      <c r="AN2" s="112">
        <v>4</v>
      </c>
      <c r="AO2" s="112"/>
      <c r="AP2" s="112"/>
      <c r="AQ2" s="112"/>
      <c r="AR2" s="7" t="str">
        <f>HYPERLINK("https://www.ejacket.nsf.gov/ej/showProposal.do?ID="&amp;ckCodingTable[[#This Row],[prop_id]],"eJ")</f>
        <v>eJ</v>
      </c>
      <c r="AS2" t="s">
        <v>172</v>
      </c>
      <c r="AT2" t="s">
        <v>1437</v>
      </c>
      <c r="AU2" t="b">
        <f>IF(ckCodingTable[[#This Row],[ILN]]="N",SUBSTITUTE(AT1," ","")&lt;&gt;SUBSTITUTE(ckCodingTable[[#This Row],[prop_titl_txt]]," ",""), FALSE)</f>
        <v>0</v>
      </c>
      <c r="AV2">
        <v>0</v>
      </c>
      <c r="AW2" s="13">
        <v>470400</v>
      </c>
      <c r="AX2" s="13">
        <v>470400</v>
      </c>
      <c r="AY2" s="13"/>
      <c r="AZ2" s="13">
        <v>9600</v>
      </c>
      <c r="BA2" s="13"/>
      <c r="BB2" s="13"/>
      <c r="BC2">
        <v>5</v>
      </c>
      <c r="BD2">
        <v>5</v>
      </c>
      <c r="BE2">
        <v>7.5</v>
      </c>
      <c r="BH2">
        <v>0</v>
      </c>
      <c r="BI2">
        <v>0</v>
      </c>
      <c r="BJ2">
        <v>0</v>
      </c>
      <c r="BK2">
        <v>0</v>
      </c>
      <c r="BL2" t="s">
        <v>1438</v>
      </c>
    </row>
    <row r="3" spans="1:64" x14ac:dyDescent="0.4">
      <c r="A3" s="30"/>
      <c r="B3" s="30">
        <v>42933.444444444445</v>
      </c>
      <c r="C3" t="s">
        <v>1430</v>
      </c>
      <c r="D3" t="s">
        <v>1622</v>
      </c>
      <c r="E3" t="s">
        <v>580</v>
      </c>
      <c r="F3" t="s">
        <v>171</v>
      </c>
      <c r="G3" t="s">
        <v>169</v>
      </c>
      <c r="H3" s="21" t="s">
        <v>94</v>
      </c>
      <c r="I3" s="86">
        <v>1</v>
      </c>
      <c r="J3" s="86">
        <v>0</v>
      </c>
      <c r="K3" t="s">
        <v>2065</v>
      </c>
      <c r="L3" t="s">
        <v>1166</v>
      </c>
      <c r="M3" t="s">
        <v>563</v>
      </c>
      <c r="N3" t="str">
        <f>IF(SUM(ckCodingTable[[#This Row],[NfmlPIs]:[NnonWhtAsnPIs]])&gt;0,"WMD","")</f>
        <v/>
      </c>
      <c r="O3" t="b">
        <f>_xlfn.XOR(IFERROR(MATCH(ckCodingTable[[#This Row],[st_code]],EpscorTable[],0)&gt;0,FALSE),IFERROR(FIND("9150",ckCodingTable[[#This Row],[propPRCs]])&gt;0,FALSE))</f>
        <v>0</v>
      </c>
      <c r="P3" s="21" t="b">
        <f>_xlfn.XOR(ckCodingTable[[#This Row],[wmd]]&lt;&gt;"",IFERROR(FIND("9102",ckCodingTable[[#This Row],[propPRCs]])&gt;0,FALSE))</f>
        <v>0</v>
      </c>
      <c r="Q3" t="s">
        <v>2066</v>
      </c>
      <c r="R3" s="22">
        <v>43068.644884259258</v>
      </c>
      <c r="S3" s="108">
        <f>S2+(ckCodingTable[[#This Row],[ILN]]&lt;"M")</f>
        <v>2</v>
      </c>
      <c r="T3" s="21" t="s">
        <v>95</v>
      </c>
      <c r="U3" t="s">
        <v>2015</v>
      </c>
      <c r="V3" s="7" t="str">
        <f>HYPERLINK("https://www.ejacket.nsf.gov/ej/showProposal.do?ID="&amp;ckCodingTable[[#This Row],[prop_id]],"eJ")</f>
        <v>eJ</v>
      </c>
      <c r="W3" t="s">
        <v>1625</v>
      </c>
      <c r="X3" t="s">
        <v>2015</v>
      </c>
      <c r="Y3" t="s">
        <v>2016</v>
      </c>
      <c r="Z3" t="s">
        <v>2067</v>
      </c>
      <c r="AA3" t="s">
        <v>2068</v>
      </c>
      <c r="AB3" s="111" t="str">
        <f>HYPERLINK("mailto:"&amp;ckCodingTable[[#This Row],[email]]&amp;"&amp;subject=Your NSF Proposal:  "&amp;ckCodingTable[[#This Row],[Div]]&amp;" "&amp;ckCodingTable[[#This Row],[prop_id]], ckCodingTable[[#This Row],[email]])</f>
        <v>tianbao-yang@uiowa.edu</v>
      </c>
      <c r="AC3" s="30">
        <v>43252</v>
      </c>
      <c r="AD3">
        <v>60</v>
      </c>
      <c r="AE3">
        <v>2</v>
      </c>
      <c r="AG3" s="112"/>
      <c r="AH3" t="s">
        <v>2069</v>
      </c>
      <c r="AI3" s="26">
        <v>6</v>
      </c>
      <c r="AJ3" s="22">
        <v>43060.395138888889</v>
      </c>
      <c r="AL3">
        <v>7</v>
      </c>
      <c r="AN3" s="112"/>
      <c r="AO3" s="112"/>
      <c r="AP3" s="112"/>
      <c r="AQ3" s="112"/>
      <c r="AR3" s="7" t="str">
        <f>HYPERLINK("https://www.ejacket.nsf.gov/ej/showProposal.do?ID="&amp;ckCodingTable[[#This Row],[prop_id]],"eJ")</f>
        <v>eJ</v>
      </c>
      <c r="AS3" t="s">
        <v>2070</v>
      </c>
      <c r="AT3" t="s">
        <v>2071</v>
      </c>
      <c r="AU3" t="b">
        <f>IF(ckCodingTable[[#This Row],[ILN]]="N",SUBSTITUTE(AT2," ","")&lt;&gt;SUBSTITUTE(ckCodingTable[[#This Row],[prop_titl_txt]]," ",""), FALSE)</f>
        <v>0</v>
      </c>
      <c r="AV3">
        <v>0</v>
      </c>
      <c r="AW3" s="13">
        <v>543913</v>
      </c>
      <c r="AX3" s="13">
        <v>543913</v>
      </c>
      <c r="AY3" s="13"/>
      <c r="AZ3" s="13">
        <v>15500</v>
      </c>
      <c r="BA3" s="13"/>
      <c r="BB3" s="13"/>
      <c r="BC3">
        <v>10</v>
      </c>
      <c r="BD3">
        <v>5</v>
      </c>
      <c r="BE3">
        <v>5</v>
      </c>
      <c r="BH3">
        <v>0</v>
      </c>
      <c r="BI3">
        <v>0</v>
      </c>
      <c r="BJ3">
        <v>0</v>
      </c>
      <c r="BK3">
        <v>0</v>
      </c>
      <c r="BL3" t="s">
        <v>2072</v>
      </c>
    </row>
    <row r="4" spans="1:64" x14ac:dyDescent="0.4">
      <c r="A4" s="30"/>
      <c r="B4" s="30">
        <v>42933.547222222223</v>
      </c>
      <c r="C4" t="s">
        <v>1430</v>
      </c>
      <c r="D4" t="s">
        <v>477</v>
      </c>
      <c r="E4" t="s">
        <v>582</v>
      </c>
      <c r="F4" t="s">
        <v>171</v>
      </c>
      <c r="G4" t="s">
        <v>169</v>
      </c>
      <c r="H4" s="21" t="s">
        <v>94</v>
      </c>
      <c r="I4" s="86">
        <v>1</v>
      </c>
      <c r="J4" s="86">
        <v>0</v>
      </c>
      <c r="K4" t="s">
        <v>1431</v>
      </c>
      <c r="L4" t="s">
        <v>604</v>
      </c>
      <c r="M4" t="s">
        <v>555</v>
      </c>
      <c r="N4" t="str">
        <f>IF(SUM(ckCodingTable[[#This Row],[NfmlPIs]:[NnonWhtAsnPIs]])&gt;0,"WMD","")</f>
        <v/>
      </c>
      <c r="O4" t="b">
        <f>_xlfn.XOR(IFERROR(MATCH(ckCodingTable[[#This Row],[st_code]],EpscorTable[],0)&gt;0,FALSE),IFERROR(FIND("9150",ckCodingTable[[#This Row],[propPRCs]])&gt;0,FALSE))</f>
        <v>0</v>
      </c>
      <c r="P4" s="21" t="b">
        <f>_xlfn.XOR(ckCodingTable[[#This Row],[wmd]]&lt;&gt;"",IFERROR(FIND("9102",ckCodingTable[[#This Row],[propPRCs]])&gt;0,FALSE))</f>
        <v>0</v>
      </c>
      <c r="Q4" t="s">
        <v>1439</v>
      </c>
      <c r="R4" s="22">
        <v>43082.662557870368</v>
      </c>
      <c r="S4" s="108">
        <f>S3+(ckCodingTable[[#This Row],[ILN]]&lt;"M")</f>
        <v>3</v>
      </c>
      <c r="T4" s="21" t="s">
        <v>95</v>
      </c>
      <c r="U4" t="s">
        <v>630</v>
      </c>
      <c r="V4" s="7" t="str">
        <f>HYPERLINK("https://www.ejacket.nsf.gov/ej/showProposal.do?ID="&amp;ckCodingTable[[#This Row],[prop_id]],"eJ")</f>
        <v>eJ</v>
      </c>
      <c r="W4" t="s">
        <v>478</v>
      </c>
      <c r="X4" t="s">
        <v>630</v>
      </c>
      <c r="Y4" t="s">
        <v>631</v>
      </c>
      <c r="Z4" t="s">
        <v>1440</v>
      </c>
      <c r="AA4" t="s">
        <v>559</v>
      </c>
      <c r="AB4" s="111" t="str">
        <f>HYPERLINK("mailto:"&amp;ckCodingTable[[#This Row],[email]]&amp;"&amp;subject=Your NSF Proposal:  "&amp;ckCodingTable[[#This Row],[Div]]&amp;" "&amp;ckCodingTable[[#This Row],[prop_id]], ckCodingTable[[#This Row],[email]])</f>
        <v>haitao.wang@usu.edu</v>
      </c>
      <c r="AC4" s="30">
        <v>43221</v>
      </c>
      <c r="AD4">
        <v>60</v>
      </c>
      <c r="AE4">
        <v>1</v>
      </c>
      <c r="AG4" s="112">
        <v>1</v>
      </c>
      <c r="AH4" t="s">
        <v>1441</v>
      </c>
      <c r="AI4" s="26">
        <v>6.25</v>
      </c>
      <c r="AJ4" s="22">
        <v>43030.179166666669</v>
      </c>
      <c r="AL4">
        <v>4</v>
      </c>
      <c r="AN4" s="112">
        <v>4</v>
      </c>
      <c r="AO4" s="112"/>
      <c r="AP4" s="112"/>
      <c r="AQ4" s="112"/>
      <c r="AR4" s="7" t="str">
        <f>HYPERLINK("https://www.ejacket.nsf.gov/ej/showProposal.do?ID="&amp;ckCodingTable[[#This Row],[prop_id]],"eJ")</f>
        <v>eJ</v>
      </c>
      <c r="AS4" t="s">
        <v>172</v>
      </c>
      <c r="AT4" t="s">
        <v>1442</v>
      </c>
      <c r="AU4" t="b">
        <f>IF(ckCodingTable[[#This Row],[ILN]]="N",SUBSTITUTE(AT3," ","")&lt;&gt;SUBSTITUTE(ckCodingTable[[#This Row],[prop_titl_txt]]," ",""), FALSE)</f>
        <v>0</v>
      </c>
      <c r="AV4">
        <v>0</v>
      </c>
      <c r="AW4" s="13">
        <v>524898</v>
      </c>
      <c r="AX4" s="13">
        <v>524898</v>
      </c>
      <c r="AY4" s="13"/>
      <c r="AZ4" s="13">
        <v>15000</v>
      </c>
      <c r="BA4" s="13"/>
      <c r="BB4" s="13"/>
      <c r="BC4">
        <v>10</v>
      </c>
      <c r="BD4">
        <v>5</v>
      </c>
      <c r="BE4">
        <v>5</v>
      </c>
      <c r="BH4">
        <v>0</v>
      </c>
      <c r="BI4">
        <v>0</v>
      </c>
      <c r="BJ4">
        <v>0</v>
      </c>
      <c r="BK4">
        <v>0</v>
      </c>
      <c r="BL4" t="s">
        <v>1443</v>
      </c>
    </row>
    <row r="5" spans="1:64" x14ac:dyDescent="0.4">
      <c r="A5" s="30"/>
      <c r="B5" s="30">
        <v>42933.579861111109</v>
      </c>
      <c r="C5" t="s">
        <v>1430</v>
      </c>
      <c r="D5" t="s">
        <v>477</v>
      </c>
      <c r="E5" t="s">
        <v>582</v>
      </c>
      <c r="F5" t="s">
        <v>171</v>
      </c>
      <c r="G5" t="s">
        <v>169</v>
      </c>
      <c r="H5" s="21" t="s">
        <v>94</v>
      </c>
      <c r="I5" s="86">
        <v>1</v>
      </c>
      <c r="J5" s="86">
        <v>0</v>
      </c>
      <c r="K5" t="s">
        <v>1431</v>
      </c>
      <c r="L5" t="s">
        <v>654</v>
      </c>
      <c r="M5" t="s">
        <v>496</v>
      </c>
      <c r="N5" t="str">
        <f>IF(SUM(ckCodingTable[[#This Row],[NfmlPIs]:[NnonWhtAsnPIs]])&gt;0,"WMD","")</f>
        <v/>
      </c>
      <c r="O5" t="b">
        <f>_xlfn.XOR(IFERROR(MATCH(ckCodingTable[[#This Row],[st_code]],EpscorTable[],0)&gt;0,FALSE),IFERROR(FIND("9150",ckCodingTable[[#This Row],[propPRCs]])&gt;0,FALSE))</f>
        <v>0</v>
      </c>
      <c r="P5" s="21" t="b">
        <f>_xlfn.XOR(ckCodingTable[[#This Row],[wmd]]&lt;&gt;"",IFERROR(FIND("9102",ckCodingTable[[#This Row],[propPRCs]])&gt;0,FALSE))</f>
        <v>0</v>
      </c>
      <c r="Q5" t="s">
        <v>1444</v>
      </c>
      <c r="R5" s="22">
        <v>43082.662615740737</v>
      </c>
      <c r="S5" s="108">
        <f>S4+(ckCodingTable[[#This Row],[ILN]]&lt;"M")</f>
        <v>4</v>
      </c>
      <c r="T5" s="21" t="s">
        <v>95</v>
      </c>
      <c r="U5" t="s">
        <v>652</v>
      </c>
      <c r="V5" s="7" t="str">
        <f>HYPERLINK("https://www.ejacket.nsf.gov/ej/showProposal.do?ID="&amp;ckCodingTable[[#This Row],[prop_id]],"eJ")</f>
        <v>eJ</v>
      </c>
      <c r="W5" t="s">
        <v>478</v>
      </c>
      <c r="X5" t="s">
        <v>652</v>
      </c>
      <c r="Y5" t="s">
        <v>653</v>
      </c>
      <c r="Z5" t="s">
        <v>1445</v>
      </c>
      <c r="AA5" t="s">
        <v>497</v>
      </c>
      <c r="AB5" s="111" t="str">
        <f>HYPERLINK("mailto:"&amp;ckCodingTable[[#This Row],[email]]&amp;"&amp;subject=Your NSF Proposal:  "&amp;ckCodingTable[[#This Row],[Div]]&amp;" "&amp;ckCodingTable[[#This Row],[prop_id]], ckCodingTable[[#This Row],[email]])</f>
        <v>bmoseley@seas.wustl.edu</v>
      </c>
      <c r="AC5" s="30">
        <v>43282</v>
      </c>
      <c r="AD5">
        <v>60</v>
      </c>
      <c r="AE5">
        <v>1</v>
      </c>
      <c r="AG5" s="112">
        <v>1</v>
      </c>
      <c r="AH5" t="s">
        <v>1446</v>
      </c>
      <c r="AI5" s="26">
        <v>6.8</v>
      </c>
      <c r="AJ5" s="22">
        <v>43032.510416666664</v>
      </c>
      <c r="AK5" s="21">
        <v>1</v>
      </c>
      <c r="AL5">
        <v>5</v>
      </c>
      <c r="AN5" s="112">
        <v>5</v>
      </c>
      <c r="AO5" s="112"/>
      <c r="AP5" s="112"/>
      <c r="AQ5" s="112"/>
      <c r="AR5" s="7" t="str">
        <f>HYPERLINK("https://www.ejacket.nsf.gov/ej/showProposal.do?ID="&amp;ckCodingTable[[#This Row],[prop_id]],"eJ")</f>
        <v>eJ</v>
      </c>
      <c r="AS5" t="s">
        <v>172</v>
      </c>
      <c r="AT5" t="s">
        <v>1447</v>
      </c>
      <c r="AU5" t="b">
        <f>IF(ckCodingTable[[#This Row],[ILN]]="N",SUBSTITUTE(AT4," ","")&lt;&gt;SUBSTITUTE(ckCodingTable[[#This Row],[prop_titl_txt]]," ",""), FALSE)</f>
        <v>0</v>
      </c>
      <c r="AV5">
        <v>0</v>
      </c>
      <c r="AW5" s="13">
        <v>545000</v>
      </c>
      <c r="AX5" s="13">
        <v>545000</v>
      </c>
      <c r="AY5" s="13"/>
      <c r="AZ5" s="13"/>
      <c r="BA5" s="13"/>
      <c r="BB5" s="13">
        <v>8000</v>
      </c>
      <c r="BC5">
        <v>5</v>
      </c>
      <c r="BD5">
        <v>5</v>
      </c>
      <c r="BE5">
        <v>6.5</v>
      </c>
      <c r="BH5">
        <v>0</v>
      </c>
      <c r="BI5">
        <v>0</v>
      </c>
      <c r="BJ5">
        <v>0</v>
      </c>
      <c r="BK5">
        <v>0</v>
      </c>
      <c r="BL5" t="s">
        <v>1448</v>
      </c>
    </row>
    <row r="6" spans="1:64" x14ac:dyDescent="0.4">
      <c r="A6" s="30"/>
      <c r="B6" s="30">
        <v>42933.713888888888</v>
      </c>
      <c r="C6" t="s">
        <v>1430</v>
      </c>
      <c r="D6" t="s">
        <v>477</v>
      </c>
      <c r="E6" t="s">
        <v>582</v>
      </c>
      <c r="F6" t="s">
        <v>171</v>
      </c>
      <c r="G6" t="s">
        <v>169</v>
      </c>
      <c r="H6" s="21" t="s">
        <v>94</v>
      </c>
      <c r="I6" s="86">
        <v>1</v>
      </c>
      <c r="J6" s="86">
        <v>0</v>
      </c>
      <c r="K6" t="s">
        <v>1431</v>
      </c>
      <c r="L6" t="s">
        <v>604</v>
      </c>
      <c r="M6" t="s">
        <v>553</v>
      </c>
      <c r="N6" t="str">
        <f>IF(SUM(ckCodingTable[[#This Row],[NfmlPIs]:[NnonWhtAsnPIs]])&gt;0,"WMD","")</f>
        <v/>
      </c>
      <c r="O6" t="b">
        <f>_xlfn.XOR(IFERROR(MATCH(ckCodingTable[[#This Row],[st_code]],EpscorTable[],0)&gt;0,FALSE),IFERROR(FIND("9150",ckCodingTable[[#This Row],[propPRCs]])&gt;0,FALSE))</f>
        <v>0</v>
      </c>
      <c r="P6" s="21" t="b">
        <f>_xlfn.XOR(ckCodingTable[[#This Row],[wmd]]&lt;&gt;"",IFERROR(FIND("9102",ckCodingTable[[#This Row],[propPRCs]])&gt;0,FALSE))</f>
        <v>0</v>
      </c>
      <c r="Q6" t="s">
        <v>1432</v>
      </c>
      <c r="S6" s="108">
        <f>S5+(ckCodingTable[[#This Row],[ILN]]&lt;"M")</f>
        <v>5</v>
      </c>
      <c r="T6" s="21" t="s">
        <v>95</v>
      </c>
      <c r="U6" t="s">
        <v>669</v>
      </c>
      <c r="V6" s="7" t="str">
        <f>HYPERLINK("https://www.ejacket.nsf.gov/ej/showProposal.do?ID="&amp;ckCodingTable[[#This Row],[prop_id]],"eJ")</f>
        <v>eJ</v>
      </c>
      <c r="W6" t="s">
        <v>478</v>
      </c>
      <c r="X6" t="s">
        <v>669</v>
      </c>
      <c r="Y6" t="s">
        <v>670</v>
      </c>
      <c r="Z6" t="s">
        <v>1449</v>
      </c>
      <c r="AA6" t="s">
        <v>554</v>
      </c>
      <c r="AB6" s="111" t="str">
        <f>HYPERLINK("mailto:"&amp;ckCodingTable[[#This Row],[email]]&amp;"&amp;subject=Your NSF Proposal:  "&amp;ckCodingTable[[#This Row],[Div]]&amp;" "&amp;ckCodingTable[[#This Row],[prop_id]], ckCodingTable[[#This Row],[email]])</f>
        <v>delpia@wisc.edu</v>
      </c>
      <c r="AC6" s="30">
        <v>43344</v>
      </c>
      <c r="AD6">
        <v>60</v>
      </c>
      <c r="AE6">
        <v>1</v>
      </c>
      <c r="AG6" s="112">
        <v>1</v>
      </c>
      <c r="AH6" t="s">
        <v>1450</v>
      </c>
      <c r="AI6" s="26">
        <v>7</v>
      </c>
      <c r="AJ6" s="22">
        <v>43031.584027777775</v>
      </c>
      <c r="AL6">
        <v>4</v>
      </c>
      <c r="AN6" s="112">
        <v>4</v>
      </c>
      <c r="AO6" s="112"/>
      <c r="AP6" s="112"/>
      <c r="AQ6" s="112"/>
      <c r="AR6" s="7" t="str">
        <f>HYPERLINK("https://www.ejacket.nsf.gov/ej/showProposal.do?ID="&amp;ckCodingTable[[#This Row],[prop_id]],"eJ")</f>
        <v>eJ</v>
      </c>
      <c r="AS6" t="s">
        <v>172</v>
      </c>
      <c r="AT6" t="s">
        <v>1451</v>
      </c>
      <c r="AU6" t="b">
        <f>IF(ckCodingTable[[#This Row],[ILN]]="N",SUBSTITUTE(AT5," ","")&lt;&gt;SUBSTITUTE(ckCodingTable[[#This Row],[prop_titl_txt]]," ",""), FALSE)</f>
        <v>0</v>
      </c>
      <c r="AV6">
        <v>0</v>
      </c>
      <c r="AW6" s="13">
        <v>500000</v>
      </c>
      <c r="AX6" s="13">
        <v>500000</v>
      </c>
      <c r="AY6" s="13"/>
      <c r="AZ6" s="13">
        <v>12416</v>
      </c>
      <c r="BA6" s="13"/>
      <c r="BB6" s="13"/>
      <c r="BC6">
        <v>5</v>
      </c>
      <c r="BD6">
        <v>5</v>
      </c>
      <c r="BE6">
        <v>5</v>
      </c>
      <c r="BH6">
        <v>0</v>
      </c>
      <c r="BI6">
        <v>0</v>
      </c>
      <c r="BJ6">
        <v>0</v>
      </c>
      <c r="BK6">
        <v>0</v>
      </c>
      <c r="BL6" t="s">
        <v>1452</v>
      </c>
    </row>
    <row r="7" spans="1:64" x14ac:dyDescent="0.4">
      <c r="A7" s="30"/>
      <c r="B7" s="30">
        <v>42933.820138888892</v>
      </c>
      <c r="C7" t="s">
        <v>1430</v>
      </c>
      <c r="D7" t="s">
        <v>477</v>
      </c>
      <c r="E7" t="s">
        <v>582</v>
      </c>
      <c r="F7" t="s">
        <v>171</v>
      </c>
      <c r="G7" t="s">
        <v>169</v>
      </c>
      <c r="H7" s="21" t="s">
        <v>94</v>
      </c>
      <c r="I7" s="86">
        <v>1</v>
      </c>
      <c r="J7" s="86">
        <v>0</v>
      </c>
      <c r="K7" t="s">
        <v>1431</v>
      </c>
      <c r="L7" t="s">
        <v>604</v>
      </c>
      <c r="M7" t="s">
        <v>1453</v>
      </c>
      <c r="N7" t="str">
        <f>IF(SUM(ckCodingTable[[#This Row],[NfmlPIs]:[NnonWhtAsnPIs]])&gt;0,"WMD","")</f>
        <v/>
      </c>
      <c r="O7" t="b">
        <f>_xlfn.XOR(IFERROR(MATCH(ckCodingTable[[#This Row],[st_code]],EpscorTable[],0)&gt;0,FALSE),IFERROR(FIND("9150",ckCodingTable[[#This Row],[propPRCs]])&gt;0,FALSE))</f>
        <v>0</v>
      </c>
      <c r="P7" s="21" t="b">
        <f>_xlfn.XOR(ckCodingTable[[#This Row],[wmd]]&lt;&gt;"",IFERROR(FIND("9102",ckCodingTable[[#This Row],[propPRCs]])&gt;0,FALSE))</f>
        <v>0</v>
      </c>
      <c r="Q7" t="s">
        <v>1432</v>
      </c>
      <c r="S7" s="108">
        <f>S6+(ckCodingTable[[#This Row],[ILN]]&lt;"M")</f>
        <v>6</v>
      </c>
      <c r="T7" s="21" t="s">
        <v>95</v>
      </c>
      <c r="U7" t="s">
        <v>677</v>
      </c>
      <c r="V7" s="7" t="str">
        <f>HYPERLINK("https://www.ejacket.nsf.gov/ej/showProposal.do?ID="&amp;ckCodingTable[[#This Row],[prop_id]],"eJ")</f>
        <v>eJ</v>
      </c>
      <c r="W7" t="s">
        <v>478</v>
      </c>
      <c r="X7" t="s">
        <v>677</v>
      </c>
      <c r="Y7" t="s">
        <v>678</v>
      </c>
      <c r="Z7" t="s">
        <v>1454</v>
      </c>
      <c r="AA7" t="s">
        <v>1455</v>
      </c>
      <c r="AB7" s="111" t="str">
        <f>HYPERLINK("mailto:"&amp;ckCodingTable[[#This Row],[email]]&amp;"&amp;subject=Your NSF Proposal:  "&amp;ckCodingTable[[#This Row],[Div]]&amp;" "&amp;ckCodingTable[[#This Row],[prop_id]], ckCodingTable[[#This Row],[email]])</f>
        <v>yintat@uw.edu</v>
      </c>
      <c r="AC7" s="30">
        <v>43175</v>
      </c>
      <c r="AD7">
        <v>60</v>
      </c>
      <c r="AE7">
        <v>1</v>
      </c>
      <c r="AG7" s="112">
        <v>1</v>
      </c>
      <c r="AH7" t="s">
        <v>1456</v>
      </c>
      <c r="AI7" s="26">
        <v>8</v>
      </c>
      <c r="AJ7" s="22">
        <v>43031.375694444447</v>
      </c>
      <c r="AK7" s="21">
        <v>3</v>
      </c>
      <c r="AL7">
        <v>4</v>
      </c>
      <c r="AN7" s="112">
        <v>4</v>
      </c>
      <c r="AO7" s="112"/>
      <c r="AP7" s="112"/>
      <c r="AQ7" s="112"/>
      <c r="AR7" s="7" t="str">
        <f>HYPERLINK("https://www.ejacket.nsf.gov/ej/showProposal.do?ID="&amp;ckCodingTable[[#This Row],[prop_id]],"eJ")</f>
        <v>eJ</v>
      </c>
      <c r="AS7" t="s">
        <v>172</v>
      </c>
      <c r="AT7" t="s">
        <v>1457</v>
      </c>
      <c r="AU7" t="b">
        <f>IF(ckCodingTable[[#This Row],[ILN]]="N",SUBSTITUTE(AT6," ","")&lt;&gt;SUBSTITUTE(ckCodingTable[[#This Row],[prop_titl_txt]]," ",""), FALSE)</f>
        <v>0</v>
      </c>
      <c r="AV7">
        <v>0</v>
      </c>
      <c r="AW7" s="13">
        <v>549841</v>
      </c>
      <c r="AX7" s="13">
        <v>549841</v>
      </c>
      <c r="AY7" s="13"/>
      <c r="AZ7" s="13"/>
      <c r="BA7" s="13"/>
      <c r="BB7" s="13"/>
      <c r="BC7">
        <v>5</v>
      </c>
      <c r="BD7">
        <v>5</v>
      </c>
      <c r="BE7">
        <v>2.5</v>
      </c>
      <c r="BG7">
        <v>2.5</v>
      </c>
      <c r="BH7">
        <v>0</v>
      </c>
      <c r="BI7">
        <v>0</v>
      </c>
      <c r="BJ7">
        <v>0</v>
      </c>
      <c r="BK7">
        <v>0</v>
      </c>
      <c r="BL7" t="s">
        <v>1458</v>
      </c>
    </row>
    <row r="8" spans="1:64" x14ac:dyDescent="0.4">
      <c r="A8" s="30"/>
      <c r="B8" s="30">
        <v>42934.453472222223</v>
      </c>
      <c r="C8" t="s">
        <v>1430</v>
      </c>
      <c r="D8" t="s">
        <v>477</v>
      </c>
      <c r="E8" t="s">
        <v>582</v>
      </c>
      <c r="F8" t="s">
        <v>171</v>
      </c>
      <c r="G8" t="s">
        <v>169</v>
      </c>
      <c r="H8" s="21" t="s">
        <v>94</v>
      </c>
      <c r="I8" s="86">
        <v>1</v>
      </c>
      <c r="J8" s="86">
        <v>0</v>
      </c>
      <c r="K8" t="s">
        <v>1431</v>
      </c>
      <c r="L8" t="s">
        <v>654</v>
      </c>
      <c r="M8" t="s">
        <v>230</v>
      </c>
      <c r="N8" t="str">
        <f>IF(SUM(ckCodingTable[[#This Row],[NfmlPIs]:[NnonWhtAsnPIs]])&gt;0,"WMD","")</f>
        <v/>
      </c>
      <c r="O8" t="b">
        <f>_xlfn.XOR(IFERROR(MATCH(ckCodingTable[[#This Row],[st_code]],EpscorTable[],0)&gt;0,FALSE),IFERROR(FIND("9150",ckCodingTable[[#This Row],[propPRCs]])&gt;0,FALSE))</f>
        <v>0</v>
      </c>
      <c r="P8" s="21" t="b">
        <f>_xlfn.XOR(ckCodingTable[[#This Row],[wmd]]&lt;&gt;"",IFERROR(FIND("9102",ckCodingTable[[#This Row],[propPRCs]])&gt;0,FALSE))</f>
        <v>0</v>
      </c>
      <c r="Q8" t="s">
        <v>1432</v>
      </c>
      <c r="S8" s="108">
        <f>S7+(ckCodingTable[[#This Row],[ILN]]&lt;"M")</f>
        <v>7</v>
      </c>
      <c r="T8" s="21" t="s">
        <v>95</v>
      </c>
      <c r="U8" t="s">
        <v>685</v>
      </c>
      <c r="V8" s="7" t="str">
        <f>HYPERLINK("https://www.ejacket.nsf.gov/ej/showProposal.do?ID="&amp;ckCodingTable[[#This Row],[prop_id]],"eJ")</f>
        <v>eJ</v>
      </c>
      <c r="W8" t="s">
        <v>478</v>
      </c>
      <c r="X8" t="s">
        <v>685</v>
      </c>
      <c r="Y8" t="s">
        <v>686</v>
      </c>
      <c r="Z8" t="s">
        <v>1459</v>
      </c>
      <c r="AA8" t="s">
        <v>1460</v>
      </c>
      <c r="AB8" s="111" t="str">
        <f>HYPERLINK("mailto:"&amp;ckCodingTable[[#This Row],[email]]&amp;"&amp;subject=Your NSF Proposal:  "&amp;ckCodingTable[[#This Row],[Div]]&amp;" "&amp;ckCodingTable[[#This Row],[prop_id]], ckCodingTable[[#This Row],[email]])</f>
        <v>sim3@ucmerced.edu</v>
      </c>
      <c r="AC8" s="30">
        <v>43282</v>
      </c>
      <c r="AD8">
        <v>60</v>
      </c>
      <c r="AE8">
        <v>1</v>
      </c>
      <c r="AG8" s="112">
        <v>1</v>
      </c>
      <c r="AH8" t="s">
        <v>1461</v>
      </c>
      <c r="AI8" s="26">
        <v>6.5</v>
      </c>
      <c r="AJ8" s="22">
        <v>43032.518055555556</v>
      </c>
      <c r="AL8">
        <v>4</v>
      </c>
      <c r="AN8" s="112">
        <v>4</v>
      </c>
      <c r="AO8" s="112"/>
      <c r="AP8" s="112"/>
      <c r="AQ8" s="112"/>
      <c r="AR8" s="7" t="str">
        <f>HYPERLINK("https://www.ejacket.nsf.gov/ej/showProposal.do?ID="&amp;ckCodingTable[[#This Row],[prop_id]],"eJ")</f>
        <v>eJ</v>
      </c>
      <c r="AS8" t="s">
        <v>172</v>
      </c>
      <c r="AT8" t="s">
        <v>1462</v>
      </c>
      <c r="AU8" t="b">
        <f>IF(ckCodingTable[[#This Row],[ILN]]="N",SUBSTITUTE(AT7," ","")&lt;&gt;SUBSTITUTE(ckCodingTable[[#This Row],[prop_titl_txt]]," ",""), FALSE)</f>
        <v>0</v>
      </c>
      <c r="AV8">
        <v>0</v>
      </c>
      <c r="AW8" s="13">
        <v>514477</v>
      </c>
      <c r="AX8" s="13">
        <v>514477</v>
      </c>
      <c r="AY8" s="13"/>
      <c r="AZ8" s="13"/>
      <c r="BA8" s="13"/>
      <c r="BB8" s="13"/>
      <c r="BC8">
        <v>10</v>
      </c>
      <c r="BD8">
        <v>4</v>
      </c>
      <c r="BE8">
        <v>7</v>
      </c>
      <c r="BH8">
        <v>0</v>
      </c>
      <c r="BI8">
        <v>0</v>
      </c>
      <c r="BJ8">
        <v>0</v>
      </c>
      <c r="BK8">
        <v>0</v>
      </c>
      <c r="BL8" t="s">
        <v>1463</v>
      </c>
    </row>
    <row r="9" spans="1:64" x14ac:dyDescent="0.4">
      <c r="A9" s="30"/>
      <c r="B9" s="30">
        <v>42934.507638888892</v>
      </c>
      <c r="C9" t="s">
        <v>1430</v>
      </c>
      <c r="D9" t="s">
        <v>477</v>
      </c>
      <c r="E9" t="s">
        <v>582</v>
      </c>
      <c r="F9" t="s">
        <v>171</v>
      </c>
      <c r="G9" t="s">
        <v>169</v>
      </c>
      <c r="H9" s="21" t="s">
        <v>94</v>
      </c>
      <c r="I9" s="86">
        <v>0</v>
      </c>
      <c r="J9" s="86">
        <v>0</v>
      </c>
      <c r="K9" t="s">
        <v>1431</v>
      </c>
      <c r="L9" t="s">
        <v>654</v>
      </c>
      <c r="M9" t="s">
        <v>230</v>
      </c>
      <c r="N9" t="str">
        <f>IF(SUM(ckCodingTable[[#This Row],[NfmlPIs]:[NnonWhtAsnPIs]])&gt;0,"WMD","")</f>
        <v/>
      </c>
      <c r="O9" t="b">
        <f>_xlfn.XOR(IFERROR(MATCH(ckCodingTable[[#This Row],[st_code]],EpscorTable[],0)&gt;0,FALSE),IFERROR(FIND("9150",ckCodingTable[[#This Row],[propPRCs]])&gt;0,FALSE))</f>
        <v>0</v>
      </c>
      <c r="P9" s="21" t="b">
        <f>_xlfn.XOR(ckCodingTable[[#This Row],[wmd]]&lt;&gt;"",IFERROR(FIND("9102",ckCodingTable[[#This Row],[propPRCs]])&gt;0,FALSE))</f>
        <v>0</v>
      </c>
      <c r="Q9" t="s">
        <v>584</v>
      </c>
      <c r="S9" s="108">
        <f>S8+(ckCodingTable[[#This Row],[ILN]]&lt;"M")</f>
        <v>8</v>
      </c>
      <c r="T9" s="21" t="s">
        <v>95</v>
      </c>
      <c r="U9" t="s">
        <v>702</v>
      </c>
      <c r="V9" s="7" t="str">
        <f>HYPERLINK("https://www.ejacket.nsf.gov/ej/showProposal.do?ID="&amp;ckCodingTable[[#This Row],[prop_id]],"eJ")</f>
        <v>eJ</v>
      </c>
      <c r="W9" t="s">
        <v>478</v>
      </c>
      <c r="X9" t="s">
        <v>702</v>
      </c>
      <c r="Y9" t="s">
        <v>703</v>
      </c>
      <c r="Z9" t="s">
        <v>1464</v>
      </c>
      <c r="AA9" t="s">
        <v>1465</v>
      </c>
      <c r="AB9" s="111" t="str">
        <f>HYPERLINK("mailto:"&amp;ckCodingTable[[#This Row],[email]]&amp;"&amp;subject=Your NSF Proposal:  "&amp;ckCodingTable[[#This Row],[Div]]&amp;" "&amp;ckCodingTable[[#This Row],[prop_id]], ckCodingTable[[#This Row],[email]])</f>
        <v>sidford@stanford.edu</v>
      </c>
      <c r="AC9" s="30">
        <v>43009</v>
      </c>
      <c r="AD9">
        <v>60</v>
      </c>
      <c r="AE9">
        <v>1</v>
      </c>
      <c r="AG9" s="112">
        <v>1</v>
      </c>
      <c r="AH9" t="s">
        <v>1466</v>
      </c>
      <c r="AI9" s="26">
        <v>7.5</v>
      </c>
      <c r="AJ9" s="22">
        <v>43032.515277777777</v>
      </c>
      <c r="AK9" s="21">
        <v>1</v>
      </c>
      <c r="AL9">
        <v>4</v>
      </c>
      <c r="AN9" s="112">
        <v>4</v>
      </c>
      <c r="AO9" s="112"/>
      <c r="AP9" s="112"/>
      <c r="AQ9" s="112"/>
      <c r="AR9" s="7" t="str">
        <f>HYPERLINK("https://www.ejacket.nsf.gov/ej/showProposal.do?ID="&amp;ckCodingTable[[#This Row],[prop_id]],"eJ")</f>
        <v>eJ</v>
      </c>
      <c r="AS9" t="s">
        <v>172</v>
      </c>
      <c r="AT9" t="s">
        <v>1467</v>
      </c>
      <c r="AU9" t="b">
        <f>IF(ckCodingTable[[#This Row],[ILN]]="N",SUBSTITUTE(AT8," ","")&lt;&gt;SUBSTITUTE(ckCodingTable[[#This Row],[prop_titl_txt]]," ",""), FALSE)</f>
        <v>0</v>
      </c>
      <c r="AV9">
        <v>0</v>
      </c>
      <c r="AW9" s="13">
        <v>500000</v>
      </c>
      <c r="AX9" s="13">
        <v>500000</v>
      </c>
      <c r="AY9" s="13"/>
      <c r="AZ9" s="13"/>
      <c r="BA9" s="13"/>
      <c r="BB9" s="13">
        <v>7500</v>
      </c>
      <c r="BC9">
        <v>5</v>
      </c>
      <c r="BD9">
        <v>5</v>
      </c>
      <c r="BE9">
        <v>6.75</v>
      </c>
      <c r="BH9">
        <v>0</v>
      </c>
      <c r="BI9">
        <v>0</v>
      </c>
      <c r="BJ9">
        <v>0</v>
      </c>
      <c r="BK9">
        <v>0</v>
      </c>
      <c r="BL9" t="s">
        <v>1468</v>
      </c>
    </row>
    <row r="10" spans="1:64" x14ac:dyDescent="0.4">
      <c r="A10" s="30"/>
      <c r="B10" s="30">
        <v>42934.524305555555</v>
      </c>
      <c r="C10" t="s">
        <v>1430</v>
      </c>
      <c r="D10" t="s">
        <v>477</v>
      </c>
      <c r="E10" t="s">
        <v>582</v>
      </c>
      <c r="F10" t="s">
        <v>171</v>
      </c>
      <c r="G10" t="s">
        <v>169</v>
      </c>
      <c r="H10" s="21" t="s">
        <v>94</v>
      </c>
      <c r="I10" s="86">
        <v>1</v>
      </c>
      <c r="J10" s="86">
        <v>0</v>
      </c>
      <c r="K10" t="s">
        <v>1431</v>
      </c>
      <c r="L10" t="s">
        <v>611</v>
      </c>
      <c r="M10" t="s">
        <v>1470</v>
      </c>
      <c r="N10" t="str">
        <f>IF(SUM(ckCodingTable[[#This Row],[NfmlPIs]:[NnonWhtAsnPIs]])&gt;0,"WMD","")</f>
        <v/>
      </c>
      <c r="O10" t="b">
        <f>_xlfn.XOR(IFERROR(MATCH(ckCodingTable[[#This Row],[st_code]],EpscorTable[],0)&gt;0,FALSE),IFERROR(FIND("9150",ckCodingTable[[#This Row],[propPRCs]])&gt;0,FALSE))</f>
        <v>0</v>
      </c>
      <c r="P10" s="21" t="b">
        <f>_xlfn.XOR(ckCodingTable[[#This Row],[wmd]]&lt;&gt;"",IFERROR(FIND("9102",ckCodingTable[[#This Row],[propPRCs]])&gt;0,FALSE))</f>
        <v>0</v>
      </c>
      <c r="Q10" t="s">
        <v>1469</v>
      </c>
      <c r="S10" s="108">
        <f>S9+(ckCodingTable[[#This Row],[ILN]]&lt;"M")</f>
        <v>9</v>
      </c>
      <c r="T10" s="21" t="s">
        <v>95</v>
      </c>
      <c r="U10" t="s">
        <v>712</v>
      </c>
      <c r="V10" s="7" t="str">
        <f>HYPERLINK("https://www.ejacket.nsf.gov/ej/showProposal.do?ID="&amp;ckCodingTable[[#This Row],[prop_id]],"eJ")</f>
        <v>eJ</v>
      </c>
      <c r="W10" t="s">
        <v>478</v>
      </c>
      <c r="X10" t="s">
        <v>712</v>
      </c>
      <c r="Y10" t="s">
        <v>713</v>
      </c>
      <c r="Z10" t="s">
        <v>1471</v>
      </c>
      <c r="AA10" t="s">
        <v>1472</v>
      </c>
      <c r="AB10" s="111" t="str">
        <f>HYPERLINK("mailto:"&amp;ckCodingTable[[#This Row],[email]]&amp;"&amp;subject=Your NSF Proposal:  "&amp;ckCodingTable[[#This Row],[Div]]&amp;" "&amp;ckCodingTable[[#This Row],[prop_id]], ckCodingTable[[#This Row],[email]])</f>
        <v>omri@cs.columbia.edu</v>
      </c>
      <c r="AC10" s="30">
        <v>42979</v>
      </c>
      <c r="AD10">
        <v>60</v>
      </c>
      <c r="AE10">
        <v>1</v>
      </c>
      <c r="AG10" s="112">
        <v>1</v>
      </c>
      <c r="AH10" t="s">
        <v>1473</v>
      </c>
      <c r="AI10" s="26">
        <v>7</v>
      </c>
      <c r="AJ10" s="22">
        <v>43059.920138888891</v>
      </c>
      <c r="AL10">
        <v>4</v>
      </c>
      <c r="AN10" s="112">
        <v>4</v>
      </c>
      <c r="AO10" s="112"/>
      <c r="AP10" s="112"/>
      <c r="AQ10" s="112"/>
      <c r="AR10" s="7" t="str">
        <f>HYPERLINK("https://www.ejacket.nsf.gov/ej/showProposal.do?ID="&amp;ckCodingTable[[#This Row],[prop_id]],"eJ")</f>
        <v>eJ</v>
      </c>
      <c r="AS10" t="s">
        <v>172</v>
      </c>
      <c r="AT10" t="s">
        <v>1474</v>
      </c>
      <c r="AU10" t="b">
        <f>IF(ckCodingTable[[#This Row],[ILN]]="N",SUBSTITUTE(AT9," ","")&lt;&gt;SUBSTITUTE(ckCodingTable[[#This Row],[prop_titl_txt]]," ",""), FALSE)</f>
        <v>0</v>
      </c>
      <c r="AV10">
        <v>0</v>
      </c>
      <c r="AW10" s="13">
        <v>400000</v>
      </c>
      <c r="AX10" s="13">
        <v>400000</v>
      </c>
      <c r="AY10" s="13"/>
      <c r="AZ10" s="13"/>
      <c r="BA10" s="13"/>
      <c r="BB10" s="13"/>
      <c r="BC10">
        <v>3</v>
      </c>
      <c r="BD10">
        <v>5</v>
      </c>
      <c r="BE10">
        <v>1</v>
      </c>
      <c r="BG10">
        <v>3.5</v>
      </c>
      <c r="BH10">
        <v>0</v>
      </c>
      <c r="BI10">
        <v>0</v>
      </c>
      <c r="BJ10">
        <v>0</v>
      </c>
      <c r="BK10">
        <v>0</v>
      </c>
      <c r="BL10" t="s">
        <v>1475</v>
      </c>
    </row>
    <row r="11" spans="1:64" x14ac:dyDescent="0.4">
      <c r="A11" s="30"/>
      <c r="B11" s="30">
        <v>42934.524305555555</v>
      </c>
      <c r="C11" t="s">
        <v>1430</v>
      </c>
      <c r="D11" t="s">
        <v>477</v>
      </c>
      <c r="E11" t="s">
        <v>582</v>
      </c>
      <c r="F11" t="s">
        <v>171</v>
      </c>
      <c r="G11" t="s">
        <v>169</v>
      </c>
      <c r="H11" s="21" t="s">
        <v>94</v>
      </c>
      <c r="I11" s="86">
        <v>1</v>
      </c>
      <c r="J11" s="86">
        <v>0</v>
      </c>
      <c r="K11" t="s">
        <v>1431</v>
      </c>
      <c r="L11" t="s">
        <v>611</v>
      </c>
      <c r="M11" t="s">
        <v>306</v>
      </c>
      <c r="N11" t="str">
        <f>IF(SUM(ckCodingTable[[#This Row],[NfmlPIs]:[NnonWhtAsnPIs]])&gt;0,"WMD","")</f>
        <v/>
      </c>
      <c r="O11" t="b">
        <f>_xlfn.XOR(IFERROR(MATCH(ckCodingTable[[#This Row],[st_code]],EpscorTable[],0)&gt;0,FALSE),IFERROR(FIND("9150",ckCodingTable[[#This Row],[propPRCs]])&gt;0,FALSE))</f>
        <v>0</v>
      </c>
      <c r="P11" s="21" t="b">
        <f>_xlfn.XOR(ckCodingTable[[#This Row],[wmd]]&lt;&gt;"",IFERROR(FIND("9102",ckCodingTable[[#This Row],[propPRCs]])&gt;0,FALSE))</f>
        <v>0</v>
      </c>
      <c r="Q11" t="s">
        <v>1432</v>
      </c>
      <c r="S11" s="108">
        <f>S10+(ckCodingTable[[#This Row],[ILN]]&lt;"M")</f>
        <v>10</v>
      </c>
      <c r="T11" s="21" t="s">
        <v>95</v>
      </c>
      <c r="U11" t="s">
        <v>733</v>
      </c>
      <c r="V11" s="7" t="str">
        <f>HYPERLINK("https://www.ejacket.nsf.gov/ej/showProposal.do?ID="&amp;ckCodingTable[[#This Row],[prop_id]],"eJ")</f>
        <v>eJ</v>
      </c>
      <c r="W11" t="s">
        <v>478</v>
      </c>
      <c r="X11" t="s">
        <v>733</v>
      </c>
      <c r="Y11" t="s">
        <v>734</v>
      </c>
      <c r="Z11" t="s">
        <v>1476</v>
      </c>
      <c r="AA11" t="s">
        <v>1477</v>
      </c>
      <c r="AB11" s="111" t="str">
        <f>HYPERLINK("mailto:"&amp;ckCodingTable[[#This Row],[email]]&amp;"&amp;subject=Your NSF Proposal:  "&amp;ckCodingTable[[#This Row],[Div]]&amp;" "&amp;ckCodingTable[[#This Row],[prop_id]], ckCodingTable[[#This Row],[email]])</f>
        <v>karthe@illinois.edu</v>
      </c>
      <c r="AC11" s="30">
        <v>43115</v>
      </c>
      <c r="AD11">
        <v>60</v>
      </c>
      <c r="AE11">
        <v>1</v>
      </c>
      <c r="AG11" s="112">
        <v>1</v>
      </c>
      <c r="AH11" t="s">
        <v>1478</v>
      </c>
      <c r="AI11" s="26">
        <v>6.75</v>
      </c>
      <c r="AJ11" s="22">
        <v>43030.722916666666</v>
      </c>
      <c r="AK11" s="21">
        <v>2</v>
      </c>
      <c r="AL11">
        <v>4</v>
      </c>
      <c r="AN11" s="112">
        <v>4</v>
      </c>
      <c r="AO11" s="112"/>
      <c r="AP11" s="112"/>
      <c r="AQ11" s="112"/>
      <c r="AR11" s="7" t="str">
        <f>HYPERLINK("https://www.ejacket.nsf.gov/ej/showProposal.do?ID="&amp;ckCodingTable[[#This Row],[prop_id]],"eJ")</f>
        <v>eJ</v>
      </c>
      <c r="AS11" t="s">
        <v>172</v>
      </c>
      <c r="AT11" t="s">
        <v>1479</v>
      </c>
      <c r="AU11" t="b">
        <f>IF(ckCodingTable[[#This Row],[ILN]]="N",SUBSTITUTE(AT10," ","")&lt;&gt;SUBSTITUTE(ckCodingTable[[#This Row],[prop_titl_txt]]," ",""), FALSE)</f>
        <v>0</v>
      </c>
      <c r="AV11">
        <v>0</v>
      </c>
      <c r="AW11" s="13">
        <v>446040</v>
      </c>
      <c r="AX11" s="13">
        <v>446040</v>
      </c>
      <c r="AY11" s="13"/>
      <c r="AZ11" s="13">
        <v>20000</v>
      </c>
      <c r="BA11" s="13"/>
      <c r="BB11" s="13"/>
      <c r="BC11">
        <v>5</v>
      </c>
      <c r="BD11">
        <v>5</v>
      </c>
      <c r="BE11">
        <v>5</v>
      </c>
      <c r="BH11">
        <v>0</v>
      </c>
      <c r="BI11">
        <v>0</v>
      </c>
      <c r="BJ11">
        <v>0</v>
      </c>
      <c r="BK11">
        <v>0</v>
      </c>
      <c r="BL11" t="s">
        <v>1480</v>
      </c>
    </row>
    <row r="12" spans="1:64" x14ac:dyDescent="0.4">
      <c r="A12" s="30"/>
      <c r="B12" s="30">
        <v>42934.625694444447</v>
      </c>
      <c r="C12" t="s">
        <v>1430</v>
      </c>
      <c r="D12" t="s">
        <v>477</v>
      </c>
      <c r="E12" t="s">
        <v>582</v>
      </c>
      <c r="F12" t="s">
        <v>171</v>
      </c>
      <c r="G12" t="s">
        <v>169</v>
      </c>
      <c r="H12" s="21" t="s">
        <v>94</v>
      </c>
      <c r="I12" s="86">
        <v>1</v>
      </c>
      <c r="J12" s="86">
        <v>0</v>
      </c>
      <c r="K12" t="s">
        <v>1431</v>
      </c>
      <c r="L12" t="s">
        <v>604</v>
      </c>
      <c r="M12" t="s">
        <v>1470</v>
      </c>
      <c r="N12" t="str">
        <f>IF(SUM(ckCodingTable[[#This Row],[NfmlPIs]:[NnonWhtAsnPIs]])&gt;0,"WMD","")</f>
        <v/>
      </c>
      <c r="O12" t="b">
        <f>_xlfn.XOR(IFERROR(MATCH(ckCodingTable[[#This Row],[st_code]],EpscorTable[],0)&gt;0,FALSE),IFERROR(FIND("9150",ckCodingTable[[#This Row],[propPRCs]])&gt;0,FALSE))</f>
        <v>0</v>
      </c>
      <c r="P12" s="21" t="b">
        <f>_xlfn.XOR(ckCodingTable[[#This Row],[wmd]]&lt;&gt;"",IFERROR(FIND("9102",ckCodingTable[[#This Row],[propPRCs]])&gt;0,FALSE))</f>
        <v>0</v>
      </c>
      <c r="Q12" t="s">
        <v>1432</v>
      </c>
      <c r="S12" s="108">
        <f>S11+(ckCodingTable[[#This Row],[ILN]]&lt;"M")</f>
        <v>11</v>
      </c>
      <c r="T12" s="21" t="s">
        <v>95</v>
      </c>
      <c r="U12" t="s">
        <v>742</v>
      </c>
      <c r="V12" s="7" t="str">
        <f>HYPERLINK("https://www.ejacket.nsf.gov/ej/showProposal.do?ID="&amp;ckCodingTable[[#This Row],[prop_id]],"eJ")</f>
        <v>eJ</v>
      </c>
      <c r="W12" t="s">
        <v>478</v>
      </c>
      <c r="X12" t="s">
        <v>742</v>
      </c>
      <c r="Y12" t="s">
        <v>743</v>
      </c>
      <c r="Z12" t="s">
        <v>1481</v>
      </c>
      <c r="AA12" t="s">
        <v>1482</v>
      </c>
      <c r="AB12" s="111" t="str">
        <f>HYPERLINK("mailto:"&amp;ckCodingTable[[#This Row],[email]]&amp;"&amp;subject=Your NSF Proposal:  "&amp;ckCodingTable[[#This Row],[Div]]&amp;" "&amp;ckCodingTable[[#This Row],[prop_id]], ckCodingTable[[#This Row],[email]])</f>
        <v>francesco@cs.stonybrook.edu</v>
      </c>
      <c r="AC12" s="30">
        <v>43101</v>
      </c>
      <c r="AD12">
        <v>60</v>
      </c>
      <c r="AE12">
        <v>1</v>
      </c>
      <c r="AG12" s="112">
        <v>1</v>
      </c>
      <c r="AH12" t="s">
        <v>1483</v>
      </c>
      <c r="AI12" s="26">
        <v>8</v>
      </c>
      <c r="AJ12" s="22">
        <v>43059.663888888892</v>
      </c>
      <c r="AL12">
        <v>4</v>
      </c>
      <c r="AN12" s="112">
        <v>4</v>
      </c>
      <c r="AO12" s="112"/>
      <c r="AP12" s="112"/>
      <c r="AQ12" s="112"/>
      <c r="AR12" s="7" t="str">
        <f>HYPERLINK("https://www.ejacket.nsf.gov/ej/showProposal.do?ID="&amp;ckCodingTable[[#This Row],[prop_id]],"eJ")</f>
        <v>eJ</v>
      </c>
      <c r="AS12" t="s">
        <v>172</v>
      </c>
      <c r="AT12" t="s">
        <v>1484</v>
      </c>
      <c r="AU12" t="b">
        <f>IF(ckCodingTable[[#This Row],[ILN]]="N",SUBSTITUTE(AT11," ","")&lt;&gt;SUBSTITUTE(ckCodingTable[[#This Row],[prop_titl_txt]]," ",""), FALSE)</f>
        <v>0</v>
      </c>
      <c r="AV12">
        <v>0</v>
      </c>
      <c r="AW12" s="13">
        <v>516750</v>
      </c>
      <c r="AX12" s="13">
        <v>516750</v>
      </c>
      <c r="AY12" s="13"/>
      <c r="AZ12" s="13">
        <v>10000</v>
      </c>
      <c r="BA12" s="13"/>
      <c r="BB12" s="13"/>
      <c r="BC12">
        <v>9</v>
      </c>
      <c r="BD12">
        <v>5</v>
      </c>
      <c r="BE12">
        <v>5</v>
      </c>
      <c r="BH12">
        <v>0</v>
      </c>
      <c r="BI12">
        <v>0</v>
      </c>
      <c r="BJ12">
        <v>0</v>
      </c>
      <c r="BK12">
        <v>0</v>
      </c>
      <c r="BL12" t="s">
        <v>1485</v>
      </c>
    </row>
    <row r="13" spans="1:64" x14ac:dyDescent="0.4">
      <c r="A13" s="30"/>
      <c r="B13" s="30">
        <v>42934.695138888892</v>
      </c>
      <c r="C13" t="s">
        <v>1430</v>
      </c>
      <c r="D13" t="s">
        <v>477</v>
      </c>
      <c r="E13" t="s">
        <v>582</v>
      </c>
      <c r="F13" t="s">
        <v>171</v>
      </c>
      <c r="G13" t="s">
        <v>169</v>
      </c>
      <c r="H13" s="21" t="s">
        <v>94</v>
      </c>
      <c r="I13" s="86">
        <v>1</v>
      </c>
      <c r="J13" s="86">
        <v>0</v>
      </c>
      <c r="K13" t="s">
        <v>1431</v>
      </c>
      <c r="L13" t="s">
        <v>604</v>
      </c>
      <c r="M13" t="s">
        <v>231</v>
      </c>
      <c r="N13" t="str">
        <f>IF(SUM(ckCodingTable[[#This Row],[NfmlPIs]:[NnonWhtAsnPIs]])&gt;0,"WMD","")</f>
        <v/>
      </c>
      <c r="O13" t="b">
        <f>_xlfn.XOR(IFERROR(MATCH(ckCodingTable[[#This Row],[st_code]],EpscorTable[],0)&gt;0,FALSE),IFERROR(FIND("9150",ckCodingTable[[#This Row],[propPRCs]])&gt;0,FALSE))</f>
        <v>0</v>
      </c>
      <c r="P13" s="21" t="b">
        <f>_xlfn.XOR(ckCodingTable[[#This Row],[wmd]]&lt;&gt;"",IFERROR(FIND("9102",ckCodingTable[[#This Row],[propPRCs]])&gt;0,FALSE))</f>
        <v>0</v>
      </c>
      <c r="Q13" t="s">
        <v>1439</v>
      </c>
      <c r="R13" s="22">
        <v>43082.662685185183</v>
      </c>
      <c r="S13" s="108">
        <f>S12+(ckCodingTable[[#This Row],[ILN]]&lt;"M")</f>
        <v>12</v>
      </c>
      <c r="T13" s="21" t="s">
        <v>95</v>
      </c>
      <c r="U13" t="s">
        <v>762</v>
      </c>
      <c r="V13" s="7" t="str">
        <f>HYPERLINK("https://www.ejacket.nsf.gov/ej/showProposal.do?ID="&amp;ckCodingTable[[#This Row],[prop_id]],"eJ")</f>
        <v>eJ</v>
      </c>
      <c r="W13" t="s">
        <v>478</v>
      </c>
      <c r="X13" t="s">
        <v>762</v>
      </c>
      <c r="Y13" t="s">
        <v>763</v>
      </c>
      <c r="Z13" t="s">
        <v>1486</v>
      </c>
      <c r="AA13" t="s">
        <v>1487</v>
      </c>
      <c r="AB13" s="111" t="str">
        <f>HYPERLINK("mailto:"&amp;ckCodingTable[[#This Row],[email]]&amp;"&amp;subject=Your NSF Proposal:  "&amp;ckCodingTable[[#This Row],[Div]]&amp;" "&amp;ckCodingTable[[#This Row],[prop_id]], ckCodingTable[[#This Row],[email]])</f>
        <v>jsolomon@mit.edu</v>
      </c>
      <c r="AC13" s="30">
        <v>43101</v>
      </c>
      <c r="AD13">
        <v>60</v>
      </c>
      <c r="AE13">
        <v>1</v>
      </c>
      <c r="AG13" s="112">
        <v>1</v>
      </c>
      <c r="AH13" t="s">
        <v>1488</v>
      </c>
      <c r="AI13" s="26">
        <v>6.25</v>
      </c>
      <c r="AJ13" s="22">
        <v>43030.972222222219</v>
      </c>
      <c r="AK13" s="21">
        <v>2</v>
      </c>
      <c r="AL13">
        <v>4</v>
      </c>
      <c r="AN13" s="112">
        <v>4</v>
      </c>
      <c r="AO13" s="112"/>
      <c r="AP13" s="112"/>
      <c r="AQ13" s="112"/>
      <c r="AR13" s="7" t="str">
        <f>HYPERLINK("https://www.ejacket.nsf.gov/ej/showProposal.do?ID="&amp;ckCodingTable[[#This Row],[prop_id]],"eJ")</f>
        <v>eJ</v>
      </c>
      <c r="AS13" t="s">
        <v>172</v>
      </c>
      <c r="AT13" t="s">
        <v>1489</v>
      </c>
      <c r="AU13" t="b">
        <f>IF(ckCodingTable[[#This Row],[ILN]]="N",SUBSTITUTE(AT12," ","")&lt;&gt;SUBSTITUTE(ckCodingTable[[#This Row],[prop_titl_txt]]," ",""), FALSE)</f>
        <v>0</v>
      </c>
      <c r="AV13">
        <v>0</v>
      </c>
      <c r="AW13" s="13">
        <v>550000</v>
      </c>
      <c r="AX13" s="13">
        <v>550000</v>
      </c>
      <c r="AY13" s="13"/>
      <c r="AZ13" s="13"/>
      <c r="BA13" s="13"/>
      <c r="BB13" s="13"/>
      <c r="BC13">
        <v>5</v>
      </c>
      <c r="BD13">
        <v>5</v>
      </c>
      <c r="BE13">
        <v>2.5</v>
      </c>
      <c r="BH13">
        <v>0</v>
      </c>
      <c r="BI13">
        <v>0</v>
      </c>
      <c r="BJ13">
        <v>0</v>
      </c>
      <c r="BK13">
        <v>0</v>
      </c>
      <c r="BL13" t="s">
        <v>1490</v>
      </c>
    </row>
    <row r="14" spans="1:64" x14ac:dyDescent="0.4">
      <c r="A14" s="30"/>
      <c r="B14" s="30">
        <v>42934.734722222223</v>
      </c>
      <c r="C14" t="s">
        <v>1430</v>
      </c>
      <c r="D14" t="s">
        <v>477</v>
      </c>
      <c r="E14" t="s">
        <v>582</v>
      </c>
      <c r="F14" t="s">
        <v>171</v>
      </c>
      <c r="G14" t="s">
        <v>169</v>
      </c>
      <c r="H14" s="21" t="s">
        <v>94</v>
      </c>
      <c r="I14" s="86">
        <v>1</v>
      </c>
      <c r="J14" s="86">
        <v>0</v>
      </c>
      <c r="K14" t="s">
        <v>1431</v>
      </c>
      <c r="L14" t="s">
        <v>611</v>
      </c>
      <c r="M14" t="s">
        <v>1491</v>
      </c>
      <c r="N14" t="str">
        <f>IF(SUM(ckCodingTable[[#This Row],[NfmlPIs]:[NnonWhtAsnPIs]])&gt;0,"WMD","")</f>
        <v/>
      </c>
      <c r="O14" t="b">
        <f>_xlfn.XOR(IFERROR(MATCH(ckCodingTable[[#This Row],[st_code]],EpscorTable[],0)&gt;0,FALSE),IFERROR(FIND("9150",ckCodingTable[[#This Row],[propPRCs]])&gt;0,FALSE))</f>
        <v>0</v>
      </c>
      <c r="P14" s="21" t="b">
        <f>_xlfn.XOR(ckCodingTable[[#This Row],[wmd]]&lt;&gt;"",IFERROR(FIND("9102",ckCodingTable[[#This Row],[propPRCs]])&gt;0,FALSE))</f>
        <v>0</v>
      </c>
      <c r="Q14" t="s">
        <v>1469</v>
      </c>
      <c r="S14" s="108">
        <f>S13+(ckCodingTable[[#This Row],[ILN]]&lt;"M")</f>
        <v>13</v>
      </c>
      <c r="T14" s="21" t="s">
        <v>95</v>
      </c>
      <c r="U14" t="s">
        <v>771</v>
      </c>
      <c r="V14" s="7" t="str">
        <f>HYPERLINK("https://www.ejacket.nsf.gov/ej/showProposal.do?ID="&amp;ckCodingTable[[#This Row],[prop_id]],"eJ")</f>
        <v>eJ</v>
      </c>
      <c r="W14" t="s">
        <v>478</v>
      </c>
      <c r="X14" t="s">
        <v>771</v>
      </c>
      <c r="Y14" t="s">
        <v>772</v>
      </c>
      <c r="Z14" t="s">
        <v>1486</v>
      </c>
      <c r="AA14" t="s">
        <v>1492</v>
      </c>
      <c r="AB14" s="111" t="str">
        <f>HYPERLINK("mailto:"&amp;ckCodingTable[[#This Row],[email]]&amp;"&amp;subject=Your NSF Proposal:  "&amp;ckCodingTable[[#This Row],[Div]]&amp;" "&amp;ckCodingTable[[#This Row],[prop_id]], ckCodingTable[[#This Row],[email]])</f>
        <v>jt1157@georgetown.edu</v>
      </c>
      <c r="AC14" s="30">
        <v>43252</v>
      </c>
      <c r="AD14">
        <v>60</v>
      </c>
      <c r="AE14">
        <v>1</v>
      </c>
      <c r="AG14" s="112">
        <v>1</v>
      </c>
      <c r="AH14" t="s">
        <v>1493</v>
      </c>
      <c r="AI14" s="26">
        <v>6.75</v>
      </c>
      <c r="AJ14" s="22">
        <v>43059.936805555553</v>
      </c>
      <c r="AL14">
        <v>4</v>
      </c>
      <c r="AN14" s="112">
        <v>4</v>
      </c>
      <c r="AO14" s="112"/>
      <c r="AP14" s="112"/>
      <c r="AQ14" s="112"/>
      <c r="AR14" s="7" t="str">
        <f>HYPERLINK("https://www.ejacket.nsf.gov/ej/showProposal.do?ID="&amp;ckCodingTable[[#This Row],[prop_id]],"eJ")</f>
        <v>eJ</v>
      </c>
      <c r="AS14" t="s">
        <v>172</v>
      </c>
      <c r="AT14" t="s">
        <v>1494</v>
      </c>
      <c r="AU14" t="b">
        <f>IF(ckCodingTable[[#This Row],[ILN]]="N",SUBSTITUTE(AT13," ","")&lt;&gt;SUBSTITUTE(ckCodingTable[[#This Row],[prop_titl_txt]]," ",""), FALSE)</f>
        <v>0</v>
      </c>
      <c r="AV14">
        <v>0</v>
      </c>
      <c r="AW14" s="13">
        <v>525636</v>
      </c>
      <c r="AX14" s="13">
        <v>525636</v>
      </c>
      <c r="AY14" s="13"/>
      <c r="AZ14" s="13">
        <v>12500</v>
      </c>
      <c r="BA14" s="13"/>
      <c r="BB14" s="13"/>
      <c r="BC14">
        <v>4</v>
      </c>
      <c r="BD14">
        <v>5</v>
      </c>
      <c r="BE14">
        <v>7</v>
      </c>
      <c r="BH14">
        <v>0</v>
      </c>
      <c r="BI14">
        <v>0</v>
      </c>
      <c r="BJ14">
        <v>0</v>
      </c>
      <c r="BK14">
        <v>0</v>
      </c>
      <c r="BL14" t="s">
        <v>1495</v>
      </c>
    </row>
    <row r="15" spans="1:64" x14ac:dyDescent="0.4">
      <c r="A15" s="30"/>
      <c r="B15" s="30">
        <v>42934.737500000003</v>
      </c>
      <c r="C15" t="s">
        <v>1430</v>
      </c>
      <c r="D15" t="s">
        <v>477</v>
      </c>
      <c r="E15" t="s">
        <v>582</v>
      </c>
      <c r="F15" t="s">
        <v>171</v>
      </c>
      <c r="G15" t="s">
        <v>169</v>
      </c>
      <c r="H15" s="21" t="s">
        <v>94</v>
      </c>
      <c r="I15" s="86">
        <v>1</v>
      </c>
      <c r="J15" s="86">
        <v>0</v>
      </c>
      <c r="K15" t="s">
        <v>1431</v>
      </c>
      <c r="L15" t="s">
        <v>611</v>
      </c>
      <c r="M15" t="s">
        <v>306</v>
      </c>
      <c r="N15" t="str">
        <f>IF(SUM(ckCodingTable[[#This Row],[NfmlPIs]:[NnonWhtAsnPIs]])&gt;0,"WMD","")</f>
        <v/>
      </c>
      <c r="O15" t="b">
        <f>_xlfn.XOR(IFERROR(MATCH(ckCodingTable[[#This Row],[st_code]],EpscorTable[],0)&gt;0,FALSE),IFERROR(FIND("9150",ckCodingTable[[#This Row],[propPRCs]])&gt;0,FALSE))</f>
        <v>0</v>
      </c>
      <c r="P15" s="21" t="b">
        <f>_xlfn.XOR(ckCodingTable[[#This Row],[wmd]]&lt;&gt;"",IFERROR(FIND("9102",ckCodingTable[[#This Row],[propPRCs]])&gt;0,FALSE))</f>
        <v>0</v>
      </c>
      <c r="Q15" t="s">
        <v>1444</v>
      </c>
      <c r="R15" s="22">
        <v>43082.668715277781</v>
      </c>
      <c r="S15" s="108">
        <f>S14+(ckCodingTable[[#This Row],[ILN]]&lt;"M")</f>
        <v>14</v>
      </c>
      <c r="T15" s="21" t="s">
        <v>95</v>
      </c>
      <c r="U15" t="s">
        <v>782</v>
      </c>
      <c r="V15" s="7" t="str">
        <f>HYPERLINK("https://www.ejacket.nsf.gov/ej/showProposal.do?ID="&amp;ckCodingTable[[#This Row],[prop_id]],"eJ")</f>
        <v>eJ</v>
      </c>
      <c r="W15" t="s">
        <v>478</v>
      </c>
      <c r="X15" t="s">
        <v>782</v>
      </c>
      <c r="Y15" t="s">
        <v>783</v>
      </c>
      <c r="Z15" t="s">
        <v>1496</v>
      </c>
      <c r="AA15" t="s">
        <v>1477</v>
      </c>
      <c r="AB15" s="111" t="str">
        <f>HYPERLINK("mailto:"&amp;ckCodingTable[[#This Row],[email]]&amp;"&amp;subject=Your NSF Proposal:  "&amp;ckCodingTable[[#This Row],[Div]]&amp;" "&amp;ckCodingTable[[#This Row],[prop_id]], ckCodingTable[[#This Row],[email]])</f>
        <v>solomon2@illinois.edu</v>
      </c>
      <c r="AC15" s="30">
        <v>43132</v>
      </c>
      <c r="AD15">
        <v>60</v>
      </c>
      <c r="AE15">
        <v>1</v>
      </c>
      <c r="AG15" s="112">
        <v>1</v>
      </c>
      <c r="AH15" t="s">
        <v>1497</v>
      </c>
      <c r="AI15" s="26">
        <v>4.5</v>
      </c>
      <c r="AJ15" s="22">
        <v>43031.922222222223</v>
      </c>
      <c r="AK15" s="21">
        <v>2</v>
      </c>
      <c r="AL15">
        <v>4</v>
      </c>
      <c r="AN15" s="112">
        <v>4</v>
      </c>
      <c r="AO15" s="112"/>
      <c r="AP15" s="112"/>
      <c r="AQ15" s="112"/>
      <c r="AR15" s="7" t="str">
        <f>HYPERLINK("https://www.ejacket.nsf.gov/ej/showProposal.do?ID="&amp;ckCodingTable[[#This Row],[prop_id]],"eJ")</f>
        <v>eJ</v>
      </c>
      <c r="AS15" t="s">
        <v>172</v>
      </c>
      <c r="AT15" t="s">
        <v>1498</v>
      </c>
      <c r="AU15" t="b">
        <f>IF(ckCodingTable[[#This Row],[ILN]]="N",SUBSTITUTE(AT14," ","")&lt;&gt;SUBSTITUTE(ckCodingTable[[#This Row],[prop_titl_txt]]," ",""), FALSE)</f>
        <v>0</v>
      </c>
      <c r="AV15">
        <v>0</v>
      </c>
      <c r="AW15" s="13">
        <v>524117</v>
      </c>
      <c r="AX15" s="13">
        <v>524117</v>
      </c>
      <c r="AY15" s="13"/>
      <c r="AZ15" s="13">
        <v>11250</v>
      </c>
      <c r="BA15" s="13"/>
      <c r="BB15" s="13"/>
      <c r="BC15">
        <v>5</v>
      </c>
      <c r="BD15">
        <v>5</v>
      </c>
      <c r="BE15">
        <v>2.5</v>
      </c>
      <c r="BH15">
        <v>0</v>
      </c>
      <c r="BI15">
        <v>0</v>
      </c>
      <c r="BJ15">
        <v>0</v>
      </c>
      <c r="BK15">
        <v>0</v>
      </c>
      <c r="BL15" t="s">
        <v>1499</v>
      </c>
    </row>
    <row r="16" spans="1:64" x14ac:dyDescent="0.4">
      <c r="A16" s="30"/>
      <c r="B16" s="30">
        <v>42934.806944444441</v>
      </c>
      <c r="C16" t="s">
        <v>1430</v>
      </c>
      <c r="D16" t="s">
        <v>477</v>
      </c>
      <c r="E16" t="s">
        <v>582</v>
      </c>
      <c r="F16" t="s">
        <v>171</v>
      </c>
      <c r="G16" t="s">
        <v>169</v>
      </c>
      <c r="H16" s="21" t="s">
        <v>94</v>
      </c>
      <c r="I16" s="86">
        <v>1</v>
      </c>
      <c r="J16" s="86">
        <v>0</v>
      </c>
      <c r="K16" t="s">
        <v>1431</v>
      </c>
      <c r="L16" t="s">
        <v>654</v>
      </c>
      <c r="M16" t="s">
        <v>230</v>
      </c>
      <c r="N16" t="str">
        <f>IF(SUM(ckCodingTable[[#This Row],[NfmlPIs]:[NnonWhtAsnPIs]])&gt;0,"WMD","")</f>
        <v/>
      </c>
      <c r="O16" t="b">
        <f>_xlfn.XOR(IFERROR(MATCH(ckCodingTable[[#This Row],[st_code]],EpscorTable[],0)&gt;0,FALSE),IFERROR(FIND("9150",ckCodingTable[[#This Row],[propPRCs]])&gt;0,FALSE))</f>
        <v>0</v>
      </c>
      <c r="P16" s="21" t="b">
        <f>_xlfn.XOR(ckCodingTable[[#This Row],[wmd]]&lt;&gt;"",IFERROR(FIND("9102",ckCodingTable[[#This Row],[propPRCs]])&gt;0,FALSE))</f>
        <v>0</v>
      </c>
      <c r="Q16" t="s">
        <v>1432</v>
      </c>
      <c r="R16" s="22">
        <v>43082.669074074074</v>
      </c>
      <c r="S16" s="108">
        <f>S15+(ckCodingTable[[#This Row],[ILN]]&lt;"M")</f>
        <v>15</v>
      </c>
      <c r="T16" s="21" t="s">
        <v>95</v>
      </c>
      <c r="U16" t="s">
        <v>791</v>
      </c>
      <c r="V16" s="7" t="str">
        <f>HYPERLINK("https://www.ejacket.nsf.gov/ej/showProposal.do?ID="&amp;ckCodingTable[[#This Row],[prop_id]],"eJ")</f>
        <v>eJ</v>
      </c>
      <c r="W16" t="s">
        <v>478</v>
      </c>
      <c r="X16" t="s">
        <v>791</v>
      </c>
      <c r="Y16" t="s">
        <v>792</v>
      </c>
      <c r="Z16" t="s">
        <v>1500</v>
      </c>
      <c r="AA16" t="s">
        <v>1501</v>
      </c>
      <c r="AB16" s="111" t="str">
        <f>HYPERLINK("mailto:"&amp;ckCodingTable[[#This Row],[email]]&amp;"&amp;subject=Your NSF Proposal:  "&amp;ckCodingTable[[#This Row],[Div]]&amp;" "&amp;ckCodingTable[[#This Row],[prop_id]], ckCodingTable[[#This Row],[email]])</f>
        <v>razaviya@usc.edu</v>
      </c>
      <c r="AC16" s="30">
        <v>43236</v>
      </c>
      <c r="AD16">
        <v>60</v>
      </c>
      <c r="AE16">
        <v>2</v>
      </c>
      <c r="AG16" s="112">
        <v>1</v>
      </c>
      <c r="AH16" t="s">
        <v>1502</v>
      </c>
      <c r="AI16" s="26">
        <v>4.666666666666667</v>
      </c>
      <c r="AJ16" s="22">
        <v>43059.886111111111</v>
      </c>
      <c r="AL16">
        <v>9</v>
      </c>
      <c r="AN16" s="112">
        <v>5</v>
      </c>
      <c r="AO16" s="112"/>
      <c r="AP16" s="112"/>
      <c r="AQ16" s="112"/>
      <c r="AR16" s="7" t="str">
        <f>HYPERLINK("https://www.ejacket.nsf.gov/ej/showProposal.do?ID="&amp;ckCodingTable[[#This Row],[prop_id]],"eJ")</f>
        <v>eJ</v>
      </c>
      <c r="AS16" t="s">
        <v>172</v>
      </c>
      <c r="AT16" t="s">
        <v>1503</v>
      </c>
      <c r="AU16" t="b">
        <f>IF(ckCodingTable[[#This Row],[ILN]]="N",SUBSTITUTE(AT15," ","")&lt;&gt;SUBSTITUTE(ckCodingTable[[#This Row],[prop_titl_txt]]," ",""), FALSE)</f>
        <v>0</v>
      </c>
      <c r="AV16">
        <v>0</v>
      </c>
      <c r="AW16" s="13">
        <v>539673</v>
      </c>
      <c r="AX16" s="13">
        <v>539673</v>
      </c>
      <c r="AY16" s="13"/>
      <c r="AZ16" s="13"/>
      <c r="BA16" s="13"/>
      <c r="BB16" s="13">
        <v>13000</v>
      </c>
      <c r="BC16">
        <v>5</v>
      </c>
      <c r="BD16">
        <v>5</v>
      </c>
      <c r="BE16">
        <v>5</v>
      </c>
      <c r="BH16">
        <v>0</v>
      </c>
      <c r="BI16">
        <v>0</v>
      </c>
      <c r="BJ16">
        <v>0</v>
      </c>
      <c r="BK16">
        <v>0</v>
      </c>
      <c r="BL16" t="s">
        <v>1504</v>
      </c>
    </row>
    <row r="17" spans="1:64" x14ac:dyDescent="0.4">
      <c r="A17" s="30"/>
      <c r="B17" s="30">
        <v>42934.808333333334</v>
      </c>
      <c r="C17" t="s">
        <v>1430</v>
      </c>
      <c r="D17" t="s">
        <v>477</v>
      </c>
      <c r="E17" t="s">
        <v>582</v>
      </c>
      <c r="F17" t="s">
        <v>171</v>
      </c>
      <c r="G17" t="s">
        <v>169</v>
      </c>
      <c r="H17" s="21" t="s">
        <v>94</v>
      </c>
      <c r="I17" s="86">
        <v>1</v>
      </c>
      <c r="J17" s="86">
        <v>0</v>
      </c>
      <c r="K17" t="s">
        <v>1431</v>
      </c>
      <c r="L17" t="s">
        <v>604</v>
      </c>
      <c r="M17" t="s">
        <v>230</v>
      </c>
      <c r="N17" t="str">
        <f>IF(SUM(ckCodingTable[[#This Row],[NfmlPIs]:[NnonWhtAsnPIs]])&gt;0,"WMD","")</f>
        <v/>
      </c>
      <c r="O17" t="b">
        <f>_xlfn.XOR(IFERROR(MATCH(ckCodingTable[[#This Row],[st_code]],EpscorTable[],0)&gt;0,FALSE),IFERROR(FIND("9150",ckCodingTable[[#This Row],[propPRCs]])&gt;0,FALSE))</f>
        <v>0</v>
      </c>
      <c r="P17" s="21" t="b">
        <f>_xlfn.XOR(ckCodingTable[[#This Row],[wmd]]&lt;&gt;"",IFERROR(FIND("9102",ckCodingTable[[#This Row],[propPRCs]])&gt;0,FALSE))</f>
        <v>0</v>
      </c>
      <c r="Q17" t="s">
        <v>1505</v>
      </c>
      <c r="R17" s="22">
        <v>43076.609027777777</v>
      </c>
      <c r="S17" s="108">
        <f>S16+(ckCodingTable[[#This Row],[ILN]]&lt;"M")</f>
        <v>16</v>
      </c>
      <c r="T17" s="21" t="s">
        <v>95</v>
      </c>
      <c r="U17" t="s">
        <v>825</v>
      </c>
      <c r="V17" s="7" t="str">
        <f>HYPERLINK("https://www.ejacket.nsf.gov/ej/showProposal.do?ID="&amp;ckCodingTable[[#This Row],[prop_id]],"eJ")</f>
        <v>eJ</v>
      </c>
      <c r="W17" t="s">
        <v>478</v>
      </c>
      <c r="X17" t="s">
        <v>825</v>
      </c>
      <c r="Y17" t="s">
        <v>826</v>
      </c>
      <c r="Z17" t="s">
        <v>1506</v>
      </c>
      <c r="AA17" t="s">
        <v>1507</v>
      </c>
      <c r="AB17" s="111" t="str">
        <f>HYPERLINK("mailto:"&amp;ckCodingTable[[#This Row],[email]]&amp;"&amp;subject=Your NSF Proposal:  "&amp;ckCodingTable[[#This Row],[Div]]&amp;" "&amp;ckCodingTable[[#This Row],[prop_id]], ckCodingTable[[#This Row],[email]])</f>
        <v>craig@ucr.edu</v>
      </c>
      <c r="AC17" s="30">
        <v>43101</v>
      </c>
      <c r="AD17">
        <v>60</v>
      </c>
      <c r="AE17">
        <v>1</v>
      </c>
      <c r="AG17" s="112">
        <v>1</v>
      </c>
      <c r="AH17" t="s">
        <v>1508</v>
      </c>
      <c r="AI17" s="26">
        <v>4</v>
      </c>
      <c r="AJ17" s="22">
        <v>43031.584027777775</v>
      </c>
      <c r="AL17">
        <v>4</v>
      </c>
      <c r="AN17" s="112">
        <v>4</v>
      </c>
      <c r="AO17" s="112"/>
      <c r="AP17" s="112"/>
      <c r="AQ17" s="112"/>
      <c r="AR17" s="7" t="str">
        <f>HYPERLINK("https://www.ejacket.nsf.gov/ej/showProposal.do?ID="&amp;ckCodingTable[[#This Row],[prop_id]],"eJ")</f>
        <v>eJ</v>
      </c>
      <c r="AS17" t="s">
        <v>172</v>
      </c>
      <c r="AT17" t="s">
        <v>1509</v>
      </c>
      <c r="AU17" t="b">
        <f>IF(ckCodingTable[[#This Row],[ILN]]="N",SUBSTITUTE(AT16," ","")&lt;&gt;SUBSTITUTE(ckCodingTable[[#This Row],[prop_titl_txt]]," ",""), FALSE)</f>
        <v>0</v>
      </c>
      <c r="AV17">
        <v>0</v>
      </c>
      <c r="AW17" s="13">
        <v>440331</v>
      </c>
      <c r="AX17" s="13">
        <v>440331</v>
      </c>
      <c r="AY17" s="13"/>
      <c r="AZ17" s="13"/>
      <c r="BA17" s="13"/>
      <c r="BB17" s="13"/>
      <c r="BC17">
        <v>5</v>
      </c>
      <c r="BD17">
        <v>5</v>
      </c>
      <c r="BE17">
        <v>5</v>
      </c>
      <c r="BH17">
        <v>0</v>
      </c>
      <c r="BI17">
        <v>0</v>
      </c>
      <c r="BJ17">
        <v>0</v>
      </c>
      <c r="BK17">
        <v>0</v>
      </c>
      <c r="BL17" t="s">
        <v>1510</v>
      </c>
    </row>
    <row r="18" spans="1:64" x14ac:dyDescent="0.4">
      <c r="A18" s="30"/>
      <c r="B18" s="30">
        <v>42935.359027777777</v>
      </c>
      <c r="C18" t="s">
        <v>1430</v>
      </c>
      <c r="D18" t="s">
        <v>477</v>
      </c>
      <c r="E18" t="s">
        <v>582</v>
      </c>
      <c r="F18" t="s">
        <v>171</v>
      </c>
      <c r="G18" t="s">
        <v>169</v>
      </c>
      <c r="H18" s="21" t="s">
        <v>94</v>
      </c>
      <c r="I18" s="86">
        <v>1</v>
      </c>
      <c r="J18" s="86">
        <v>0</v>
      </c>
      <c r="K18" t="s">
        <v>1431</v>
      </c>
      <c r="L18" t="s">
        <v>654</v>
      </c>
      <c r="M18" t="s">
        <v>1470</v>
      </c>
      <c r="N18" t="str">
        <f>IF(SUM(ckCodingTable[[#This Row],[NfmlPIs]:[NnonWhtAsnPIs]])&gt;0,"WMD","")</f>
        <v/>
      </c>
      <c r="O18" t="b">
        <f>_xlfn.XOR(IFERROR(MATCH(ckCodingTable[[#This Row],[st_code]],EpscorTable[],0)&gt;0,FALSE),IFERROR(FIND("9150",ckCodingTable[[#This Row],[propPRCs]])&gt;0,FALSE))</f>
        <v>0</v>
      </c>
      <c r="P18" s="21" t="b">
        <f>_xlfn.XOR(ckCodingTable[[#This Row],[wmd]]&lt;&gt;"",IFERROR(FIND("9102",ckCodingTable[[#This Row],[propPRCs]])&gt;0,FALSE))</f>
        <v>0</v>
      </c>
      <c r="Q18" t="s">
        <v>1432</v>
      </c>
      <c r="R18" s="22">
        <v>43082.668773148151</v>
      </c>
      <c r="S18" s="108">
        <f>S17+(ckCodingTable[[#This Row],[ILN]]&lt;"M")</f>
        <v>17</v>
      </c>
      <c r="T18" s="21" t="s">
        <v>95</v>
      </c>
      <c r="U18" t="s">
        <v>834</v>
      </c>
      <c r="V18" s="7" t="str">
        <f>HYPERLINK("https://www.ejacket.nsf.gov/ej/showProposal.do?ID="&amp;ckCodingTable[[#This Row],[prop_id]],"eJ")</f>
        <v>eJ</v>
      </c>
      <c r="W18" t="s">
        <v>478</v>
      </c>
      <c r="X18" t="s">
        <v>834</v>
      </c>
      <c r="Y18" t="s">
        <v>835</v>
      </c>
      <c r="Z18" t="s">
        <v>1511</v>
      </c>
      <c r="AA18" t="s">
        <v>1512</v>
      </c>
      <c r="AB18" s="111" t="str">
        <f>HYPERLINK("mailto:"&amp;ckCodingTable[[#This Row],[email]]&amp;"&amp;subject=Your NSF Proposal:  "&amp;ckCodingTable[[#This Row],[Div]]&amp;" "&amp;ckCodingTable[[#This Row],[prop_id]], ckCodingTable[[#This Row],[email]])</f>
        <v>shil@buffalo.edu</v>
      </c>
      <c r="AC18" s="30">
        <v>43344</v>
      </c>
      <c r="AD18">
        <v>60</v>
      </c>
      <c r="AE18">
        <v>1</v>
      </c>
      <c r="AG18" s="112"/>
      <c r="AH18" t="s">
        <v>1513</v>
      </c>
      <c r="AI18" s="26">
        <v>5.25</v>
      </c>
      <c r="AJ18" s="22">
        <v>43031.584722222222</v>
      </c>
      <c r="AK18" s="21">
        <v>2</v>
      </c>
      <c r="AL18">
        <v>4</v>
      </c>
      <c r="AN18" s="112"/>
      <c r="AO18" s="112"/>
      <c r="AP18" s="112"/>
      <c r="AQ18" s="112"/>
      <c r="AR18" s="7" t="str">
        <f>HYPERLINK("https://www.ejacket.nsf.gov/ej/showProposal.do?ID="&amp;ckCodingTable[[#This Row],[prop_id]],"eJ")</f>
        <v>eJ</v>
      </c>
      <c r="AS18" t="s">
        <v>172</v>
      </c>
      <c r="AT18" t="s">
        <v>1514</v>
      </c>
      <c r="AU18" t="b">
        <f>IF(ckCodingTable[[#This Row],[ILN]]="N",SUBSTITUTE(AT17," ","")&lt;&gt;SUBSTITUTE(ckCodingTable[[#This Row],[prop_titl_txt]]," ",""), FALSE)</f>
        <v>0</v>
      </c>
      <c r="AV18">
        <v>0</v>
      </c>
      <c r="AW18" s="13">
        <v>530842</v>
      </c>
      <c r="AX18" s="13">
        <v>530842</v>
      </c>
      <c r="AY18" s="13"/>
      <c r="AZ18" s="13">
        <v>10000</v>
      </c>
      <c r="BA18" s="13"/>
      <c r="BB18" s="13"/>
      <c r="BC18">
        <v>5</v>
      </c>
      <c r="BD18">
        <v>5</v>
      </c>
      <c r="BE18">
        <v>5</v>
      </c>
      <c r="BH18">
        <v>0</v>
      </c>
      <c r="BI18">
        <v>0</v>
      </c>
      <c r="BJ18">
        <v>0</v>
      </c>
      <c r="BK18">
        <v>0</v>
      </c>
      <c r="BL18" t="s">
        <v>1515</v>
      </c>
    </row>
    <row r="19" spans="1:64" x14ac:dyDescent="0.4">
      <c r="A19" s="30"/>
      <c r="B19" s="30">
        <v>42935.374305555553</v>
      </c>
      <c r="C19" t="s">
        <v>1430</v>
      </c>
      <c r="D19" t="s">
        <v>477</v>
      </c>
      <c r="E19" t="s">
        <v>582</v>
      </c>
      <c r="F19" t="s">
        <v>171</v>
      </c>
      <c r="G19" t="s">
        <v>169</v>
      </c>
      <c r="H19" s="21" t="s">
        <v>94</v>
      </c>
      <c r="I19" s="86">
        <v>0</v>
      </c>
      <c r="J19" s="86">
        <v>0</v>
      </c>
      <c r="K19" t="s">
        <v>1431</v>
      </c>
      <c r="L19" t="s">
        <v>654</v>
      </c>
      <c r="M19" t="s">
        <v>308</v>
      </c>
      <c r="N19" t="str">
        <f>IF(SUM(ckCodingTable[[#This Row],[NfmlPIs]:[NnonWhtAsnPIs]])&gt;0,"WMD","")</f>
        <v/>
      </c>
      <c r="O19" t="b">
        <f>_xlfn.XOR(IFERROR(MATCH(ckCodingTable[[#This Row],[st_code]],EpscorTable[],0)&gt;0,FALSE),IFERROR(FIND("9150",ckCodingTable[[#This Row],[propPRCs]])&gt;0,FALSE))</f>
        <v>0</v>
      </c>
      <c r="P19" s="21" t="b">
        <f>_xlfn.XOR(ckCodingTable[[#This Row],[wmd]]&lt;&gt;"",IFERROR(FIND("9102",ckCodingTable[[#This Row],[propPRCs]])&gt;0,FALSE))</f>
        <v>0</v>
      </c>
      <c r="Q19" t="s">
        <v>584</v>
      </c>
      <c r="S19" s="108">
        <f>S18+(ckCodingTable[[#This Row],[ILN]]&lt;"M")</f>
        <v>18</v>
      </c>
      <c r="T19" s="21" t="s">
        <v>95</v>
      </c>
      <c r="U19" t="s">
        <v>843</v>
      </c>
      <c r="V19" s="7" t="str">
        <f>HYPERLINK("https://www.ejacket.nsf.gov/ej/showProposal.do?ID="&amp;ckCodingTable[[#This Row],[prop_id]],"eJ")</f>
        <v>eJ</v>
      </c>
      <c r="W19" t="s">
        <v>478</v>
      </c>
      <c r="X19" t="s">
        <v>843</v>
      </c>
      <c r="Y19" t="s">
        <v>844</v>
      </c>
      <c r="Z19" t="s">
        <v>1516</v>
      </c>
      <c r="AA19" t="s">
        <v>307</v>
      </c>
      <c r="AB19" s="111" t="str">
        <f>HYPERLINK("mailto:"&amp;ckCodingTable[[#This Row],[email]]&amp;"&amp;subject=Your NSF Proposal:  "&amp;ckCodingTable[[#This Row],[Div]]&amp;" "&amp;ckCodingTable[[#This Row],[prop_id]], ckCodingTable[[#This Row],[email]])</f>
        <v>viswa@umich.edu</v>
      </c>
      <c r="AC19" s="30">
        <v>43221</v>
      </c>
      <c r="AD19">
        <v>60</v>
      </c>
      <c r="AE19">
        <v>1</v>
      </c>
      <c r="AG19" s="112">
        <v>1</v>
      </c>
      <c r="AH19" t="s">
        <v>1473</v>
      </c>
      <c r="AI19" s="26">
        <v>7</v>
      </c>
      <c r="AJ19" s="22">
        <v>43032.519444444442</v>
      </c>
      <c r="AL19">
        <v>4</v>
      </c>
      <c r="AN19" s="112">
        <v>4</v>
      </c>
      <c r="AO19" s="112"/>
      <c r="AP19" s="112"/>
      <c r="AQ19" s="112"/>
      <c r="AR19" s="7" t="str">
        <f>HYPERLINK("https://www.ejacket.nsf.gov/ej/showProposal.do?ID="&amp;ckCodingTable[[#This Row],[prop_id]],"eJ")</f>
        <v>eJ</v>
      </c>
      <c r="AS19" t="s">
        <v>172</v>
      </c>
      <c r="AT19" t="s">
        <v>1517</v>
      </c>
      <c r="AU19" t="b">
        <f>IF(ckCodingTable[[#This Row],[ILN]]="N",SUBSTITUTE(AT18," ","")&lt;&gt;SUBSTITUTE(ckCodingTable[[#This Row],[prop_titl_txt]]," ",""), FALSE)</f>
        <v>0</v>
      </c>
      <c r="AV19">
        <v>0</v>
      </c>
      <c r="AW19" s="13">
        <v>524840</v>
      </c>
      <c r="AX19" s="13">
        <v>524840</v>
      </c>
      <c r="AY19" s="13"/>
      <c r="AZ19" s="13"/>
      <c r="BA19" s="13"/>
      <c r="BB19" s="13">
        <v>3000</v>
      </c>
      <c r="BC19">
        <v>5</v>
      </c>
      <c r="BD19">
        <v>5</v>
      </c>
      <c r="BE19">
        <v>5</v>
      </c>
      <c r="BH19">
        <v>0</v>
      </c>
      <c r="BI19">
        <v>0</v>
      </c>
      <c r="BJ19">
        <v>0</v>
      </c>
      <c r="BK19">
        <v>0</v>
      </c>
      <c r="BL19" t="s">
        <v>1518</v>
      </c>
    </row>
    <row r="20" spans="1:64" x14ac:dyDescent="0.4">
      <c r="A20" s="30"/>
      <c r="B20" s="30">
        <v>42935.387499999997</v>
      </c>
      <c r="C20" t="s">
        <v>1430</v>
      </c>
      <c r="D20" t="s">
        <v>477</v>
      </c>
      <c r="E20" t="s">
        <v>582</v>
      </c>
      <c r="F20" t="s">
        <v>171</v>
      </c>
      <c r="G20" t="s">
        <v>169</v>
      </c>
      <c r="H20" s="21" t="s">
        <v>94</v>
      </c>
      <c r="I20" s="86">
        <v>1</v>
      </c>
      <c r="J20" s="86">
        <v>0</v>
      </c>
      <c r="K20" t="s">
        <v>1431</v>
      </c>
      <c r="L20" t="s">
        <v>654</v>
      </c>
      <c r="M20" t="s">
        <v>309</v>
      </c>
      <c r="N20" t="str">
        <f>IF(SUM(ckCodingTable[[#This Row],[NfmlPIs]:[NnonWhtAsnPIs]])&gt;0,"WMD","")</f>
        <v/>
      </c>
      <c r="O20" t="b">
        <f>_xlfn.XOR(IFERROR(MATCH(ckCodingTable[[#This Row],[st_code]],EpscorTable[],0)&gt;0,FALSE),IFERROR(FIND("9150",ckCodingTable[[#This Row],[propPRCs]])&gt;0,FALSE))</f>
        <v>0</v>
      </c>
      <c r="P20" s="21" t="b">
        <f>_xlfn.XOR(ckCodingTable[[#This Row],[wmd]]&lt;&gt;"",IFERROR(FIND("9102",ckCodingTable[[#This Row],[propPRCs]])&gt;0,FALSE))</f>
        <v>0</v>
      </c>
      <c r="Q20" t="s">
        <v>1432</v>
      </c>
      <c r="S20" s="108">
        <f>S19+(ckCodingTable[[#This Row],[ILN]]&lt;"M")</f>
        <v>19</v>
      </c>
      <c r="T20" s="21" t="s">
        <v>95</v>
      </c>
      <c r="U20" t="s">
        <v>851</v>
      </c>
      <c r="V20" s="7" t="str">
        <f>HYPERLINK("https://www.ejacket.nsf.gov/ej/showProposal.do?ID="&amp;ckCodingTable[[#This Row],[prop_id]],"eJ")</f>
        <v>eJ</v>
      </c>
      <c r="W20" t="s">
        <v>478</v>
      </c>
      <c r="X20" t="s">
        <v>851</v>
      </c>
      <c r="Y20" t="s">
        <v>852</v>
      </c>
      <c r="Z20" t="s">
        <v>1519</v>
      </c>
      <c r="AA20" t="s">
        <v>1520</v>
      </c>
      <c r="AB20" s="111" t="str">
        <f>HYPERLINK("mailto:"&amp;ckCodingTable[[#This Row],[email]]&amp;"&amp;subject=Your NSF Proposal:  "&amp;ckCodingTable[[#This Row],[Div]]&amp;" "&amp;ckCodingTable[[#This Row],[prop_id]], ckCodingTable[[#This Row],[email]])</f>
        <v>debmalya.panigrahi@gmail.com</v>
      </c>
      <c r="AC20" s="30">
        <v>43160</v>
      </c>
      <c r="AD20">
        <v>60</v>
      </c>
      <c r="AE20">
        <v>1</v>
      </c>
      <c r="AG20" s="112">
        <v>1</v>
      </c>
      <c r="AH20" t="s">
        <v>1521</v>
      </c>
      <c r="AI20" s="26">
        <v>7.75</v>
      </c>
      <c r="AJ20" s="22">
        <v>43032.520138888889</v>
      </c>
      <c r="AK20" s="21">
        <v>2</v>
      </c>
      <c r="AL20">
        <v>4</v>
      </c>
      <c r="AN20" s="112">
        <v>4</v>
      </c>
      <c r="AO20" s="112"/>
      <c r="AP20" s="112"/>
      <c r="AQ20" s="112"/>
      <c r="AR20" s="7" t="str">
        <f>HYPERLINK("https://www.ejacket.nsf.gov/ej/showProposal.do?ID="&amp;ckCodingTable[[#This Row],[prop_id]],"eJ")</f>
        <v>eJ</v>
      </c>
      <c r="AS20" t="s">
        <v>172</v>
      </c>
      <c r="AT20" t="s">
        <v>1522</v>
      </c>
      <c r="AU20" t="b">
        <f>IF(ckCodingTable[[#This Row],[ILN]]="N",SUBSTITUTE(AT19," ","")&lt;&gt;SUBSTITUTE(ckCodingTable[[#This Row],[prop_titl_txt]]," ",""), FALSE)</f>
        <v>0</v>
      </c>
      <c r="AV20">
        <v>0</v>
      </c>
      <c r="AW20" s="13">
        <v>602288</v>
      </c>
      <c r="AX20" s="13">
        <v>602288</v>
      </c>
      <c r="AY20" s="13"/>
      <c r="AZ20" s="13">
        <v>21026</v>
      </c>
      <c r="BA20" s="13"/>
      <c r="BB20" s="13">
        <v>16000</v>
      </c>
      <c r="BC20">
        <v>5</v>
      </c>
      <c r="BD20">
        <v>5</v>
      </c>
      <c r="BE20">
        <v>7</v>
      </c>
      <c r="BH20">
        <v>0</v>
      </c>
      <c r="BI20">
        <v>0</v>
      </c>
      <c r="BJ20">
        <v>0</v>
      </c>
      <c r="BK20">
        <v>0</v>
      </c>
      <c r="BL20" t="s">
        <v>1523</v>
      </c>
    </row>
    <row r="21" spans="1:64" x14ac:dyDescent="0.4">
      <c r="A21" s="30"/>
      <c r="B21" s="30">
        <v>42935.475694444445</v>
      </c>
      <c r="C21" t="s">
        <v>1430</v>
      </c>
      <c r="D21" t="s">
        <v>477</v>
      </c>
      <c r="E21" t="s">
        <v>582</v>
      </c>
      <c r="F21" t="s">
        <v>171</v>
      </c>
      <c r="G21" t="s">
        <v>169</v>
      </c>
      <c r="H21" s="21" t="s">
        <v>94</v>
      </c>
      <c r="I21" s="86">
        <v>1</v>
      </c>
      <c r="J21" s="86">
        <v>0</v>
      </c>
      <c r="K21" t="s">
        <v>1431</v>
      </c>
      <c r="L21" t="s">
        <v>654</v>
      </c>
      <c r="M21" t="s">
        <v>490</v>
      </c>
      <c r="N21" t="str">
        <f>IF(SUM(ckCodingTable[[#This Row],[NfmlPIs]:[NnonWhtAsnPIs]])&gt;0,"WMD","")</f>
        <v/>
      </c>
      <c r="O21" t="b">
        <f>_xlfn.XOR(IFERROR(MATCH(ckCodingTable[[#This Row],[st_code]],EpscorTable[],0)&gt;0,FALSE),IFERROR(FIND("9150",ckCodingTable[[#This Row],[propPRCs]])&gt;0,FALSE))</f>
        <v>0</v>
      </c>
      <c r="P21" s="21" t="b">
        <f>_xlfn.XOR(ckCodingTable[[#This Row],[wmd]]&lt;&gt;"",IFERROR(FIND("9102",ckCodingTable[[#This Row],[propPRCs]])&gt;0,FALSE))</f>
        <v>0</v>
      </c>
      <c r="Q21" t="s">
        <v>1432</v>
      </c>
      <c r="R21" s="22">
        <v>43082.668842592589</v>
      </c>
      <c r="S21" s="108">
        <f>S20+(ckCodingTable[[#This Row],[ILN]]&lt;"M")</f>
        <v>20</v>
      </c>
      <c r="T21" s="21" t="s">
        <v>95</v>
      </c>
      <c r="U21" t="s">
        <v>859</v>
      </c>
      <c r="V21" s="7" t="str">
        <f>HYPERLINK("https://www.ejacket.nsf.gov/ej/showProposal.do?ID="&amp;ckCodingTable[[#This Row],[prop_id]],"eJ")</f>
        <v>eJ</v>
      </c>
      <c r="W21" t="s">
        <v>478</v>
      </c>
      <c r="X21" t="s">
        <v>859</v>
      </c>
      <c r="Y21" t="s">
        <v>860</v>
      </c>
      <c r="Z21" t="s">
        <v>1524</v>
      </c>
      <c r="AA21" t="s">
        <v>1525</v>
      </c>
      <c r="AB21" s="111" t="str">
        <f>HYPERLINK("mailto:"&amp;ckCodingTable[[#This Row],[email]]&amp;"&amp;subject=Your NSF Proposal:  "&amp;ckCodingTable[[#This Row],[Div]]&amp;" "&amp;ckCodingTable[[#This Row],[prop_id]], ckCodingTable[[#This Row],[email]])</f>
        <v>mdinitz@cs.jhu.edu</v>
      </c>
      <c r="AC21" s="30">
        <v>43282</v>
      </c>
      <c r="AD21">
        <v>60</v>
      </c>
      <c r="AE21">
        <v>1</v>
      </c>
      <c r="AG21" s="112">
        <v>1</v>
      </c>
      <c r="AH21" t="s">
        <v>567</v>
      </c>
      <c r="AI21" s="26">
        <v>6.75</v>
      </c>
      <c r="AJ21" s="22">
        <v>43030.96875</v>
      </c>
      <c r="AK21" s="21">
        <v>1</v>
      </c>
      <c r="AL21">
        <v>4</v>
      </c>
      <c r="AN21" s="112">
        <v>4</v>
      </c>
      <c r="AO21" s="112"/>
      <c r="AP21" s="112"/>
      <c r="AQ21" s="112"/>
      <c r="AR21" s="7" t="str">
        <f>HYPERLINK("https://www.ejacket.nsf.gov/ej/showProposal.do?ID="&amp;ckCodingTable[[#This Row],[prop_id]],"eJ")</f>
        <v>eJ</v>
      </c>
      <c r="AS21" t="s">
        <v>172</v>
      </c>
      <c r="AT21" t="s">
        <v>1526</v>
      </c>
      <c r="AU21" t="b">
        <f>IF(ckCodingTable[[#This Row],[ILN]]="N",SUBSTITUTE(AT20," ","")&lt;&gt;SUBSTITUTE(ckCodingTable[[#This Row],[prop_titl_txt]]," ",""), FALSE)</f>
        <v>0</v>
      </c>
      <c r="AV21">
        <v>0</v>
      </c>
      <c r="AW21" s="13">
        <v>507459</v>
      </c>
      <c r="AX21" s="13">
        <v>507459</v>
      </c>
      <c r="AY21" s="13"/>
      <c r="AZ21" s="13">
        <v>4200</v>
      </c>
      <c r="BA21" s="13"/>
      <c r="BB21" s="13"/>
      <c r="BC21">
        <v>5</v>
      </c>
      <c r="BD21">
        <v>5</v>
      </c>
      <c r="BG21">
        <v>5</v>
      </c>
      <c r="BH21">
        <v>0</v>
      </c>
      <c r="BI21">
        <v>0</v>
      </c>
      <c r="BJ21">
        <v>0</v>
      </c>
      <c r="BK21">
        <v>0</v>
      </c>
      <c r="BL21" t="s">
        <v>1527</v>
      </c>
    </row>
    <row r="22" spans="1:64" x14ac:dyDescent="0.4">
      <c r="A22" s="30"/>
      <c r="B22" s="30">
        <v>42935.488888888889</v>
      </c>
      <c r="C22" t="s">
        <v>1430</v>
      </c>
      <c r="D22" t="s">
        <v>477</v>
      </c>
      <c r="E22" t="s">
        <v>582</v>
      </c>
      <c r="F22" t="s">
        <v>171</v>
      </c>
      <c r="G22" t="s">
        <v>169</v>
      </c>
      <c r="H22" s="21" t="s">
        <v>94</v>
      </c>
      <c r="I22" s="86">
        <v>1</v>
      </c>
      <c r="J22" s="86">
        <v>0</v>
      </c>
      <c r="K22" t="s">
        <v>1431</v>
      </c>
      <c r="L22" t="s">
        <v>654</v>
      </c>
      <c r="M22" t="s">
        <v>231</v>
      </c>
      <c r="N22" t="str">
        <f>IF(SUM(ckCodingTable[[#This Row],[NfmlPIs]:[NnonWhtAsnPIs]])&gt;0,"WMD","")</f>
        <v/>
      </c>
      <c r="O22" t="b">
        <f>_xlfn.XOR(IFERROR(MATCH(ckCodingTable[[#This Row],[st_code]],EpscorTable[],0)&gt;0,FALSE),IFERROR(FIND("9150",ckCodingTable[[#This Row],[propPRCs]])&gt;0,FALSE))</f>
        <v>0</v>
      </c>
      <c r="P22" s="21" t="b">
        <f>_xlfn.XOR(ckCodingTable[[#This Row],[wmd]]&lt;&gt;"",IFERROR(FIND("9102",ckCodingTable[[#This Row],[propPRCs]])&gt;0,FALSE))</f>
        <v>0</v>
      </c>
      <c r="Q22" t="s">
        <v>1432</v>
      </c>
      <c r="S22" s="108">
        <f>S21+(ckCodingTable[[#This Row],[ILN]]&lt;"M")</f>
        <v>21</v>
      </c>
      <c r="T22" s="21" t="s">
        <v>95</v>
      </c>
      <c r="U22" t="s">
        <v>868</v>
      </c>
      <c r="V22" s="7" t="str">
        <f>HYPERLINK("https://www.ejacket.nsf.gov/ej/showProposal.do?ID="&amp;ckCodingTable[[#This Row],[prop_id]],"eJ")</f>
        <v>eJ</v>
      </c>
      <c r="W22" t="s">
        <v>478</v>
      </c>
      <c r="X22" t="s">
        <v>868</v>
      </c>
      <c r="Y22" t="s">
        <v>869</v>
      </c>
      <c r="Z22" t="s">
        <v>1528</v>
      </c>
      <c r="AA22" t="s">
        <v>1529</v>
      </c>
      <c r="AB22" s="111" t="str">
        <f>HYPERLINK("mailto:"&amp;ckCodingTable[[#This Row],[email]]&amp;"&amp;subject=Your NSF Proposal:  "&amp;ckCodingTable[[#This Row],[Div]]&amp;" "&amp;ckCodingTable[[#This Row],[prop_id]], ckCodingTable[[#This Row],[email]])</f>
        <v>aene@bu.edu</v>
      </c>
      <c r="AC22" s="30">
        <v>43101</v>
      </c>
      <c r="AD22">
        <v>60</v>
      </c>
      <c r="AE22">
        <v>1</v>
      </c>
      <c r="AG22" s="112">
        <v>1</v>
      </c>
      <c r="AH22" t="s">
        <v>1530</v>
      </c>
      <c r="AI22" s="26">
        <v>7.5</v>
      </c>
      <c r="AJ22" s="22">
        <v>43032.52847222222</v>
      </c>
      <c r="AK22" s="21">
        <v>1</v>
      </c>
      <c r="AL22">
        <v>4</v>
      </c>
      <c r="AN22" s="112">
        <v>4</v>
      </c>
      <c r="AO22" s="112"/>
      <c r="AP22" s="112"/>
      <c r="AQ22" s="112"/>
      <c r="AR22" s="7" t="str">
        <f>HYPERLINK("https://www.ejacket.nsf.gov/ej/showProposal.do?ID="&amp;ckCodingTable[[#This Row],[prop_id]],"eJ")</f>
        <v>eJ</v>
      </c>
      <c r="AS22" t="s">
        <v>172</v>
      </c>
      <c r="AT22" t="s">
        <v>1531</v>
      </c>
      <c r="AU22" t="b">
        <f>IF(ckCodingTable[[#This Row],[ILN]]="N",SUBSTITUTE(AT21," ","")&lt;&gt;SUBSTITUTE(ckCodingTable[[#This Row],[prop_titl_txt]]," ",""), FALSE)</f>
        <v>0</v>
      </c>
      <c r="AV22">
        <v>0</v>
      </c>
      <c r="AW22" s="13">
        <v>507423</v>
      </c>
      <c r="AX22" s="13">
        <v>507423</v>
      </c>
      <c r="AY22" s="13"/>
      <c r="AZ22" s="13">
        <v>15000</v>
      </c>
      <c r="BA22" s="13"/>
      <c r="BB22" s="13"/>
      <c r="BC22">
        <v>5</v>
      </c>
      <c r="BD22">
        <v>5</v>
      </c>
      <c r="BE22">
        <v>5</v>
      </c>
      <c r="BH22">
        <v>0</v>
      </c>
      <c r="BI22">
        <v>0</v>
      </c>
      <c r="BJ22">
        <v>0</v>
      </c>
      <c r="BK22">
        <v>0</v>
      </c>
      <c r="BL22" t="s">
        <v>1532</v>
      </c>
    </row>
    <row r="23" spans="1:64" x14ac:dyDescent="0.4">
      <c r="A23" s="30"/>
      <c r="B23" s="30">
        <v>42935.491666666669</v>
      </c>
      <c r="C23" t="s">
        <v>1430</v>
      </c>
      <c r="D23" t="s">
        <v>477</v>
      </c>
      <c r="E23" t="s">
        <v>582</v>
      </c>
      <c r="F23" t="s">
        <v>171</v>
      </c>
      <c r="G23" t="s">
        <v>169</v>
      </c>
      <c r="H23" s="21" t="s">
        <v>94</v>
      </c>
      <c r="I23" s="86">
        <v>1</v>
      </c>
      <c r="J23" s="86">
        <v>0</v>
      </c>
      <c r="K23" t="s">
        <v>1431</v>
      </c>
      <c r="L23" t="s">
        <v>654</v>
      </c>
      <c r="M23" t="s">
        <v>97</v>
      </c>
      <c r="N23" t="str">
        <f>IF(SUM(ckCodingTable[[#This Row],[NfmlPIs]:[NnonWhtAsnPIs]])&gt;0,"WMD","")</f>
        <v/>
      </c>
      <c r="O23" t="b">
        <f>_xlfn.XOR(IFERROR(MATCH(ckCodingTable[[#This Row],[st_code]],EpscorTable[],0)&gt;0,FALSE),IFERROR(FIND("9150",ckCodingTable[[#This Row],[propPRCs]])&gt;0,FALSE))</f>
        <v>0</v>
      </c>
      <c r="P23" s="21" t="b">
        <f>_xlfn.XOR(ckCodingTable[[#This Row],[wmd]]&lt;&gt;"",IFERROR(FIND("9102",ckCodingTable[[#This Row],[propPRCs]])&gt;0,FALSE))</f>
        <v>0</v>
      </c>
      <c r="Q23" t="s">
        <v>1533</v>
      </c>
      <c r="R23" s="22">
        <v>43082.663078703707</v>
      </c>
      <c r="S23" s="108">
        <f>S22+(ckCodingTable[[#This Row],[ILN]]&lt;"M")</f>
        <v>22</v>
      </c>
      <c r="T23" s="21" t="s">
        <v>95</v>
      </c>
      <c r="U23" t="s">
        <v>875</v>
      </c>
      <c r="V23" s="7" t="str">
        <f>HYPERLINK("https://www.ejacket.nsf.gov/ej/showProposal.do?ID="&amp;ckCodingTable[[#This Row],[prop_id]],"eJ")</f>
        <v>eJ</v>
      </c>
      <c r="W23" t="s">
        <v>478</v>
      </c>
      <c r="X23" t="s">
        <v>875</v>
      </c>
      <c r="Y23" t="s">
        <v>876</v>
      </c>
      <c r="Z23" t="s">
        <v>1534</v>
      </c>
      <c r="AA23" t="s">
        <v>1535</v>
      </c>
      <c r="AB23" s="111" t="str">
        <f>HYPERLINK("mailto:"&amp;ckCodingTable[[#This Row],[email]]&amp;"&amp;subject=Your NSF Proposal:  "&amp;ckCodingTable[[#This Row],[Div]]&amp;" "&amp;ckCodingTable[[#This Row],[prop_id]], ckCodingTable[[#This Row],[email]])</f>
        <v>pvaliant@gmail.com</v>
      </c>
      <c r="AC23" s="30">
        <v>43252</v>
      </c>
      <c r="AD23">
        <v>60</v>
      </c>
      <c r="AE23">
        <v>1</v>
      </c>
      <c r="AG23" s="112"/>
      <c r="AH23" t="s">
        <v>1536</v>
      </c>
      <c r="AI23" s="26">
        <v>5</v>
      </c>
      <c r="AJ23" s="22">
        <v>43059.950694444444</v>
      </c>
      <c r="AL23">
        <v>4</v>
      </c>
      <c r="AN23" s="112"/>
      <c r="AO23" s="112"/>
      <c r="AP23" s="112"/>
      <c r="AQ23" s="112"/>
      <c r="AR23" s="7" t="str">
        <f>HYPERLINK("https://www.ejacket.nsf.gov/ej/showProposal.do?ID="&amp;ckCodingTable[[#This Row],[prop_id]],"eJ")</f>
        <v>eJ</v>
      </c>
      <c r="AS23" t="s">
        <v>172</v>
      </c>
      <c r="AT23" t="s">
        <v>1537</v>
      </c>
      <c r="AU23" t="b">
        <f>IF(ckCodingTable[[#This Row],[ILN]]="N",SUBSTITUTE(AT22," ","")&lt;&gt;SUBSTITUTE(ckCodingTable[[#This Row],[prop_titl_txt]]," ",""), FALSE)</f>
        <v>0</v>
      </c>
      <c r="AV23">
        <v>0</v>
      </c>
      <c r="AW23" s="13">
        <v>666111</v>
      </c>
      <c r="AX23" s="13">
        <v>666111</v>
      </c>
      <c r="AY23" s="13"/>
      <c r="AZ23" s="13">
        <v>10618</v>
      </c>
      <c r="BA23" s="13"/>
      <c r="BB23" s="13"/>
      <c r="BC23">
        <v>5</v>
      </c>
      <c r="BD23">
        <v>5</v>
      </c>
      <c r="BE23">
        <v>5</v>
      </c>
      <c r="BH23">
        <v>0</v>
      </c>
      <c r="BI23">
        <v>0</v>
      </c>
      <c r="BJ23">
        <v>0</v>
      </c>
      <c r="BK23">
        <v>0</v>
      </c>
      <c r="BL23" t="s">
        <v>1538</v>
      </c>
    </row>
    <row r="24" spans="1:64" x14ac:dyDescent="0.4">
      <c r="A24" s="30"/>
      <c r="B24" s="30">
        <v>42935.535416666666</v>
      </c>
      <c r="C24" t="s">
        <v>1430</v>
      </c>
      <c r="D24" t="s">
        <v>477</v>
      </c>
      <c r="E24" t="s">
        <v>582</v>
      </c>
      <c r="F24" t="s">
        <v>171</v>
      </c>
      <c r="G24" t="s">
        <v>169</v>
      </c>
      <c r="H24" s="21" t="s">
        <v>94</v>
      </c>
      <c r="I24" s="86">
        <v>1</v>
      </c>
      <c r="J24" s="86">
        <v>0</v>
      </c>
      <c r="K24" t="s">
        <v>1431</v>
      </c>
      <c r="L24" t="s">
        <v>611</v>
      </c>
      <c r="M24" t="s">
        <v>306</v>
      </c>
      <c r="N24" t="str">
        <f>IF(SUM(ckCodingTable[[#This Row],[NfmlPIs]:[NnonWhtAsnPIs]])&gt;0,"WMD","")</f>
        <v/>
      </c>
      <c r="O24" t="b">
        <f>_xlfn.XOR(IFERROR(MATCH(ckCodingTable[[#This Row],[st_code]],EpscorTable[],0)&gt;0,FALSE),IFERROR(FIND("9150",ckCodingTable[[#This Row],[propPRCs]])&gt;0,FALSE))</f>
        <v>0</v>
      </c>
      <c r="P24" s="21" t="b">
        <f>_xlfn.XOR(ckCodingTable[[#This Row],[wmd]]&lt;&gt;"",IFERROR(FIND("9102",ckCodingTable[[#This Row],[propPRCs]])&gt;0,FALSE))</f>
        <v>0</v>
      </c>
      <c r="Q24" t="s">
        <v>1539</v>
      </c>
      <c r="S24" s="108">
        <f>S23+(ckCodingTable[[#This Row],[ILN]]&lt;"M")</f>
        <v>23</v>
      </c>
      <c r="T24" s="21" t="s">
        <v>95</v>
      </c>
      <c r="U24" t="s">
        <v>885</v>
      </c>
      <c r="V24" s="7" t="str">
        <f>HYPERLINK("https://www.ejacket.nsf.gov/ej/showProposal.do?ID="&amp;ckCodingTable[[#This Row],[prop_id]],"eJ")</f>
        <v>eJ</v>
      </c>
      <c r="W24" t="s">
        <v>478</v>
      </c>
      <c r="X24" t="s">
        <v>885</v>
      </c>
      <c r="Y24" t="s">
        <v>886</v>
      </c>
      <c r="Z24" t="s">
        <v>1540</v>
      </c>
      <c r="AA24" t="s">
        <v>1477</v>
      </c>
      <c r="AB24" s="111" t="str">
        <f>HYPERLINK("mailto:"&amp;ckCodingTable[[#This Row],[email]]&amp;"&amp;subject=Your NSF Proposal:  "&amp;ckCodingTable[[#This Row],[Div]]&amp;" "&amp;ckCodingTable[[#This Row],[prop_id]], ckCodingTable[[#This Row],[email]])</f>
        <v>rutameht@illinois.edu</v>
      </c>
      <c r="AC24" s="30">
        <v>43132</v>
      </c>
      <c r="AD24">
        <v>60</v>
      </c>
      <c r="AE24">
        <v>1</v>
      </c>
      <c r="AG24" s="112">
        <v>1</v>
      </c>
      <c r="AH24" t="s">
        <v>1541</v>
      </c>
      <c r="AI24" s="26">
        <v>7.25</v>
      </c>
      <c r="AJ24" s="22">
        <v>43060.566666666666</v>
      </c>
      <c r="AK24" s="21">
        <v>1</v>
      </c>
      <c r="AL24">
        <v>4</v>
      </c>
      <c r="AN24" s="112">
        <v>4</v>
      </c>
      <c r="AO24" s="112"/>
      <c r="AP24" s="112"/>
      <c r="AQ24" s="112"/>
      <c r="AR24" s="7" t="str">
        <f>HYPERLINK("https://www.ejacket.nsf.gov/ej/showProposal.do?ID="&amp;ckCodingTable[[#This Row],[prop_id]],"eJ")</f>
        <v>eJ</v>
      </c>
      <c r="AS24" t="s">
        <v>172</v>
      </c>
      <c r="AT24" t="s">
        <v>1542</v>
      </c>
      <c r="AU24" t="b">
        <f>IF(ckCodingTable[[#This Row],[ILN]]="N",SUBSTITUTE(AT23," ","")&lt;&gt;SUBSTITUTE(ckCodingTable[[#This Row],[prop_titl_txt]]," ",""), FALSE)</f>
        <v>0</v>
      </c>
      <c r="AV24">
        <v>0</v>
      </c>
      <c r="AW24" s="13">
        <v>499906</v>
      </c>
      <c r="AX24" s="13">
        <v>499906</v>
      </c>
      <c r="AY24" s="13"/>
      <c r="AZ24" s="13">
        <v>10000</v>
      </c>
      <c r="BA24" s="13"/>
      <c r="BB24" s="13"/>
      <c r="BC24">
        <v>5</v>
      </c>
      <c r="BD24">
        <v>4</v>
      </c>
      <c r="BE24">
        <v>4</v>
      </c>
      <c r="BH24">
        <v>0</v>
      </c>
      <c r="BI24">
        <v>0</v>
      </c>
      <c r="BJ24">
        <v>0</v>
      </c>
      <c r="BK24">
        <v>0</v>
      </c>
      <c r="BL24" t="s">
        <v>1543</v>
      </c>
    </row>
    <row r="25" spans="1:64" x14ac:dyDescent="0.4">
      <c r="A25" s="30"/>
      <c r="B25" s="30">
        <v>42935.536805555559</v>
      </c>
      <c r="C25" t="s">
        <v>1430</v>
      </c>
      <c r="D25" t="s">
        <v>477</v>
      </c>
      <c r="E25" t="s">
        <v>582</v>
      </c>
      <c r="F25" t="s">
        <v>171</v>
      </c>
      <c r="G25" t="s">
        <v>169</v>
      </c>
      <c r="H25" s="21" t="s">
        <v>94</v>
      </c>
      <c r="I25" s="86">
        <v>1</v>
      </c>
      <c r="J25" s="86">
        <v>0</v>
      </c>
      <c r="K25" t="s">
        <v>1431</v>
      </c>
      <c r="L25" t="s">
        <v>611</v>
      </c>
      <c r="M25" t="s">
        <v>498</v>
      </c>
      <c r="N25" t="str">
        <f>IF(SUM(ckCodingTable[[#This Row],[NfmlPIs]:[NnonWhtAsnPIs]])&gt;0,"WMD","")</f>
        <v/>
      </c>
      <c r="O25" t="b">
        <f>_xlfn.XOR(IFERROR(MATCH(ckCodingTable[[#This Row],[st_code]],EpscorTable[],0)&gt;0,FALSE),IFERROR(FIND("9150",ckCodingTable[[#This Row],[propPRCs]])&gt;0,FALSE))</f>
        <v>0</v>
      </c>
      <c r="P25" s="21" t="b">
        <f>_xlfn.XOR(ckCodingTable[[#This Row],[wmd]]&lt;&gt;"",IFERROR(FIND("9102",ckCodingTable[[#This Row],[propPRCs]])&gt;0,FALSE))</f>
        <v>0</v>
      </c>
      <c r="Q25" t="s">
        <v>1469</v>
      </c>
      <c r="S25" s="108">
        <f>S24+(ckCodingTable[[#This Row],[ILN]]&lt;"M")</f>
        <v>24</v>
      </c>
      <c r="T25" s="21" t="s">
        <v>95</v>
      </c>
      <c r="U25" t="s">
        <v>896</v>
      </c>
      <c r="V25" s="7" t="str">
        <f>HYPERLINK("https://www.ejacket.nsf.gov/ej/showProposal.do?ID="&amp;ckCodingTable[[#This Row],[prop_id]],"eJ")</f>
        <v>eJ</v>
      </c>
      <c r="W25" t="s">
        <v>478</v>
      </c>
      <c r="X25" t="s">
        <v>896</v>
      </c>
      <c r="Y25" t="s">
        <v>897</v>
      </c>
      <c r="Z25" t="s">
        <v>1544</v>
      </c>
      <c r="AA25" t="s">
        <v>552</v>
      </c>
      <c r="AB25" s="111" t="str">
        <f>HYPERLINK("mailto:"&amp;ckCodingTable[[#This Row],[email]]&amp;"&amp;subject=Your NSF Proposal:  "&amp;ckCodingTable[[#This Row],[Div]]&amp;" "&amp;ckCodingTable[[#This Row],[prop_id]], ckCodingTable[[#This Row],[email]])</f>
        <v>gillat.kol@gmail.com</v>
      </c>
      <c r="AC25" s="30">
        <v>43132</v>
      </c>
      <c r="AD25">
        <v>60</v>
      </c>
      <c r="AE25">
        <v>2</v>
      </c>
      <c r="AG25" s="112">
        <v>2</v>
      </c>
      <c r="AH25" t="s">
        <v>1545</v>
      </c>
      <c r="AI25" s="26">
        <v>6.2222222222222223</v>
      </c>
      <c r="AJ25" s="22">
        <v>43059.575694444444</v>
      </c>
      <c r="AL25">
        <v>9</v>
      </c>
      <c r="AN25" s="112">
        <v>9</v>
      </c>
      <c r="AO25" s="112"/>
      <c r="AP25" s="112"/>
      <c r="AQ25" s="112"/>
      <c r="AR25" s="7" t="str">
        <f>HYPERLINK("https://www.ejacket.nsf.gov/ej/showProposal.do?ID="&amp;ckCodingTable[[#This Row],[prop_id]],"eJ")</f>
        <v>eJ</v>
      </c>
      <c r="AS25" t="s">
        <v>172</v>
      </c>
      <c r="AT25" t="s">
        <v>1546</v>
      </c>
      <c r="AU25" t="b">
        <f>IF(ckCodingTable[[#This Row],[ILN]]="N",SUBSTITUTE(AT24," ","")&lt;&gt;SUBSTITUTE(ckCodingTable[[#This Row],[prop_titl_txt]]," ",""), FALSE)</f>
        <v>0</v>
      </c>
      <c r="AV25">
        <v>0</v>
      </c>
      <c r="AW25" s="13">
        <v>550000</v>
      </c>
      <c r="AX25" s="13">
        <v>550000</v>
      </c>
      <c r="AY25" s="13"/>
      <c r="AZ25" s="13"/>
      <c r="BA25" s="13"/>
      <c r="BB25" s="13"/>
      <c r="BC25">
        <v>5</v>
      </c>
      <c r="BD25">
        <v>5</v>
      </c>
      <c r="BE25">
        <v>5</v>
      </c>
      <c r="BH25">
        <v>0</v>
      </c>
      <c r="BI25">
        <v>0</v>
      </c>
      <c r="BJ25">
        <v>0</v>
      </c>
      <c r="BK25">
        <v>0</v>
      </c>
      <c r="BL25" t="s">
        <v>1547</v>
      </c>
    </row>
    <row r="26" spans="1:64" x14ac:dyDescent="0.4">
      <c r="A26" s="30"/>
      <c r="B26" s="30">
        <v>42935.54583333333</v>
      </c>
      <c r="C26" t="s">
        <v>1430</v>
      </c>
      <c r="D26" t="s">
        <v>477</v>
      </c>
      <c r="E26" t="s">
        <v>582</v>
      </c>
      <c r="F26" t="s">
        <v>171</v>
      </c>
      <c r="G26" t="s">
        <v>169</v>
      </c>
      <c r="H26" s="21" t="s">
        <v>94</v>
      </c>
      <c r="I26" s="86">
        <v>1</v>
      </c>
      <c r="J26" s="86">
        <v>0</v>
      </c>
      <c r="K26" t="s">
        <v>1431</v>
      </c>
      <c r="L26" t="s">
        <v>654</v>
      </c>
      <c r="M26" t="s">
        <v>1548</v>
      </c>
      <c r="N26" t="str">
        <f>IF(SUM(ckCodingTable[[#This Row],[NfmlPIs]:[NnonWhtAsnPIs]])&gt;0,"WMD","")</f>
        <v/>
      </c>
      <c r="O26" t="b">
        <f>_xlfn.XOR(IFERROR(MATCH(ckCodingTable[[#This Row],[st_code]],EpscorTable[],0)&gt;0,FALSE),IFERROR(FIND("9150",ckCodingTable[[#This Row],[propPRCs]])&gt;0,FALSE))</f>
        <v>0</v>
      </c>
      <c r="P26" s="21" t="b">
        <f>_xlfn.XOR(ckCodingTable[[#This Row],[wmd]]&lt;&gt;"",IFERROR(FIND("9102",ckCodingTable[[#This Row],[propPRCs]])&gt;0,FALSE))</f>
        <v>0</v>
      </c>
      <c r="Q26" t="s">
        <v>1432</v>
      </c>
      <c r="R26" s="22">
        <v>43082.668912037036</v>
      </c>
      <c r="S26" s="108">
        <f>S25+(ckCodingTable[[#This Row],[ILN]]&lt;"M")</f>
        <v>25</v>
      </c>
      <c r="T26" s="21" t="s">
        <v>95</v>
      </c>
      <c r="U26" t="s">
        <v>927</v>
      </c>
      <c r="V26" s="7" t="str">
        <f>HYPERLINK("https://www.ejacket.nsf.gov/ej/showProposal.do?ID="&amp;ckCodingTable[[#This Row],[prop_id]],"eJ")</f>
        <v>eJ</v>
      </c>
      <c r="W26" t="s">
        <v>478</v>
      </c>
      <c r="X26" t="s">
        <v>927</v>
      </c>
      <c r="Y26" t="s">
        <v>928</v>
      </c>
      <c r="Z26" t="s">
        <v>1549</v>
      </c>
      <c r="AA26" t="s">
        <v>1550</v>
      </c>
      <c r="AB26" s="111" t="str">
        <f>HYPERLINK("mailto:"&amp;ckCodingTable[[#This Row],[email]]&amp;"&amp;subject=Your NSF Proposal:  "&amp;ckCodingTable[[#This Row],[Div]]&amp;" "&amp;ckCodingTable[[#This Row],[prop_id]], ckCodingTable[[#This Row],[email]])</f>
        <v>sharathr@vt.edu</v>
      </c>
      <c r="AC26" s="30">
        <v>43110</v>
      </c>
      <c r="AD26">
        <v>60</v>
      </c>
      <c r="AE26">
        <v>1</v>
      </c>
      <c r="AG26" s="112"/>
      <c r="AH26" t="s">
        <v>1551</v>
      </c>
      <c r="AI26" s="26">
        <v>6.5</v>
      </c>
      <c r="AJ26" s="22">
        <v>43032.486805555556</v>
      </c>
      <c r="AK26" s="21">
        <v>2</v>
      </c>
      <c r="AL26">
        <v>4</v>
      </c>
      <c r="AN26" s="112"/>
      <c r="AO26" s="112"/>
      <c r="AP26" s="112"/>
      <c r="AQ26" s="112"/>
      <c r="AR26" s="7" t="str">
        <f>HYPERLINK("https://www.ejacket.nsf.gov/ej/showProposal.do?ID="&amp;ckCodingTable[[#This Row],[prop_id]],"eJ")</f>
        <v>eJ</v>
      </c>
      <c r="AS26" t="s">
        <v>172</v>
      </c>
      <c r="AT26" t="s">
        <v>1552</v>
      </c>
      <c r="AU26" t="b">
        <f>IF(ckCodingTable[[#This Row],[ILN]]="N",SUBSTITUTE(AT25," ","")&lt;&gt;SUBSTITUTE(ckCodingTable[[#This Row],[prop_titl_txt]]," ",""), FALSE)</f>
        <v>0</v>
      </c>
      <c r="AV26">
        <v>0</v>
      </c>
      <c r="AW26" s="13">
        <v>533991</v>
      </c>
      <c r="AX26" s="13">
        <v>533991</v>
      </c>
      <c r="AY26" s="13"/>
      <c r="AZ26" s="13">
        <v>7500</v>
      </c>
      <c r="BA26" s="13"/>
      <c r="BB26" s="13"/>
      <c r="BC26">
        <v>5</v>
      </c>
      <c r="BD26">
        <v>5</v>
      </c>
      <c r="BE26">
        <v>6.5</v>
      </c>
      <c r="BH26">
        <v>0</v>
      </c>
      <c r="BI26">
        <v>0</v>
      </c>
      <c r="BJ26">
        <v>0</v>
      </c>
      <c r="BK26">
        <v>0</v>
      </c>
      <c r="BL26" t="s">
        <v>1553</v>
      </c>
    </row>
    <row r="27" spans="1:64" x14ac:dyDescent="0.4">
      <c r="A27" s="30"/>
      <c r="B27" s="30">
        <v>42935.576388888891</v>
      </c>
      <c r="C27" t="s">
        <v>1430</v>
      </c>
      <c r="D27" t="s">
        <v>477</v>
      </c>
      <c r="E27" t="s">
        <v>582</v>
      </c>
      <c r="F27" t="s">
        <v>171</v>
      </c>
      <c r="G27" t="s">
        <v>169</v>
      </c>
      <c r="H27" s="21" t="s">
        <v>94</v>
      </c>
      <c r="I27" s="86">
        <v>1</v>
      </c>
      <c r="J27" s="86">
        <v>0</v>
      </c>
      <c r="K27" t="s">
        <v>1431</v>
      </c>
      <c r="L27" t="s">
        <v>611</v>
      </c>
      <c r="M27" t="s">
        <v>230</v>
      </c>
      <c r="N27" t="str">
        <f>IF(SUM(ckCodingTable[[#This Row],[NfmlPIs]:[NnonWhtAsnPIs]])&gt;0,"WMD","")</f>
        <v/>
      </c>
      <c r="O27" t="b">
        <f>_xlfn.XOR(IFERROR(MATCH(ckCodingTable[[#This Row],[st_code]],EpscorTable[],0)&gt;0,FALSE),IFERROR(FIND("9150",ckCodingTable[[#This Row],[propPRCs]])&gt;0,FALSE))</f>
        <v>0</v>
      </c>
      <c r="P27" s="21" t="b">
        <f>_xlfn.XOR(ckCodingTable[[#This Row],[wmd]]&lt;&gt;"",IFERROR(FIND("9102",ckCodingTable[[#This Row],[propPRCs]])&gt;0,FALSE))</f>
        <v>0</v>
      </c>
      <c r="Q27" t="s">
        <v>1432</v>
      </c>
      <c r="S27" s="108">
        <f>S26+(ckCodingTable[[#This Row],[ILN]]&lt;"M")</f>
        <v>26</v>
      </c>
      <c r="T27" s="21" t="s">
        <v>95</v>
      </c>
      <c r="U27" t="s">
        <v>936</v>
      </c>
      <c r="V27" s="7" t="str">
        <f>HYPERLINK("https://www.ejacket.nsf.gov/ej/showProposal.do?ID="&amp;ckCodingTable[[#This Row],[prop_id]],"eJ")</f>
        <v>eJ</v>
      </c>
      <c r="W27" t="s">
        <v>478</v>
      </c>
      <c r="X27" t="s">
        <v>936</v>
      </c>
      <c r="Y27" t="s">
        <v>937</v>
      </c>
      <c r="Z27" t="s">
        <v>1554</v>
      </c>
      <c r="AA27" t="s">
        <v>501</v>
      </c>
      <c r="AB27" s="111" t="str">
        <f>HYPERLINK("mailto:"&amp;ckCodingTable[[#This Row],[email]]&amp;"&amp;subject=Your NSF Proposal:  "&amp;ckCodingTable[[#This Row],[Div]]&amp;" "&amp;ckCodingTable[[#This Row],[prop_id]], ckCodingTable[[#This Row],[email]])</f>
        <v xml:space="preserve"> hardt@eecs.berkeley.edu</v>
      </c>
      <c r="AC27" s="30">
        <v>43132</v>
      </c>
      <c r="AD27">
        <v>60</v>
      </c>
      <c r="AE27">
        <v>1</v>
      </c>
      <c r="AG27" s="112">
        <v>1</v>
      </c>
      <c r="AH27" t="s">
        <v>1555</v>
      </c>
      <c r="AI27" s="26">
        <v>8.75</v>
      </c>
      <c r="AJ27" s="22">
        <v>43059.785416666666</v>
      </c>
      <c r="AL27">
        <v>4</v>
      </c>
      <c r="AN27" s="112">
        <v>4</v>
      </c>
      <c r="AO27" s="112"/>
      <c r="AP27" s="112"/>
      <c r="AQ27" s="112"/>
      <c r="AR27" s="7" t="str">
        <f>HYPERLINK("https://www.ejacket.nsf.gov/ej/showProposal.do?ID="&amp;ckCodingTable[[#This Row],[prop_id]],"eJ")</f>
        <v>eJ</v>
      </c>
      <c r="AS27" t="s">
        <v>172</v>
      </c>
      <c r="AT27" t="s">
        <v>1556</v>
      </c>
      <c r="AU27" t="b">
        <f>IF(ckCodingTable[[#This Row],[ILN]]="N",SUBSTITUTE(AT26," ","")&lt;&gt;SUBSTITUTE(ckCodingTable[[#This Row],[prop_titl_txt]]," ",""), FALSE)</f>
        <v>0</v>
      </c>
      <c r="AV27">
        <v>0</v>
      </c>
      <c r="AW27" s="13">
        <v>499434</v>
      </c>
      <c r="AX27" s="13">
        <v>499434</v>
      </c>
      <c r="AY27" s="13"/>
      <c r="AZ27" s="13"/>
      <c r="BA27" s="13"/>
      <c r="BB27" s="13"/>
      <c r="BC27">
        <v>5</v>
      </c>
      <c r="BD27">
        <v>5</v>
      </c>
      <c r="BE27">
        <v>0.8</v>
      </c>
      <c r="BH27">
        <v>0</v>
      </c>
      <c r="BI27">
        <v>0</v>
      </c>
      <c r="BJ27">
        <v>0</v>
      </c>
      <c r="BK27">
        <v>0</v>
      </c>
      <c r="BL27" t="s">
        <v>1557</v>
      </c>
    </row>
    <row r="28" spans="1:64" x14ac:dyDescent="0.4">
      <c r="A28" s="30"/>
      <c r="B28" s="30">
        <v>42935.599305555559</v>
      </c>
      <c r="C28" t="s">
        <v>1430</v>
      </c>
      <c r="D28" t="s">
        <v>477</v>
      </c>
      <c r="E28" t="s">
        <v>582</v>
      </c>
      <c r="F28" t="s">
        <v>171</v>
      </c>
      <c r="G28" t="s">
        <v>169</v>
      </c>
      <c r="H28" s="21" t="s">
        <v>94</v>
      </c>
      <c r="I28" s="86">
        <v>1</v>
      </c>
      <c r="J28" s="86">
        <v>0</v>
      </c>
      <c r="K28" t="s">
        <v>1431</v>
      </c>
      <c r="L28" t="s">
        <v>611</v>
      </c>
      <c r="M28" t="s">
        <v>231</v>
      </c>
      <c r="N28" t="str">
        <f>IF(SUM(ckCodingTable[[#This Row],[NfmlPIs]:[NnonWhtAsnPIs]])&gt;0,"WMD","")</f>
        <v/>
      </c>
      <c r="O28" t="b">
        <f>_xlfn.XOR(IFERROR(MATCH(ckCodingTable[[#This Row],[st_code]],EpscorTable[],0)&gt;0,FALSE),IFERROR(FIND("9150",ckCodingTable[[#This Row],[propPRCs]])&gt;0,FALSE))</f>
        <v>0</v>
      </c>
      <c r="P28" s="21" t="b">
        <f>_xlfn.XOR(ckCodingTable[[#This Row],[wmd]]&lt;&gt;"",IFERROR(FIND("9102",ckCodingTable[[#This Row],[propPRCs]])&gt;0,FALSE))</f>
        <v>0</v>
      </c>
      <c r="Q28" t="s">
        <v>1432</v>
      </c>
      <c r="S28" s="108">
        <f>S27+(ckCodingTable[[#This Row],[ILN]]&lt;"M")</f>
        <v>27</v>
      </c>
      <c r="T28" s="21" t="s">
        <v>95</v>
      </c>
      <c r="U28" t="s">
        <v>944</v>
      </c>
      <c r="V28" s="7" t="str">
        <f>HYPERLINK("https://www.ejacket.nsf.gov/ej/showProposal.do?ID="&amp;ckCodingTable[[#This Row],[prop_id]],"eJ")</f>
        <v>eJ</v>
      </c>
      <c r="W28" t="s">
        <v>478</v>
      </c>
      <c r="X28" t="s">
        <v>944</v>
      </c>
      <c r="Y28" t="s">
        <v>945</v>
      </c>
      <c r="Z28" t="s">
        <v>1558</v>
      </c>
      <c r="AA28" t="s">
        <v>502</v>
      </c>
      <c r="AB28" s="111" t="str">
        <f>HYPERLINK("mailto:"&amp;ckCodingTable[[#This Row],[email]]&amp;"&amp;subject=Your NSF Proposal:  "&amp;ckCodingTable[[#This Row],[Div]]&amp;" "&amp;ckCodingTable[[#This Row],[prop_id]], ckCodingTable[[#This Row],[email]])</f>
        <v>jullman@ccs.neu.edu</v>
      </c>
      <c r="AC28" s="30">
        <v>43282</v>
      </c>
      <c r="AD28">
        <v>60</v>
      </c>
      <c r="AE28">
        <v>1</v>
      </c>
      <c r="AG28" s="112">
        <v>1</v>
      </c>
      <c r="AH28" t="s">
        <v>551</v>
      </c>
      <c r="AI28" s="26">
        <v>8.5</v>
      </c>
      <c r="AJ28" s="22">
        <v>43059.227083333331</v>
      </c>
      <c r="AL28">
        <v>4</v>
      </c>
      <c r="AN28" s="112">
        <v>4</v>
      </c>
      <c r="AO28" s="112"/>
      <c r="AP28" s="112"/>
      <c r="AQ28" s="112"/>
      <c r="AR28" s="7" t="str">
        <f>HYPERLINK("https://www.ejacket.nsf.gov/ej/showProposal.do?ID="&amp;ckCodingTable[[#This Row],[prop_id]],"eJ")</f>
        <v>eJ</v>
      </c>
      <c r="AS28" t="s">
        <v>172</v>
      </c>
      <c r="AT28" t="s">
        <v>1559</v>
      </c>
      <c r="AU28" t="b">
        <f>IF(ckCodingTable[[#This Row],[ILN]]="N",SUBSTITUTE(AT27," ","")&lt;&gt;SUBSTITUTE(ckCodingTable[[#This Row],[prop_titl_txt]]," ",""), FALSE)</f>
        <v>0</v>
      </c>
      <c r="AV28">
        <v>0</v>
      </c>
      <c r="AW28" s="13">
        <v>545883</v>
      </c>
      <c r="AX28" s="13">
        <v>545883</v>
      </c>
      <c r="AY28" s="13"/>
      <c r="AZ28" s="13">
        <v>15928</v>
      </c>
      <c r="BA28" s="13"/>
      <c r="BB28" s="13"/>
      <c r="BC28">
        <v>5</v>
      </c>
      <c r="BD28">
        <v>5</v>
      </c>
      <c r="BE28">
        <v>5</v>
      </c>
      <c r="BH28">
        <v>0</v>
      </c>
      <c r="BI28">
        <v>0</v>
      </c>
      <c r="BJ28">
        <v>0</v>
      </c>
      <c r="BK28">
        <v>0</v>
      </c>
      <c r="BL28" t="s">
        <v>1560</v>
      </c>
    </row>
    <row r="29" spans="1:64" x14ac:dyDescent="0.4">
      <c r="A29" s="30"/>
      <c r="B29" s="30">
        <v>42935.603472222225</v>
      </c>
      <c r="C29" t="s">
        <v>1430</v>
      </c>
      <c r="D29" t="s">
        <v>477</v>
      </c>
      <c r="E29" t="s">
        <v>582</v>
      </c>
      <c r="F29" t="s">
        <v>171</v>
      </c>
      <c r="G29" t="s">
        <v>169</v>
      </c>
      <c r="H29" s="21" t="s">
        <v>94</v>
      </c>
      <c r="I29" s="86">
        <v>1</v>
      </c>
      <c r="J29" s="86">
        <v>0</v>
      </c>
      <c r="K29" t="s">
        <v>1431</v>
      </c>
      <c r="L29" t="s">
        <v>611</v>
      </c>
      <c r="M29" t="s">
        <v>498</v>
      </c>
      <c r="N29" t="str">
        <f>IF(SUM(ckCodingTable[[#This Row],[NfmlPIs]:[NnonWhtAsnPIs]])&gt;0,"WMD","")</f>
        <v/>
      </c>
      <c r="O29" t="b">
        <f>_xlfn.XOR(IFERROR(MATCH(ckCodingTable[[#This Row],[st_code]],EpscorTable[],0)&gt;0,FALSE),IFERROR(FIND("9150",ckCodingTable[[#This Row],[propPRCs]])&gt;0,FALSE))</f>
        <v>0</v>
      </c>
      <c r="P29" s="21" t="b">
        <f>_xlfn.XOR(ckCodingTable[[#This Row],[wmd]]&lt;&gt;"",IFERROR(FIND("9102",ckCodingTable[[#This Row],[propPRCs]])&gt;0,FALSE))</f>
        <v>0</v>
      </c>
      <c r="Q29" t="s">
        <v>1432</v>
      </c>
      <c r="R29" s="22">
        <v>43082.663194444445</v>
      </c>
      <c r="S29" s="108">
        <f>S28+(ckCodingTable[[#This Row],[ILN]]&lt;"M")</f>
        <v>28</v>
      </c>
      <c r="T29" s="21" t="s">
        <v>95</v>
      </c>
      <c r="U29" t="s">
        <v>952</v>
      </c>
      <c r="V29" s="7" t="str">
        <f>HYPERLINK("https://www.ejacket.nsf.gov/ej/showProposal.do?ID="&amp;ckCodingTable[[#This Row],[prop_id]],"eJ")</f>
        <v>eJ</v>
      </c>
      <c r="W29" t="s">
        <v>478</v>
      </c>
      <c r="X29" t="s">
        <v>952</v>
      </c>
      <c r="Y29" t="s">
        <v>953</v>
      </c>
      <c r="Z29" t="s">
        <v>1561</v>
      </c>
      <c r="AA29" t="s">
        <v>1562</v>
      </c>
      <c r="AB29" s="111" t="str">
        <f>HYPERLINK("mailto:"&amp;ckCodingTable[[#This Row],[email]]&amp;"&amp;subject=Your NSF Proposal:  "&amp;ckCodingTable[[#This Row],[Div]]&amp;" "&amp;ckCodingTable[[#This Row],[prop_id]], ckCodingTable[[#This Row],[email]])</f>
        <v>pranjal.iitm@gmail.com</v>
      </c>
      <c r="AC29" s="30">
        <v>43101</v>
      </c>
      <c r="AD29">
        <v>60</v>
      </c>
      <c r="AE29">
        <v>1</v>
      </c>
      <c r="AG29" s="112">
        <v>1</v>
      </c>
      <c r="AH29" t="s">
        <v>1563</v>
      </c>
      <c r="AI29" s="26">
        <v>5.5</v>
      </c>
      <c r="AJ29" s="22">
        <v>43060.010416666664</v>
      </c>
      <c r="AK29" s="21">
        <v>1</v>
      </c>
      <c r="AL29">
        <v>4</v>
      </c>
      <c r="AN29" s="112">
        <v>4</v>
      </c>
      <c r="AO29" s="112"/>
      <c r="AP29" s="112"/>
      <c r="AQ29" s="112"/>
      <c r="AR29" s="7" t="str">
        <f>HYPERLINK("https://www.ejacket.nsf.gov/ej/showProposal.do?ID="&amp;ckCodingTable[[#This Row],[prop_id]],"eJ")</f>
        <v>eJ</v>
      </c>
      <c r="AS29" t="s">
        <v>172</v>
      </c>
      <c r="AT29" t="s">
        <v>1564</v>
      </c>
      <c r="AU29" t="b">
        <f>IF(ckCodingTable[[#This Row],[ILN]]="N",SUBSTITUTE(AT28," ","")&lt;&gt;SUBSTITUTE(ckCodingTable[[#This Row],[prop_titl_txt]]," ",""), FALSE)</f>
        <v>0</v>
      </c>
      <c r="AV29">
        <v>0</v>
      </c>
      <c r="AW29" s="13">
        <v>695874</v>
      </c>
      <c r="AX29" s="13">
        <v>695874</v>
      </c>
      <c r="AY29" s="13"/>
      <c r="AZ29" s="13">
        <v>12875</v>
      </c>
      <c r="BA29" s="13"/>
      <c r="BB29" s="13"/>
      <c r="BC29">
        <v>5</v>
      </c>
      <c r="BD29">
        <v>5</v>
      </c>
      <c r="BE29">
        <v>5</v>
      </c>
      <c r="BH29">
        <v>0</v>
      </c>
      <c r="BI29">
        <v>0</v>
      </c>
      <c r="BJ29">
        <v>0</v>
      </c>
      <c r="BK29">
        <v>0</v>
      </c>
      <c r="BL29" t="s">
        <v>1565</v>
      </c>
    </row>
    <row r="30" spans="1:64" x14ac:dyDescent="0.4">
      <c r="A30" s="30"/>
      <c r="B30" s="30">
        <v>42935.620138888888</v>
      </c>
      <c r="C30" t="s">
        <v>1430</v>
      </c>
      <c r="D30" t="s">
        <v>477</v>
      </c>
      <c r="E30" t="s">
        <v>582</v>
      </c>
      <c r="F30" t="s">
        <v>171</v>
      </c>
      <c r="G30" t="s">
        <v>169</v>
      </c>
      <c r="H30" s="21" t="s">
        <v>94</v>
      </c>
      <c r="I30" s="86">
        <v>1</v>
      </c>
      <c r="J30" s="86">
        <v>0</v>
      </c>
      <c r="K30" t="s">
        <v>1431</v>
      </c>
      <c r="L30" t="s">
        <v>654</v>
      </c>
      <c r="M30" t="s">
        <v>231</v>
      </c>
      <c r="N30" t="str">
        <f>IF(SUM(ckCodingTable[[#This Row],[NfmlPIs]:[NnonWhtAsnPIs]])&gt;0,"WMD","")</f>
        <v/>
      </c>
      <c r="O30" t="b">
        <f>_xlfn.XOR(IFERROR(MATCH(ckCodingTable[[#This Row],[st_code]],EpscorTable[],0)&gt;0,FALSE),IFERROR(FIND("9150",ckCodingTable[[#This Row],[propPRCs]])&gt;0,FALSE))</f>
        <v>0</v>
      </c>
      <c r="P30" s="21" t="b">
        <f>_xlfn.XOR(ckCodingTable[[#This Row],[wmd]]&lt;&gt;"",IFERROR(FIND("9102",ckCodingTable[[#This Row],[propPRCs]])&gt;0,FALSE))</f>
        <v>0</v>
      </c>
      <c r="Q30" t="s">
        <v>1432</v>
      </c>
      <c r="S30" s="108">
        <f>S29+(ckCodingTable[[#This Row],[ILN]]&lt;"M")</f>
        <v>29</v>
      </c>
      <c r="T30" s="21" t="s">
        <v>95</v>
      </c>
      <c r="U30" t="s">
        <v>961</v>
      </c>
      <c r="V30" s="7" t="str">
        <f>HYPERLINK("https://www.ejacket.nsf.gov/ej/showProposal.do?ID="&amp;ckCodingTable[[#This Row],[prop_id]],"eJ")</f>
        <v>eJ</v>
      </c>
      <c r="W30" t="s">
        <v>478</v>
      </c>
      <c r="X30" t="s">
        <v>961</v>
      </c>
      <c r="Y30" t="s">
        <v>489</v>
      </c>
      <c r="Z30" t="s">
        <v>1566</v>
      </c>
      <c r="AA30" t="s">
        <v>502</v>
      </c>
      <c r="AB30" s="111" t="str">
        <f>HYPERLINK("mailto:"&amp;ckCodingTable[[#This Row],[email]]&amp;"&amp;subject=Your NSF Proposal:  "&amp;ckCodingTable[[#This Row],[Div]]&amp;" "&amp;ckCodingTable[[#This Row],[prop_id]], ckCodingTable[[#This Row],[email]])</f>
        <v>hu.nguyen@neu.edu</v>
      </c>
      <c r="AC30" s="30">
        <v>43252</v>
      </c>
      <c r="AD30">
        <v>60</v>
      </c>
      <c r="AE30">
        <v>1</v>
      </c>
      <c r="AG30" s="112">
        <v>1</v>
      </c>
      <c r="AH30" t="s">
        <v>1567</v>
      </c>
      <c r="AI30" s="26">
        <v>7.5</v>
      </c>
      <c r="AJ30" s="22">
        <v>43059.929166666669</v>
      </c>
      <c r="AL30">
        <v>4</v>
      </c>
      <c r="AN30" s="112">
        <v>4</v>
      </c>
      <c r="AO30" s="112"/>
      <c r="AP30" s="112"/>
      <c r="AQ30" s="112"/>
      <c r="AR30" s="7" t="str">
        <f>HYPERLINK("https://www.ejacket.nsf.gov/ej/showProposal.do?ID="&amp;ckCodingTable[[#This Row],[prop_id]],"eJ")</f>
        <v>eJ</v>
      </c>
      <c r="AS30" t="s">
        <v>172</v>
      </c>
      <c r="AT30" t="s">
        <v>1568</v>
      </c>
      <c r="AU30" t="b">
        <f>IF(ckCodingTable[[#This Row],[ILN]]="N",SUBSTITUTE(AT29," ","")&lt;&gt;SUBSTITUTE(ckCodingTable[[#This Row],[prop_titl_txt]]," ",""), FALSE)</f>
        <v>0</v>
      </c>
      <c r="AV30">
        <v>0</v>
      </c>
      <c r="AW30" s="13">
        <v>551453</v>
      </c>
      <c r="AX30" s="13">
        <v>551453</v>
      </c>
      <c r="AY30" s="13"/>
      <c r="AZ30" s="13">
        <v>13273</v>
      </c>
      <c r="BA30" s="13"/>
      <c r="BB30" s="13"/>
      <c r="BC30">
        <v>5</v>
      </c>
      <c r="BD30">
        <v>5</v>
      </c>
      <c r="BE30">
        <v>5</v>
      </c>
      <c r="BH30">
        <v>0</v>
      </c>
      <c r="BI30">
        <v>0</v>
      </c>
      <c r="BJ30">
        <v>0</v>
      </c>
      <c r="BK30">
        <v>0</v>
      </c>
      <c r="BL30" t="s">
        <v>1569</v>
      </c>
    </row>
    <row r="31" spans="1:64" x14ac:dyDescent="0.4">
      <c r="A31" s="30"/>
      <c r="B31" s="30">
        <v>42935.633333333331</v>
      </c>
      <c r="C31" t="s">
        <v>1430</v>
      </c>
      <c r="D31" t="s">
        <v>477</v>
      </c>
      <c r="E31" t="s">
        <v>582</v>
      </c>
      <c r="F31" t="s">
        <v>171</v>
      </c>
      <c r="G31" t="s">
        <v>169</v>
      </c>
      <c r="H31" s="21" t="s">
        <v>94</v>
      </c>
      <c r="I31" s="86">
        <v>1</v>
      </c>
      <c r="J31" s="86">
        <v>0</v>
      </c>
      <c r="K31" t="s">
        <v>1431</v>
      </c>
      <c r="L31" t="s">
        <v>604</v>
      </c>
      <c r="M31" t="s">
        <v>310</v>
      </c>
      <c r="N31" t="str">
        <f>IF(SUM(ckCodingTable[[#This Row],[NfmlPIs]:[NnonWhtAsnPIs]])&gt;0,"WMD","")</f>
        <v/>
      </c>
      <c r="O31" t="b">
        <f>_xlfn.XOR(IFERROR(MATCH(ckCodingTable[[#This Row],[st_code]],EpscorTable[],0)&gt;0,FALSE),IFERROR(FIND("9150",ckCodingTable[[#This Row],[propPRCs]])&gt;0,FALSE))</f>
        <v>0</v>
      </c>
      <c r="P31" s="21" t="b">
        <f>_xlfn.XOR(ckCodingTable[[#This Row],[wmd]]&lt;&gt;"",IFERROR(FIND("9102",ckCodingTable[[#This Row],[propPRCs]])&gt;0,FALSE))</f>
        <v>0</v>
      </c>
      <c r="Q31" t="s">
        <v>1439</v>
      </c>
      <c r="S31" s="108">
        <f>S30+(ckCodingTable[[#This Row],[ILN]]&lt;"M")</f>
        <v>30</v>
      </c>
      <c r="T31" s="21" t="s">
        <v>95</v>
      </c>
      <c r="U31" t="s">
        <v>971</v>
      </c>
      <c r="V31" s="7" t="str">
        <f>HYPERLINK("https://www.ejacket.nsf.gov/ej/showProposal.do?ID="&amp;ckCodingTable[[#This Row],[prop_id]],"eJ")</f>
        <v>eJ</v>
      </c>
      <c r="W31" t="s">
        <v>478</v>
      </c>
      <c r="X31" t="s">
        <v>971</v>
      </c>
      <c r="Y31" t="s">
        <v>972</v>
      </c>
      <c r="Z31" t="s">
        <v>1445</v>
      </c>
      <c r="AA31" t="s">
        <v>1570</v>
      </c>
      <c r="AB31" s="111" t="str">
        <f>HYPERLINK("mailto:"&amp;ckCodingTable[[#This Row],[email]]&amp;"&amp;subject=Your NSF Proposal:  "&amp;ckCodingTable[[#This Row],[Div]]&amp;" "&amp;ckCodingTable[[#This Row],[prop_id]], ckCodingTable[[#This Row],[email]])</f>
        <v>Benjamin.Raichel@utdallas.edu</v>
      </c>
      <c r="AC31" s="30">
        <v>43344</v>
      </c>
      <c r="AD31">
        <v>60</v>
      </c>
      <c r="AE31">
        <v>1</v>
      </c>
      <c r="AG31" s="112">
        <v>1</v>
      </c>
      <c r="AH31" t="s">
        <v>1466</v>
      </c>
      <c r="AI31" s="26">
        <v>7.5</v>
      </c>
      <c r="AJ31" s="22">
        <v>43030.181250000001</v>
      </c>
      <c r="AK31" s="21">
        <v>1</v>
      </c>
      <c r="AL31">
        <v>4</v>
      </c>
      <c r="AN31" s="112">
        <v>4</v>
      </c>
      <c r="AO31" s="112"/>
      <c r="AP31" s="112"/>
      <c r="AQ31" s="112"/>
      <c r="AR31" s="7" t="str">
        <f>HYPERLINK("https://www.ejacket.nsf.gov/ej/showProposal.do?ID="&amp;ckCodingTable[[#This Row],[prop_id]],"eJ")</f>
        <v>eJ</v>
      </c>
      <c r="AS31" t="s">
        <v>172</v>
      </c>
      <c r="AT31" t="s">
        <v>1571</v>
      </c>
      <c r="AU31" t="b">
        <f>IF(ckCodingTable[[#This Row],[ILN]]="N",SUBSTITUTE(AT30," ","")&lt;&gt;SUBSTITUTE(ckCodingTable[[#This Row],[prop_titl_txt]]," ",""), FALSE)</f>
        <v>0</v>
      </c>
      <c r="AV31">
        <v>0</v>
      </c>
      <c r="AW31" s="13">
        <v>582785</v>
      </c>
      <c r="AX31" s="13">
        <v>582785</v>
      </c>
      <c r="AY31" s="13"/>
      <c r="AZ31" s="13">
        <v>7500</v>
      </c>
      <c r="BA31" s="13"/>
      <c r="BB31" s="13"/>
      <c r="BC31">
        <v>10</v>
      </c>
      <c r="BD31">
        <v>5</v>
      </c>
      <c r="BE31">
        <v>5</v>
      </c>
      <c r="BH31">
        <v>0</v>
      </c>
      <c r="BI31">
        <v>0</v>
      </c>
      <c r="BJ31">
        <v>0</v>
      </c>
      <c r="BK31">
        <v>0</v>
      </c>
      <c r="BL31" t="s">
        <v>1572</v>
      </c>
    </row>
    <row r="32" spans="1:64" x14ac:dyDescent="0.4">
      <c r="A32" s="30"/>
      <c r="B32" s="30">
        <v>42935.638888888891</v>
      </c>
      <c r="C32" t="s">
        <v>1430</v>
      </c>
      <c r="D32" t="s">
        <v>477</v>
      </c>
      <c r="E32" t="s">
        <v>582</v>
      </c>
      <c r="F32" t="s">
        <v>171</v>
      </c>
      <c r="G32" t="s">
        <v>169</v>
      </c>
      <c r="H32" s="21" t="s">
        <v>94</v>
      </c>
      <c r="I32" s="86">
        <v>1</v>
      </c>
      <c r="J32" s="86">
        <v>0</v>
      </c>
      <c r="K32" t="s">
        <v>1431</v>
      </c>
      <c r="L32" t="s">
        <v>654</v>
      </c>
      <c r="M32" t="s">
        <v>496</v>
      </c>
      <c r="N32" t="str">
        <f>IF(SUM(ckCodingTable[[#This Row],[NfmlPIs]:[NnonWhtAsnPIs]])&gt;0,"WMD","")</f>
        <v/>
      </c>
      <c r="O32" t="b">
        <f>_xlfn.XOR(IFERROR(MATCH(ckCodingTable[[#This Row],[st_code]],EpscorTable[],0)&gt;0,FALSE),IFERROR(FIND("9150",ckCodingTable[[#This Row],[propPRCs]])&gt;0,FALSE))</f>
        <v>0</v>
      </c>
      <c r="P32" s="21" t="b">
        <f>_xlfn.XOR(ckCodingTable[[#This Row],[wmd]]&lt;&gt;"",IFERROR(FIND("9102",ckCodingTable[[#This Row],[propPRCs]])&gt;0,FALSE))</f>
        <v>0</v>
      </c>
      <c r="Q32" t="s">
        <v>1444</v>
      </c>
      <c r="S32" s="108">
        <f>S31+(ckCodingTable[[#This Row],[ILN]]&lt;"M")</f>
        <v>31</v>
      </c>
      <c r="T32" s="21" t="s">
        <v>95</v>
      </c>
      <c r="U32" t="s">
        <v>979</v>
      </c>
      <c r="V32" s="7" t="str">
        <f>HYPERLINK("https://www.ejacket.nsf.gov/ej/showProposal.do?ID="&amp;ckCodingTable[[#This Row],[prop_id]],"eJ")</f>
        <v>eJ</v>
      </c>
      <c r="W32" t="s">
        <v>478</v>
      </c>
      <c r="X32" t="s">
        <v>979</v>
      </c>
      <c r="Y32" t="s">
        <v>980</v>
      </c>
      <c r="Z32" t="s">
        <v>1573</v>
      </c>
      <c r="AA32" t="s">
        <v>497</v>
      </c>
      <c r="AB32" s="111" t="str">
        <f>HYPERLINK("mailto:"&amp;ckCodingTable[[#This Row],[email]]&amp;"&amp;subject=Your NSF Proposal:  "&amp;ckCodingTable[[#This Row],[Div]]&amp;" "&amp;ckCodingTable[[#This Row],[prop_id]], ckCodingTable[[#This Row],[email]])</f>
        <v>haeupler@cs.cmu.edu</v>
      </c>
      <c r="AC32" s="30">
        <v>43101</v>
      </c>
      <c r="AD32">
        <v>60</v>
      </c>
      <c r="AE32">
        <v>2</v>
      </c>
      <c r="AG32" s="112">
        <v>1</v>
      </c>
      <c r="AH32" t="s">
        <v>1574</v>
      </c>
      <c r="AI32" s="26">
        <v>7.75</v>
      </c>
      <c r="AJ32" s="22">
        <v>43059.921527777777</v>
      </c>
      <c r="AK32" s="21">
        <v>1</v>
      </c>
      <c r="AL32">
        <v>8</v>
      </c>
      <c r="AN32" s="112">
        <v>4</v>
      </c>
      <c r="AO32" s="112"/>
      <c r="AP32" s="112"/>
      <c r="AQ32" s="112"/>
      <c r="AR32" s="7" t="str">
        <f>HYPERLINK("https://www.ejacket.nsf.gov/ej/showProposal.do?ID="&amp;ckCodingTable[[#This Row],[prop_id]],"eJ")</f>
        <v>eJ</v>
      </c>
      <c r="AS32" t="s">
        <v>172</v>
      </c>
      <c r="AT32" t="s">
        <v>1575</v>
      </c>
      <c r="AU32" t="b">
        <f>IF(ckCodingTable[[#This Row],[ILN]]="N",SUBSTITUTE(AT31," ","")&lt;&gt;SUBSTITUTE(ckCodingTable[[#This Row],[prop_titl_txt]]," ",""), FALSE)</f>
        <v>0</v>
      </c>
      <c r="AV32">
        <v>0</v>
      </c>
      <c r="AW32" s="13">
        <v>613868</v>
      </c>
      <c r="AX32" s="13">
        <v>613868</v>
      </c>
      <c r="AY32" s="13"/>
      <c r="AZ32" s="13"/>
      <c r="BA32" s="13"/>
      <c r="BB32" s="13"/>
      <c r="BC32">
        <v>5</v>
      </c>
      <c r="BD32">
        <v>5</v>
      </c>
      <c r="BE32">
        <v>1.25</v>
      </c>
      <c r="BH32">
        <v>0</v>
      </c>
      <c r="BI32">
        <v>0</v>
      </c>
      <c r="BJ32">
        <v>0</v>
      </c>
      <c r="BK32">
        <v>0</v>
      </c>
      <c r="BL32" t="s">
        <v>1576</v>
      </c>
    </row>
    <row r="33" spans="1:64" x14ac:dyDescent="0.4">
      <c r="A33" s="30"/>
      <c r="B33" s="30">
        <v>42935.654166666667</v>
      </c>
      <c r="C33" t="s">
        <v>1430</v>
      </c>
      <c r="D33" t="s">
        <v>477</v>
      </c>
      <c r="E33" t="s">
        <v>582</v>
      </c>
      <c r="F33" t="s">
        <v>171</v>
      </c>
      <c r="G33" t="s">
        <v>169</v>
      </c>
      <c r="H33" s="21" t="s">
        <v>94</v>
      </c>
      <c r="I33" s="86">
        <v>1</v>
      </c>
      <c r="J33" s="86">
        <v>0</v>
      </c>
      <c r="K33" t="s">
        <v>1431</v>
      </c>
      <c r="L33" t="s">
        <v>611</v>
      </c>
      <c r="M33" t="s">
        <v>557</v>
      </c>
      <c r="N33" t="str">
        <f>IF(SUM(ckCodingTable[[#This Row],[NfmlPIs]:[NnonWhtAsnPIs]])&gt;0,"WMD","")</f>
        <v/>
      </c>
      <c r="O33" t="b">
        <f>_xlfn.XOR(IFERROR(MATCH(ckCodingTable[[#This Row],[st_code]],EpscorTable[],0)&gt;0,FALSE),IFERROR(FIND("9150",ckCodingTable[[#This Row],[propPRCs]])&gt;0,FALSE))</f>
        <v>0</v>
      </c>
      <c r="P33" s="21" t="b">
        <f>_xlfn.XOR(ckCodingTable[[#This Row],[wmd]]&lt;&gt;"",IFERROR(FIND("9102",ckCodingTable[[#This Row],[propPRCs]])&gt;0,FALSE))</f>
        <v>0</v>
      </c>
      <c r="Q33" t="s">
        <v>1469</v>
      </c>
      <c r="R33" s="22">
        <v>43082.669247685182</v>
      </c>
      <c r="S33" s="108">
        <f>S32+(ckCodingTable[[#This Row],[ILN]]&lt;"M")</f>
        <v>32</v>
      </c>
      <c r="T33" s="21" t="s">
        <v>95</v>
      </c>
      <c r="U33" t="s">
        <v>992</v>
      </c>
      <c r="V33" s="7" t="str">
        <f>HYPERLINK("https://www.ejacket.nsf.gov/ej/showProposal.do?ID="&amp;ckCodingTable[[#This Row],[prop_id]],"eJ")</f>
        <v>eJ</v>
      </c>
      <c r="W33" t="s">
        <v>478</v>
      </c>
      <c r="X33" t="s">
        <v>992</v>
      </c>
      <c r="Y33" t="s">
        <v>993</v>
      </c>
      <c r="Z33" t="s">
        <v>1577</v>
      </c>
      <c r="AA33" t="s">
        <v>1578</v>
      </c>
      <c r="AB33" s="111" t="str">
        <f>HYPERLINK("mailto:"&amp;ckCodingTable[[#This Row],[email]]&amp;"&amp;subject=Your NSF Proposal:  "&amp;ckCodingTable[[#This Row],[Div]]&amp;" "&amp;ckCodingTable[[#This Row],[prop_id]], ckCodingTable[[#This Row],[email]])</f>
        <v>nxie@cs.fiu.edu</v>
      </c>
      <c r="AC33" s="30">
        <v>43221</v>
      </c>
      <c r="AD33">
        <v>60</v>
      </c>
      <c r="AE33">
        <v>1</v>
      </c>
      <c r="AG33" s="112">
        <v>1</v>
      </c>
      <c r="AH33" t="s">
        <v>1579</v>
      </c>
      <c r="AI33" s="26">
        <v>3.5</v>
      </c>
      <c r="AJ33" s="22">
        <v>43059.477083333331</v>
      </c>
      <c r="AK33" s="21">
        <v>1</v>
      </c>
      <c r="AL33">
        <v>4</v>
      </c>
      <c r="AN33" s="112">
        <v>4</v>
      </c>
      <c r="AO33" s="112"/>
      <c r="AP33" s="112"/>
      <c r="AQ33" s="112"/>
      <c r="AR33" s="7" t="str">
        <f>HYPERLINK("https://www.ejacket.nsf.gov/ej/showProposal.do?ID="&amp;ckCodingTable[[#This Row],[prop_id]],"eJ")</f>
        <v>eJ</v>
      </c>
      <c r="AS33" t="s">
        <v>172</v>
      </c>
      <c r="AT33" t="s">
        <v>1580</v>
      </c>
      <c r="AU33" t="b">
        <f>IF(ckCodingTable[[#This Row],[ILN]]="N",SUBSTITUTE(AT32," ","")&lt;&gt;SUBSTITUTE(ckCodingTable[[#This Row],[prop_titl_txt]]," ",""), FALSE)</f>
        <v>0</v>
      </c>
      <c r="AV33">
        <v>0</v>
      </c>
      <c r="AW33" s="13">
        <v>520820</v>
      </c>
      <c r="AX33" s="13">
        <v>520820</v>
      </c>
      <c r="AY33" s="13"/>
      <c r="AZ33" s="13">
        <v>15000</v>
      </c>
      <c r="BA33" s="13"/>
      <c r="BB33" s="13"/>
      <c r="BC33">
        <v>5</v>
      </c>
      <c r="BD33">
        <v>5</v>
      </c>
      <c r="BE33">
        <v>7.5</v>
      </c>
      <c r="BH33">
        <v>0</v>
      </c>
      <c r="BI33">
        <v>0</v>
      </c>
      <c r="BJ33">
        <v>0</v>
      </c>
      <c r="BK33">
        <v>0</v>
      </c>
      <c r="BL33" t="s">
        <v>1581</v>
      </c>
    </row>
    <row r="34" spans="1:64" x14ac:dyDescent="0.4">
      <c r="A34" s="30"/>
      <c r="B34" s="30">
        <v>42935.679166666669</v>
      </c>
      <c r="C34" t="s">
        <v>1430</v>
      </c>
      <c r="D34" t="s">
        <v>477</v>
      </c>
      <c r="E34" t="s">
        <v>582</v>
      </c>
      <c r="F34" t="s">
        <v>171</v>
      </c>
      <c r="G34" t="s">
        <v>169</v>
      </c>
      <c r="H34" s="21" t="s">
        <v>94</v>
      </c>
      <c r="I34" s="86">
        <v>1</v>
      </c>
      <c r="J34" s="86">
        <v>0</v>
      </c>
      <c r="K34" t="s">
        <v>1431</v>
      </c>
      <c r="L34" t="s">
        <v>611</v>
      </c>
      <c r="M34" t="s">
        <v>310</v>
      </c>
      <c r="N34" t="str">
        <f>IF(SUM(ckCodingTable[[#This Row],[NfmlPIs]:[NnonWhtAsnPIs]])&gt;0,"WMD","")</f>
        <v/>
      </c>
      <c r="O34" t="b">
        <f>_xlfn.XOR(IFERROR(MATCH(ckCodingTable[[#This Row],[st_code]],EpscorTable[],0)&gt;0,FALSE),IFERROR(FIND("9150",ckCodingTable[[#This Row],[propPRCs]])&gt;0,FALSE))</f>
        <v>0</v>
      </c>
      <c r="P34" s="21" t="b">
        <f>_xlfn.XOR(ckCodingTable[[#This Row],[wmd]]&lt;&gt;"",IFERROR(FIND("9102",ckCodingTable[[#This Row],[propPRCs]])&gt;0,FALSE))</f>
        <v>0</v>
      </c>
      <c r="Q34" t="s">
        <v>1432</v>
      </c>
      <c r="S34" s="108">
        <f>S33+(ckCodingTable[[#This Row],[ILN]]&lt;"M")</f>
        <v>33</v>
      </c>
      <c r="T34" s="21" t="s">
        <v>95</v>
      </c>
      <c r="U34" t="s">
        <v>1004</v>
      </c>
      <c r="V34" s="7" t="str">
        <f>HYPERLINK("https://www.ejacket.nsf.gov/ej/showProposal.do?ID="&amp;ckCodingTable[[#This Row],[prop_id]],"eJ")</f>
        <v>eJ</v>
      </c>
      <c r="W34" t="s">
        <v>478</v>
      </c>
      <c r="X34" t="s">
        <v>1004</v>
      </c>
      <c r="Y34" t="s">
        <v>1005</v>
      </c>
      <c r="Z34" t="s">
        <v>1582</v>
      </c>
      <c r="AA34" t="s">
        <v>550</v>
      </c>
      <c r="AB34" s="111" t="str">
        <f>HYPERLINK("mailto:"&amp;ckCodingTable[[#This Row],[email]]&amp;"&amp;subject=Your NSF Proposal:  "&amp;ckCodingTable[[#This Row],[Div]]&amp;" "&amp;ckCodingTable[[#This Row],[prop_id]], ckCodingTable[[#This Row],[email]])</f>
        <v>ecprice@cs.utexas.edu</v>
      </c>
      <c r="AC34" s="30">
        <v>43344</v>
      </c>
      <c r="AD34">
        <v>60</v>
      </c>
      <c r="AE34">
        <v>1</v>
      </c>
      <c r="AG34" s="112">
        <v>1</v>
      </c>
      <c r="AH34" t="s">
        <v>1466</v>
      </c>
      <c r="AI34" s="26">
        <v>7.5</v>
      </c>
      <c r="AJ34" s="22">
        <v>43060.310416666667</v>
      </c>
      <c r="AK34" s="21">
        <v>2</v>
      </c>
      <c r="AL34">
        <v>4</v>
      </c>
      <c r="AN34" s="112">
        <v>4</v>
      </c>
      <c r="AO34" s="112"/>
      <c r="AP34" s="112"/>
      <c r="AQ34" s="112"/>
      <c r="AR34" s="7" t="str">
        <f>HYPERLINK("https://www.ejacket.nsf.gov/ej/showProposal.do?ID="&amp;ckCodingTable[[#This Row],[prop_id]],"eJ")</f>
        <v>eJ</v>
      </c>
      <c r="AS34" t="s">
        <v>172</v>
      </c>
      <c r="AT34" t="s">
        <v>1583</v>
      </c>
      <c r="AU34" t="b">
        <f>IF(ckCodingTable[[#This Row],[ILN]]="N",SUBSTITUTE(AT33," ","")&lt;&gt;SUBSTITUTE(ckCodingTable[[#This Row],[prop_titl_txt]]," ",""), FALSE)</f>
        <v>0</v>
      </c>
      <c r="AV34">
        <v>0</v>
      </c>
      <c r="AW34" s="13">
        <v>499575</v>
      </c>
      <c r="AX34" s="13">
        <v>499575</v>
      </c>
      <c r="AY34" s="13"/>
      <c r="AZ34" s="13"/>
      <c r="BA34" s="13"/>
      <c r="BB34" s="13"/>
      <c r="BC34">
        <v>5</v>
      </c>
      <c r="BD34">
        <v>5</v>
      </c>
      <c r="BE34">
        <v>5</v>
      </c>
      <c r="BH34">
        <v>0</v>
      </c>
      <c r="BI34">
        <v>0</v>
      </c>
      <c r="BJ34">
        <v>0</v>
      </c>
      <c r="BK34">
        <v>0</v>
      </c>
      <c r="BL34" t="s">
        <v>1584</v>
      </c>
    </row>
    <row r="35" spans="1:64" x14ac:dyDescent="0.4">
      <c r="A35" s="30"/>
      <c r="B35" s="30">
        <v>42935.680555555555</v>
      </c>
      <c r="C35" t="s">
        <v>1430</v>
      </c>
      <c r="D35" t="s">
        <v>477</v>
      </c>
      <c r="E35" t="s">
        <v>582</v>
      </c>
      <c r="F35" t="s">
        <v>171</v>
      </c>
      <c r="G35" t="s">
        <v>169</v>
      </c>
      <c r="H35" s="21" t="s">
        <v>94</v>
      </c>
      <c r="I35" s="86">
        <v>1</v>
      </c>
      <c r="J35" s="86">
        <v>0</v>
      </c>
      <c r="K35" t="s">
        <v>1431</v>
      </c>
      <c r="L35" t="s">
        <v>604</v>
      </c>
      <c r="M35" t="s">
        <v>310</v>
      </c>
      <c r="N35" t="str">
        <f>IF(SUM(ckCodingTable[[#This Row],[NfmlPIs]:[NnonWhtAsnPIs]])&gt;0,"WMD","")</f>
        <v/>
      </c>
      <c r="O35" t="b">
        <f>_xlfn.XOR(IFERROR(MATCH(ckCodingTable[[#This Row],[st_code]],EpscorTable[],0)&gt;0,FALSE),IFERROR(FIND("9150",ckCodingTable[[#This Row],[propPRCs]])&gt;0,FALSE))</f>
        <v>0</v>
      </c>
      <c r="P35" s="21" t="b">
        <f>_xlfn.XOR(ckCodingTable[[#This Row],[wmd]]&lt;&gt;"",IFERROR(FIND("9102",ckCodingTable[[#This Row],[propPRCs]])&gt;0,FALSE))</f>
        <v>0</v>
      </c>
      <c r="Q35" t="s">
        <v>1439</v>
      </c>
      <c r="R35" s="22">
        <v>43082.668969907405</v>
      </c>
      <c r="S35" s="108">
        <f>S34+(ckCodingTable[[#This Row],[ILN]]&lt;"M")</f>
        <v>34</v>
      </c>
      <c r="T35" s="21" t="s">
        <v>95</v>
      </c>
      <c r="U35" t="s">
        <v>1012</v>
      </c>
      <c r="V35" s="7" t="str">
        <f>HYPERLINK("https://www.ejacket.nsf.gov/ej/showProposal.do?ID="&amp;ckCodingTable[[#This Row],[prop_id]],"eJ")</f>
        <v>eJ</v>
      </c>
      <c r="W35" t="s">
        <v>478</v>
      </c>
      <c r="X35" t="s">
        <v>1012</v>
      </c>
      <c r="Y35" t="s">
        <v>1013</v>
      </c>
      <c r="Z35" t="s">
        <v>1585</v>
      </c>
      <c r="AA35" t="s">
        <v>1586</v>
      </c>
      <c r="AB35" s="111" t="str">
        <f>HYPERLINK("mailto:"&amp;ckCodingTable[[#This Row],[email]]&amp;"&amp;subject=Your NSF Proposal:  "&amp;ckCodingTable[[#This Row],[Div]]&amp;" "&amp;ckCodingTable[[#This Row],[prop_id]], ckCodingTable[[#This Row],[email]])</f>
        <v>MATTHEW.GIBSON@UTSA.EDU</v>
      </c>
      <c r="AC35" s="30">
        <v>43132</v>
      </c>
      <c r="AD35">
        <v>60</v>
      </c>
      <c r="AE35">
        <v>1</v>
      </c>
      <c r="AG35" s="112">
        <v>1</v>
      </c>
      <c r="AH35" t="s">
        <v>1587</v>
      </c>
      <c r="AI35" s="26">
        <v>4.75</v>
      </c>
      <c r="AJ35" s="22">
        <v>43030.177777777775</v>
      </c>
      <c r="AL35">
        <v>4</v>
      </c>
      <c r="AN35" s="112">
        <v>4</v>
      </c>
      <c r="AO35" s="112"/>
      <c r="AP35" s="112"/>
      <c r="AQ35" s="112"/>
      <c r="AR35" s="7" t="str">
        <f>HYPERLINK("https://www.ejacket.nsf.gov/ej/showProposal.do?ID="&amp;ckCodingTable[[#This Row],[prop_id]],"eJ")</f>
        <v>eJ</v>
      </c>
      <c r="AS35" t="s">
        <v>172</v>
      </c>
      <c r="AT35" t="s">
        <v>1588</v>
      </c>
      <c r="AU35" t="b">
        <f>IF(ckCodingTable[[#This Row],[ILN]]="N",SUBSTITUTE(AT34," ","")&lt;&gt;SUBSTITUTE(ckCodingTable[[#This Row],[prop_titl_txt]]," ",""), FALSE)</f>
        <v>0</v>
      </c>
      <c r="AV35">
        <v>0</v>
      </c>
      <c r="AW35" s="13">
        <v>415497</v>
      </c>
      <c r="AX35" s="13">
        <v>415497</v>
      </c>
      <c r="AY35" s="13"/>
      <c r="AZ35" s="13">
        <v>12250</v>
      </c>
      <c r="BA35" s="13"/>
      <c r="BB35" s="13">
        <v>16000</v>
      </c>
      <c r="BC35">
        <v>5</v>
      </c>
      <c r="BD35">
        <v>5</v>
      </c>
      <c r="BE35">
        <v>5</v>
      </c>
      <c r="BH35">
        <v>0</v>
      </c>
      <c r="BI35">
        <v>0</v>
      </c>
      <c r="BJ35">
        <v>0</v>
      </c>
      <c r="BK35">
        <v>0</v>
      </c>
      <c r="BL35" t="s">
        <v>1589</v>
      </c>
    </row>
    <row r="36" spans="1:64" x14ac:dyDescent="0.4">
      <c r="A36" s="30"/>
      <c r="B36" s="30">
        <v>42935.680555555555</v>
      </c>
      <c r="C36" t="s">
        <v>1430</v>
      </c>
      <c r="D36" t="s">
        <v>477</v>
      </c>
      <c r="E36" t="s">
        <v>582</v>
      </c>
      <c r="F36" t="s">
        <v>171</v>
      </c>
      <c r="G36" t="s">
        <v>169</v>
      </c>
      <c r="H36" s="21" t="s">
        <v>94</v>
      </c>
      <c r="I36" s="86">
        <v>1</v>
      </c>
      <c r="J36" s="86">
        <v>0</v>
      </c>
      <c r="K36" t="s">
        <v>1431</v>
      </c>
      <c r="L36" t="s">
        <v>611</v>
      </c>
      <c r="M36" t="s">
        <v>498</v>
      </c>
      <c r="N36" t="str">
        <f>IF(SUM(ckCodingTable[[#This Row],[NfmlPIs]:[NnonWhtAsnPIs]])&gt;0,"WMD","")</f>
        <v/>
      </c>
      <c r="O36" t="b">
        <f>_xlfn.XOR(IFERROR(MATCH(ckCodingTable[[#This Row],[st_code]],EpscorTable[],0)&gt;0,FALSE),IFERROR(FIND("9150",ckCodingTable[[#This Row],[propPRCs]])&gt;0,FALSE))</f>
        <v>0</v>
      </c>
      <c r="P36" s="21" t="b">
        <f>_xlfn.XOR(ckCodingTable[[#This Row],[wmd]]&lt;&gt;"",IFERROR(FIND("9102",ckCodingTable[[#This Row],[propPRCs]])&gt;0,FALSE))</f>
        <v>0</v>
      </c>
      <c r="Q36" t="s">
        <v>1432</v>
      </c>
      <c r="R36" s="22">
        <v>43082.663263888891</v>
      </c>
      <c r="S36" s="108">
        <f>S35+(ckCodingTable[[#This Row],[ILN]]&lt;"M")</f>
        <v>35</v>
      </c>
      <c r="T36" s="21" t="s">
        <v>95</v>
      </c>
      <c r="U36" t="s">
        <v>1021</v>
      </c>
      <c r="V36" s="7" t="str">
        <f>HYPERLINK("https://www.ejacket.nsf.gov/ej/showProposal.do?ID="&amp;ckCodingTable[[#This Row],[prop_id]],"eJ")</f>
        <v>eJ</v>
      </c>
      <c r="W36" t="s">
        <v>478</v>
      </c>
      <c r="X36" t="s">
        <v>1021</v>
      </c>
      <c r="Y36" t="s">
        <v>1022</v>
      </c>
      <c r="Z36" t="s">
        <v>1590</v>
      </c>
      <c r="AA36" t="s">
        <v>1591</v>
      </c>
      <c r="AB36" s="111" t="str">
        <f>HYPERLINK("mailto:"&amp;ckCodingTable[[#This Row],[email]]&amp;"&amp;subject=Your NSF Proposal:  "&amp;ckCodingTable[[#This Row],[Div]]&amp;" "&amp;ckCodingTable[[#This Row],[prop_id]], ckCodingTable[[#This Row],[email]])</f>
        <v>periklis.research@gmail.com</v>
      </c>
      <c r="AC36" s="30">
        <v>43252</v>
      </c>
      <c r="AD36">
        <v>60</v>
      </c>
      <c r="AE36">
        <v>1</v>
      </c>
      <c r="AG36" s="112">
        <v>1</v>
      </c>
      <c r="AH36" t="s">
        <v>560</v>
      </c>
      <c r="AI36" s="26">
        <v>4.5</v>
      </c>
      <c r="AJ36" s="22">
        <v>43059.227777777778</v>
      </c>
      <c r="AL36">
        <v>4</v>
      </c>
      <c r="AN36" s="112">
        <v>4</v>
      </c>
      <c r="AO36" s="112"/>
      <c r="AP36" s="112"/>
      <c r="AQ36" s="112"/>
      <c r="AR36" s="7" t="str">
        <f>HYPERLINK("https://www.ejacket.nsf.gov/ej/showProposal.do?ID="&amp;ckCodingTable[[#This Row],[prop_id]],"eJ")</f>
        <v>eJ</v>
      </c>
      <c r="AS36" t="s">
        <v>172</v>
      </c>
      <c r="AT36" t="s">
        <v>1592</v>
      </c>
      <c r="AU36" t="b">
        <f>IF(ckCodingTable[[#This Row],[ILN]]="N",SUBSTITUTE(AT35," ","")&lt;&gt;SUBSTITUTE(ckCodingTable[[#This Row],[prop_titl_txt]]," ",""), FALSE)</f>
        <v>0</v>
      </c>
      <c r="AV36">
        <v>0</v>
      </c>
      <c r="AW36" s="13">
        <v>667571</v>
      </c>
      <c r="AX36" s="13">
        <v>667571</v>
      </c>
      <c r="AY36" s="13"/>
      <c r="AZ36" s="13">
        <v>25000</v>
      </c>
      <c r="BA36" s="13"/>
      <c r="BB36" s="13"/>
      <c r="BC36">
        <v>5</v>
      </c>
      <c r="BD36">
        <v>5</v>
      </c>
      <c r="BE36">
        <v>5</v>
      </c>
      <c r="BH36">
        <v>0</v>
      </c>
      <c r="BI36">
        <v>0</v>
      </c>
      <c r="BJ36">
        <v>0</v>
      </c>
      <c r="BK36">
        <v>0</v>
      </c>
      <c r="BL36" t="s">
        <v>1301</v>
      </c>
    </row>
    <row r="37" spans="1:64" x14ac:dyDescent="0.4">
      <c r="A37" s="30"/>
      <c r="B37" s="30">
        <v>42935.68472222222</v>
      </c>
      <c r="C37" t="s">
        <v>1430</v>
      </c>
      <c r="D37" t="s">
        <v>477</v>
      </c>
      <c r="E37" t="s">
        <v>582</v>
      </c>
      <c r="F37" t="s">
        <v>171</v>
      </c>
      <c r="G37" t="s">
        <v>169</v>
      </c>
      <c r="H37" s="21" t="s">
        <v>94</v>
      </c>
      <c r="I37" s="86">
        <v>1</v>
      </c>
      <c r="J37" s="86">
        <v>0</v>
      </c>
      <c r="K37" t="s">
        <v>1431</v>
      </c>
      <c r="L37" t="s">
        <v>611</v>
      </c>
      <c r="M37" t="s">
        <v>496</v>
      </c>
      <c r="N37" t="str">
        <f>IF(SUM(ckCodingTable[[#This Row],[NfmlPIs]:[NnonWhtAsnPIs]])&gt;0,"WMD","")</f>
        <v/>
      </c>
      <c r="O37" t="b">
        <f>_xlfn.XOR(IFERROR(MATCH(ckCodingTable[[#This Row],[st_code]],EpscorTable[],0)&gt;0,FALSE),IFERROR(FIND("9150",ckCodingTable[[#This Row],[propPRCs]])&gt;0,FALSE))</f>
        <v>0</v>
      </c>
      <c r="P37" s="21" t="b">
        <f>_xlfn.XOR(ckCodingTable[[#This Row],[wmd]]&lt;&gt;"",IFERROR(FIND("9102",ckCodingTable[[#This Row],[propPRCs]])&gt;0,FALSE))</f>
        <v>0</v>
      </c>
      <c r="Q37" t="s">
        <v>1539</v>
      </c>
      <c r="R37" s="22">
        <v>43082.66333333333</v>
      </c>
      <c r="S37" s="108">
        <f>S36+(ckCodingTable[[#This Row],[ILN]]&lt;"M")</f>
        <v>36</v>
      </c>
      <c r="T37" s="21" t="s">
        <v>95</v>
      </c>
      <c r="U37" t="s">
        <v>1030</v>
      </c>
      <c r="V37" s="7" t="str">
        <f>HYPERLINK("https://www.ejacket.nsf.gov/ej/showProposal.do?ID="&amp;ckCodingTable[[#This Row],[prop_id]],"eJ")</f>
        <v>eJ</v>
      </c>
      <c r="W37" t="s">
        <v>478</v>
      </c>
      <c r="X37" t="s">
        <v>1030</v>
      </c>
      <c r="Y37" t="s">
        <v>1031</v>
      </c>
      <c r="Z37" t="s">
        <v>1593</v>
      </c>
      <c r="AA37" t="s">
        <v>1594</v>
      </c>
      <c r="AB37" s="111" t="str">
        <f>HYPERLINK("mailto:"&amp;ckCodingTable[[#This Row],[email]]&amp;"&amp;subject=Your NSF Proposal:  "&amp;ckCodingTable[[#This Row],[Div]]&amp;" "&amp;ckCodingTable[[#This Row],[prop_id]], ckCodingTable[[#This Row],[email]])</f>
        <v>gkatz@drexel.edu</v>
      </c>
      <c r="AC37" s="30">
        <v>43132</v>
      </c>
      <c r="AD37">
        <v>60</v>
      </c>
      <c r="AE37">
        <v>1</v>
      </c>
      <c r="AG37" s="112">
        <v>1</v>
      </c>
      <c r="AH37" t="s">
        <v>1461</v>
      </c>
      <c r="AI37" s="26">
        <v>6.5</v>
      </c>
      <c r="AJ37" s="22">
        <v>43059.229166666664</v>
      </c>
      <c r="AL37">
        <v>4</v>
      </c>
      <c r="AN37" s="112">
        <v>4</v>
      </c>
      <c r="AO37" s="112"/>
      <c r="AP37" s="112"/>
      <c r="AQ37" s="112"/>
      <c r="AR37" s="7" t="str">
        <f>HYPERLINK("https://www.ejacket.nsf.gov/ej/showProposal.do?ID="&amp;ckCodingTable[[#This Row],[prop_id]],"eJ")</f>
        <v>eJ</v>
      </c>
      <c r="AS37" t="s">
        <v>172</v>
      </c>
      <c r="AT37" t="s">
        <v>1595</v>
      </c>
      <c r="AU37" t="b">
        <f>IF(ckCodingTable[[#This Row],[ILN]]="N",SUBSTITUTE(AT36," ","")&lt;&gt;SUBSTITUTE(ckCodingTable[[#This Row],[prop_titl_txt]]," ",""), FALSE)</f>
        <v>0</v>
      </c>
      <c r="AV37">
        <v>0</v>
      </c>
      <c r="AW37" s="13">
        <v>559983</v>
      </c>
      <c r="AX37" s="13">
        <v>559983</v>
      </c>
      <c r="AY37" s="13"/>
      <c r="AZ37" s="13">
        <v>10000</v>
      </c>
      <c r="BA37" s="13"/>
      <c r="BB37" s="13"/>
      <c r="BC37">
        <v>5</v>
      </c>
      <c r="BD37">
        <v>5</v>
      </c>
      <c r="BE37">
        <v>5</v>
      </c>
      <c r="BH37">
        <v>0</v>
      </c>
      <c r="BI37">
        <v>0</v>
      </c>
      <c r="BJ37">
        <v>0</v>
      </c>
      <c r="BK37">
        <v>0</v>
      </c>
      <c r="BL37" t="s">
        <v>1288</v>
      </c>
    </row>
    <row r="38" spans="1:64" x14ac:dyDescent="0.4">
      <c r="A38" s="30"/>
      <c r="B38" s="30">
        <v>42935.69027777778</v>
      </c>
      <c r="C38" t="s">
        <v>1430</v>
      </c>
      <c r="D38" t="s">
        <v>477</v>
      </c>
      <c r="E38" t="s">
        <v>582</v>
      </c>
      <c r="F38" t="s">
        <v>171</v>
      </c>
      <c r="G38" t="s">
        <v>169</v>
      </c>
      <c r="H38" s="21" t="s">
        <v>94</v>
      </c>
      <c r="I38" s="86">
        <v>1</v>
      </c>
      <c r="J38" s="86">
        <v>0</v>
      </c>
      <c r="K38" t="s">
        <v>1431</v>
      </c>
      <c r="L38" t="s">
        <v>604</v>
      </c>
      <c r="M38" t="s">
        <v>310</v>
      </c>
      <c r="N38" t="str">
        <f>IF(SUM(ckCodingTable[[#This Row],[NfmlPIs]:[NnonWhtAsnPIs]])&gt;0,"WMD","")</f>
        <v/>
      </c>
      <c r="O38" t="b">
        <f>_xlfn.XOR(IFERROR(MATCH(ckCodingTable[[#This Row],[st_code]],EpscorTable[],0)&gt;0,FALSE),IFERROR(FIND("9150",ckCodingTable[[#This Row],[propPRCs]])&gt;0,FALSE))</f>
        <v>0</v>
      </c>
      <c r="P38" s="21" t="b">
        <f>_xlfn.XOR(ckCodingTable[[#This Row],[wmd]]&lt;&gt;"",IFERROR(FIND("9102",ckCodingTable[[#This Row],[propPRCs]])&gt;0,FALSE))</f>
        <v>0</v>
      </c>
      <c r="Q38" t="s">
        <v>1439</v>
      </c>
      <c r="S38" s="108">
        <f>S37+(ckCodingTable[[#This Row],[ILN]]&lt;"M")</f>
        <v>37</v>
      </c>
      <c r="T38" s="21" t="s">
        <v>95</v>
      </c>
      <c r="U38" t="s">
        <v>1039</v>
      </c>
      <c r="V38" s="7" t="str">
        <f>HYPERLINK("https://www.ejacket.nsf.gov/ej/showProposal.do?ID="&amp;ckCodingTable[[#This Row],[prop_id]],"eJ")</f>
        <v>eJ</v>
      </c>
      <c r="W38" t="s">
        <v>478</v>
      </c>
      <c r="X38" t="s">
        <v>1039</v>
      </c>
      <c r="Y38" t="s">
        <v>1040</v>
      </c>
      <c r="Z38" t="s">
        <v>1534</v>
      </c>
      <c r="AA38" t="s">
        <v>550</v>
      </c>
      <c r="AB38" s="111" t="str">
        <f>HYPERLINK("mailto:"&amp;ckCodingTable[[#This Row],[email]]&amp;"&amp;subject=Your NSF Proposal:  "&amp;ckCodingTable[[#This Row],[Div]]&amp;" "&amp;ckCodingTable[[#This Row],[prop_id]], ckCodingTable[[#This Row],[email]])</f>
        <v>evouga@cs.utexas.edu</v>
      </c>
      <c r="AC38" s="30">
        <v>43344</v>
      </c>
      <c r="AD38">
        <v>60</v>
      </c>
      <c r="AE38">
        <v>1</v>
      </c>
      <c r="AG38" s="112">
        <v>1</v>
      </c>
      <c r="AH38" t="s">
        <v>1461</v>
      </c>
      <c r="AI38" s="26">
        <v>6.5</v>
      </c>
      <c r="AJ38" s="22">
        <v>43031.392361111109</v>
      </c>
      <c r="AL38">
        <v>4</v>
      </c>
      <c r="AN38" s="112">
        <v>4</v>
      </c>
      <c r="AO38" s="112"/>
      <c r="AP38" s="112"/>
      <c r="AQ38" s="112"/>
      <c r="AR38" s="7" t="str">
        <f>HYPERLINK("https://www.ejacket.nsf.gov/ej/showProposal.do?ID="&amp;ckCodingTable[[#This Row],[prop_id]],"eJ")</f>
        <v>eJ</v>
      </c>
      <c r="AS38" t="s">
        <v>172</v>
      </c>
      <c r="AT38" t="s">
        <v>1596</v>
      </c>
      <c r="AU38" t="b">
        <f>IF(ckCodingTable[[#This Row],[ILN]]="N",SUBSTITUTE(AT37," ","")&lt;&gt;SUBSTITUTE(ckCodingTable[[#This Row],[prop_titl_txt]]," ",""), FALSE)</f>
        <v>0</v>
      </c>
      <c r="AV38">
        <v>0</v>
      </c>
      <c r="AW38" s="13">
        <v>523537</v>
      </c>
      <c r="AX38" s="13">
        <v>523537</v>
      </c>
      <c r="AY38" s="13"/>
      <c r="AZ38" s="13">
        <v>15000</v>
      </c>
      <c r="BA38" s="13"/>
      <c r="BB38" s="13"/>
      <c r="BC38">
        <v>7</v>
      </c>
      <c r="BD38">
        <v>5</v>
      </c>
      <c r="BE38">
        <v>2</v>
      </c>
      <c r="BH38">
        <v>0</v>
      </c>
      <c r="BI38">
        <v>0</v>
      </c>
      <c r="BJ38">
        <v>0</v>
      </c>
      <c r="BK38">
        <v>0</v>
      </c>
      <c r="BL38" t="s">
        <v>1597</v>
      </c>
    </row>
    <row r="39" spans="1:64" x14ac:dyDescent="0.4">
      <c r="A39" s="30"/>
      <c r="B39" s="30">
        <v>42935.696527777778</v>
      </c>
      <c r="C39" t="s">
        <v>1430</v>
      </c>
      <c r="D39" t="s">
        <v>477</v>
      </c>
      <c r="E39" t="s">
        <v>582</v>
      </c>
      <c r="F39" t="s">
        <v>171</v>
      </c>
      <c r="G39" t="s">
        <v>169</v>
      </c>
      <c r="H39" s="21" t="s">
        <v>94</v>
      </c>
      <c r="I39" s="86">
        <v>1</v>
      </c>
      <c r="J39" s="86">
        <v>0</v>
      </c>
      <c r="K39" t="s">
        <v>1431</v>
      </c>
      <c r="L39" t="s">
        <v>604</v>
      </c>
      <c r="M39" t="s">
        <v>1598</v>
      </c>
      <c r="N39" t="str">
        <f>IF(SUM(ckCodingTable[[#This Row],[NfmlPIs]:[NnonWhtAsnPIs]])&gt;0,"WMD","")</f>
        <v/>
      </c>
      <c r="O39" t="b">
        <f>_xlfn.XOR(IFERROR(MATCH(ckCodingTable[[#This Row],[st_code]],EpscorTable[],0)&gt;0,FALSE),IFERROR(FIND("9150",ckCodingTable[[#This Row],[propPRCs]])&gt;0,FALSE))</f>
        <v>0</v>
      </c>
      <c r="P39" s="21" t="b">
        <f>_xlfn.XOR(ckCodingTable[[#This Row],[wmd]]&lt;&gt;"",IFERROR(FIND("9102",ckCodingTable[[#This Row],[propPRCs]])&gt;0,FALSE))</f>
        <v>0</v>
      </c>
      <c r="Q39" t="s">
        <v>1439</v>
      </c>
      <c r="S39" s="108">
        <f>S38+(ckCodingTable[[#This Row],[ILN]]&lt;"M")</f>
        <v>38</v>
      </c>
      <c r="T39" s="21" t="s">
        <v>95</v>
      </c>
      <c r="U39" t="s">
        <v>1048</v>
      </c>
      <c r="V39" s="7" t="str">
        <f>HYPERLINK("https://www.ejacket.nsf.gov/ej/showProposal.do?ID="&amp;ckCodingTable[[#This Row],[prop_id]],"eJ")</f>
        <v>eJ</v>
      </c>
      <c r="W39" t="s">
        <v>478</v>
      </c>
      <c r="X39" t="s">
        <v>1048</v>
      </c>
      <c r="Y39" t="s">
        <v>1049</v>
      </c>
      <c r="Z39" t="s">
        <v>1599</v>
      </c>
      <c r="AA39" t="s">
        <v>1600</v>
      </c>
      <c r="AB39" s="111" t="str">
        <f>HYPERLINK("mailto:"&amp;ckCodingTable[[#This Row],[email]]&amp;"&amp;subject=Your NSF Proposal:  "&amp;ckCodingTable[[#This Row],[Div]]&amp;" "&amp;ckCodingTable[[#This Row],[prop_id]], ckCodingTable[[#This Row],[email]])</f>
        <v>nayyeria@eecs.oregonstate.edu</v>
      </c>
      <c r="AC39" s="30">
        <v>43344</v>
      </c>
      <c r="AD39">
        <v>60</v>
      </c>
      <c r="AE39">
        <v>1</v>
      </c>
      <c r="AG39" s="112">
        <v>1</v>
      </c>
      <c r="AH39" t="s">
        <v>1493</v>
      </c>
      <c r="AI39" s="26">
        <v>6.75</v>
      </c>
      <c r="AJ39" s="22">
        <v>43031.69027777778</v>
      </c>
      <c r="AK39" s="21">
        <v>2</v>
      </c>
      <c r="AL39">
        <v>4</v>
      </c>
      <c r="AN39" s="112">
        <v>4</v>
      </c>
      <c r="AO39" s="112"/>
      <c r="AP39" s="112"/>
      <c r="AQ39" s="112"/>
      <c r="AR39" s="7" t="str">
        <f>HYPERLINK("https://www.ejacket.nsf.gov/ej/showProposal.do?ID="&amp;ckCodingTable[[#This Row],[prop_id]],"eJ")</f>
        <v>eJ</v>
      </c>
      <c r="AS39" t="s">
        <v>172</v>
      </c>
      <c r="AT39" t="s">
        <v>1601</v>
      </c>
      <c r="AU39" t="b">
        <f>IF(ckCodingTable[[#This Row],[ILN]]="N",SUBSTITUTE(AT38," ","")&lt;&gt;SUBSTITUTE(ckCodingTable[[#This Row],[prop_titl_txt]]," ",""), FALSE)</f>
        <v>0</v>
      </c>
      <c r="AV39">
        <v>0</v>
      </c>
      <c r="AW39" s="13">
        <v>607459</v>
      </c>
      <c r="AX39" s="13">
        <v>607459</v>
      </c>
      <c r="AY39" s="13"/>
      <c r="AZ39" s="13">
        <v>23133</v>
      </c>
      <c r="BA39" s="13"/>
      <c r="BB39" s="13">
        <v>5500</v>
      </c>
      <c r="BC39">
        <v>5</v>
      </c>
      <c r="BD39">
        <v>5</v>
      </c>
      <c r="BE39">
        <v>4.5</v>
      </c>
      <c r="BH39">
        <v>0</v>
      </c>
      <c r="BI39">
        <v>0</v>
      </c>
      <c r="BJ39">
        <v>0</v>
      </c>
      <c r="BK39">
        <v>0</v>
      </c>
      <c r="BL39" t="s">
        <v>1602</v>
      </c>
    </row>
    <row r="40" spans="1:64" x14ac:dyDescent="0.4">
      <c r="A40" s="30"/>
      <c r="B40" s="30">
        <v>42935.70416666667</v>
      </c>
      <c r="C40" t="s">
        <v>1430</v>
      </c>
      <c r="D40" t="s">
        <v>477</v>
      </c>
      <c r="E40" t="s">
        <v>582</v>
      </c>
      <c r="F40" t="s">
        <v>171</v>
      </c>
      <c r="G40" t="s">
        <v>169</v>
      </c>
      <c r="H40" s="21" t="s">
        <v>94</v>
      </c>
      <c r="I40" s="86">
        <v>1</v>
      </c>
      <c r="J40" s="86">
        <v>0</v>
      </c>
      <c r="K40" t="s">
        <v>1431</v>
      </c>
      <c r="L40" t="s">
        <v>654</v>
      </c>
      <c r="M40" t="s">
        <v>111</v>
      </c>
      <c r="N40" t="str">
        <f>IF(SUM(ckCodingTable[[#This Row],[NfmlPIs]:[NnonWhtAsnPIs]])&gt;0,"WMD","")</f>
        <v/>
      </c>
      <c r="O40" t="b">
        <f>_xlfn.XOR(IFERROR(MATCH(ckCodingTable[[#This Row],[st_code]],EpscorTable[],0)&gt;0,FALSE),IFERROR(FIND("9150",ckCodingTable[[#This Row],[propPRCs]])&gt;0,FALSE))</f>
        <v>0</v>
      </c>
      <c r="P40" s="21" t="b">
        <f>_xlfn.XOR(ckCodingTable[[#This Row],[wmd]]&lt;&gt;"",IFERROR(FIND("9102",ckCodingTable[[#This Row],[propPRCs]])&gt;0,FALSE))</f>
        <v>0</v>
      </c>
      <c r="Q40" t="s">
        <v>1603</v>
      </c>
      <c r="S40" s="108">
        <f>S39+(ckCodingTable[[#This Row],[ILN]]&lt;"M")</f>
        <v>39</v>
      </c>
      <c r="T40" s="21" t="s">
        <v>95</v>
      </c>
      <c r="U40" t="s">
        <v>1056</v>
      </c>
      <c r="V40" s="7" t="str">
        <f>HYPERLINK("https://www.ejacket.nsf.gov/ej/showProposal.do?ID="&amp;ckCodingTable[[#This Row],[prop_id]],"eJ")</f>
        <v>eJ</v>
      </c>
      <c r="W40" t="s">
        <v>478</v>
      </c>
      <c r="X40" t="s">
        <v>1056</v>
      </c>
      <c r="Y40" t="s">
        <v>1057</v>
      </c>
      <c r="Z40" t="s">
        <v>1604</v>
      </c>
      <c r="AA40" t="s">
        <v>1605</v>
      </c>
      <c r="AB40" s="111" t="str">
        <f>HYPERLINK("mailto:"&amp;ckCodingTable[[#This Row],[email]]&amp;"&amp;subject=Your NSF Proposal:  "&amp;ckCodingTable[[#This Row],[Div]]&amp;" "&amp;ckCodingTable[[#This Row],[prop_id]], ckCodingTable[[#This Row],[email]])</f>
        <v>maxwelly@outlook.com</v>
      </c>
      <c r="AC40" s="30">
        <v>43344</v>
      </c>
      <c r="AD40">
        <v>60</v>
      </c>
      <c r="AE40">
        <v>1</v>
      </c>
      <c r="AG40" s="112">
        <v>1</v>
      </c>
      <c r="AH40" t="s">
        <v>1606</v>
      </c>
      <c r="AI40" s="26">
        <v>5.75</v>
      </c>
      <c r="AJ40" s="22">
        <v>43059.229861111111</v>
      </c>
      <c r="AL40">
        <v>4</v>
      </c>
      <c r="AN40" s="112">
        <v>4</v>
      </c>
      <c r="AO40" s="112"/>
      <c r="AP40" s="112"/>
      <c r="AQ40" s="112"/>
      <c r="AR40" s="7" t="str">
        <f>HYPERLINK("https://www.ejacket.nsf.gov/ej/showProposal.do?ID="&amp;ckCodingTable[[#This Row],[prop_id]],"eJ")</f>
        <v>eJ</v>
      </c>
      <c r="AS40" t="s">
        <v>172</v>
      </c>
      <c r="AT40" t="s">
        <v>1607</v>
      </c>
      <c r="AU40" t="b">
        <f>IF(ckCodingTable[[#This Row],[ILN]]="N",SUBSTITUTE(AT39," ","")&lt;&gt;SUBSTITUTE(ckCodingTable[[#This Row],[prop_titl_txt]]," ",""), FALSE)</f>
        <v>0</v>
      </c>
      <c r="AV40">
        <v>0</v>
      </c>
      <c r="AW40" s="13">
        <v>400000</v>
      </c>
      <c r="AX40" s="13">
        <v>400000</v>
      </c>
      <c r="AY40" s="13"/>
      <c r="AZ40" s="13">
        <v>15000</v>
      </c>
      <c r="BA40" s="13"/>
      <c r="BB40" s="13"/>
      <c r="BC40">
        <v>5</v>
      </c>
      <c r="BD40">
        <v>5</v>
      </c>
      <c r="BE40">
        <v>2.5</v>
      </c>
      <c r="BH40">
        <v>0</v>
      </c>
      <c r="BI40">
        <v>0</v>
      </c>
      <c r="BJ40">
        <v>0</v>
      </c>
      <c r="BK40">
        <v>0</v>
      </c>
      <c r="BL40" t="s">
        <v>1608</v>
      </c>
    </row>
    <row r="41" spans="1:64" x14ac:dyDescent="0.4">
      <c r="A41" s="30"/>
      <c r="B41" s="30">
        <v>42935.717361111114</v>
      </c>
      <c r="C41" t="s">
        <v>1430</v>
      </c>
      <c r="D41" t="s">
        <v>477</v>
      </c>
      <c r="E41" t="s">
        <v>582</v>
      </c>
      <c r="F41" t="s">
        <v>171</v>
      </c>
      <c r="G41" t="s">
        <v>169</v>
      </c>
      <c r="H41" s="21" t="s">
        <v>94</v>
      </c>
      <c r="I41" s="86">
        <v>1</v>
      </c>
      <c r="J41" s="86">
        <v>0</v>
      </c>
      <c r="K41" t="s">
        <v>1431</v>
      </c>
      <c r="L41" t="s">
        <v>611</v>
      </c>
      <c r="M41" t="s">
        <v>555</v>
      </c>
      <c r="N41" t="str">
        <f>IF(SUM(ckCodingTable[[#This Row],[NfmlPIs]:[NnonWhtAsnPIs]])&gt;0,"WMD","")</f>
        <v/>
      </c>
      <c r="O41" t="b">
        <f>_xlfn.XOR(IFERROR(MATCH(ckCodingTable[[#This Row],[st_code]],EpscorTable[],0)&gt;0,FALSE),IFERROR(FIND("9150",ckCodingTable[[#This Row],[propPRCs]])&gt;0,FALSE))</f>
        <v>0</v>
      </c>
      <c r="P41" s="21" t="b">
        <f>_xlfn.XOR(ckCodingTable[[#This Row],[wmd]]&lt;&gt;"",IFERROR(FIND("9102",ckCodingTable[[#This Row],[propPRCs]])&gt;0,FALSE))</f>
        <v>0</v>
      </c>
      <c r="Q41" t="s">
        <v>1469</v>
      </c>
      <c r="R41" s="22">
        <v>43082.663402777776</v>
      </c>
      <c r="S41" s="108">
        <f>S40+(ckCodingTable[[#This Row],[ILN]]&lt;"M")</f>
        <v>40</v>
      </c>
      <c r="T41" s="21" t="s">
        <v>95</v>
      </c>
      <c r="U41" t="s">
        <v>1064</v>
      </c>
      <c r="V41" s="7" t="str">
        <f>HYPERLINK("https://www.ejacket.nsf.gov/ej/showProposal.do?ID="&amp;ckCodingTable[[#This Row],[prop_id]],"eJ")</f>
        <v>eJ</v>
      </c>
      <c r="W41" t="s">
        <v>478</v>
      </c>
      <c r="X41" t="s">
        <v>1064</v>
      </c>
      <c r="Y41" t="s">
        <v>1065</v>
      </c>
      <c r="Z41" t="s">
        <v>1609</v>
      </c>
      <c r="AA41" t="s">
        <v>556</v>
      </c>
      <c r="AB41" s="111" t="str">
        <f>HYPERLINK("mailto:"&amp;ckCodingTable[[#This Row],[email]]&amp;"&amp;subject=Your NSF Proposal:  "&amp;ckCodingTable[[#This Row],[Div]]&amp;" "&amp;ckCodingTable[[#This Row],[prop_id]], ckCodingTable[[#This Row],[email]])</f>
        <v>bhaskara@cs.utah.edu</v>
      </c>
      <c r="AC41" s="30">
        <v>43313</v>
      </c>
      <c r="AD41">
        <v>60</v>
      </c>
      <c r="AE41">
        <v>1</v>
      </c>
      <c r="AG41" s="112">
        <v>1</v>
      </c>
      <c r="AH41" t="s">
        <v>1461</v>
      </c>
      <c r="AI41" s="26">
        <v>6.5</v>
      </c>
      <c r="AJ41" s="22">
        <v>43058.995833333334</v>
      </c>
      <c r="AL41">
        <v>4</v>
      </c>
      <c r="AN41" s="112">
        <v>4</v>
      </c>
      <c r="AO41" s="112"/>
      <c r="AP41" s="112"/>
      <c r="AQ41" s="112"/>
      <c r="AR41" s="7" t="str">
        <f>HYPERLINK("https://www.ejacket.nsf.gov/ej/showProposal.do?ID="&amp;ckCodingTable[[#This Row],[prop_id]],"eJ")</f>
        <v>eJ</v>
      </c>
      <c r="AS41" t="s">
        <v>172</v>
      </c>
      <c r="AT41" t="s">
        <v>1610</v>
      </c>
      <c r="AU41" t="b">
        <f>IF(ckCodingTable[[#This Row],[ILN]]="N",SUBSTITUTE(AT40," ","")&lt;&gt;SUBSTITUTE(ckCodingTable[[#This Row],[prop_titl_txt]]," ",""), FALSE)</f>
        <v>0</v>
      </c>
      <c r="AV41">
        <v>0</v>
      </c>
      <c r="AW41" s="13">
        <v>536841</v>
      </c>
      <c r="AX41" s="13">
        <v>536841</v>
      </c>
      <c r="AY41" s="13"/>
      <c r="AZ41" s="13">
        <v>27500</v>
      </c>
      <c r="BA41" s="13"/>
      <c r="BB41" s="13">
        <v>20000</v>
      </c>
      <c r="BC41">
        <v>5</v>
      </c>
      <c r="BD41">
        <v>5</v>
      </c>
      <c r="BE41">
        <v>5</v>
      </c>
      <c r="BH41">
        <v>0</v>
      </c>
      <c r="BI41">
        <v>0</v>
      </c>
      <c r="BJ41">
        <v>0</v>
      </c>
      <c r="BK41">
        <v>0</v>
      </c>
      <c r="BL41" t="s">
        <v>1611</v>
      </c>
    </row>
    <row r="42" spans="1:64" x14ac:dyDescent="0.4">
      <c r="A42" s="30"/>
      <c r="B42" s="30">
        <v>42935.723611111112</v>
      </c>
      <c r="C42" t="s">
        <v>1430</v>
      </c>
      <c r="D42" t="s">
        <v>477</v>
      </c>
      <c r="E42" t="s">
        <v>582</v>
      </c>
      <c r="F42" t="s">
        <v>171</v>
      </c>
      <c r="G42" t="s">
        <v>169</v>
      </c>
      <c r="H42" s="21" t="s">
        <v>94</v>
      </c>
      <c r="I42" s="86">
        <v>1</v>
      </c>
      <c r="J42" s="86">
        <v>0</v>
      </c>
      <c r="K42" t="s">
        <v>1431</v>
      </c>
      <c r="L42" t="s">
        <v>611</v>
      </c>
      <c r="M42" t="s">
        <v>492</v>
      </c>
      <c r="N42" t="str">
        <f>IF(SUM(ckCodingTable[[#This Row],[NfmlPIs]:[NnonWhtAsnPIs]])&gt;0,"WMD","")</f>
        <v>WMD</v>
      </c>
      <c r="O42" t="b">
        <f>_xlfn.XOR(IFERROR(MATCH(ckCodingTable[[#This Row],[st_code]],EpscorTable[],0)&gt;0,FALSE),IFERROR(FIND("9150",ckCodingTable[[#This Row],[propPRCs]])&gt;0,FALSE))</f>
        <v>0</v>
      </c>
      <c r="P42" s="21" t="b">
        <f>_xlfn.XOR(ckCodingTable[[#This Row],[wmd]]&lt;&gt;"",IFERROR(FIND("9102",ckCodingTable[[#This Row],[propPRCs]])&gt;0,FALSE))</f>
        <v>1</v>
      </c>
      <c r="Q42" t="s">
        <v>1612</v>
      </c>
      <c r="S42" s="108">
        <f>S41+(ckCodingTable[[#This Row],[ILN]]&lt;"M")</f>
        <v>41</v>
      </c>
      <c r="T42" s="21" t="s">
        <v>95</v>
      </c>
      <c r="U42" t="s">
        <v>1073</v>
      </c>
      <c r="V42" s="7" t="str">
        <f>HYPERLINK("https://www.ejacket.nsf.gov/ej/showProposal.do?ID="&amp;ckCodingTable[[#This Row],[prop_id]],"eJ")</f>
        <v>eJ</v>
      </c>
      <c r="W42" t="s">
        <v>478</v>
      </c>
      <c r="X42" t="s">
        <v>1073</v>
      </c>
      <c r="Y42" t="s">
        <v>1074</v>
      </c>
      <c r="Z42" t="s">
        <v>1613</v>
      </c>
      <c r="AA42" t="s">
        <v>1614</v>
      </c>
      <c r="AB42" s="111" t="str">
        <f>HYPERLINK("mailto:"&amp;ckCodingTable[[#This Row],[email]]&amp;"&amp;subject=Your NSF Proposal:  "&amp;ckCodingTable[[#This Row],[Div]]&amp;" "&amp;ckCodingTable[[#This Row],[prop_id]], ckCodingTable[[#This Row],[email]])</f>
        <v>brittany@cs.montana.edu</v>
      </c>
      <c r="AC42" s="30">
        <v>43344</v>
      </c>
      <c r="AD42">
        <v>60</v>
      </c>
      <c r="AE42">
        <v>1</v>
      </c>
      <c r="AG42" s="112">
        <v>1</v>
      </c>
      <c r="AH42" t="s">
        <v>1461</v>
      </c>
      <c r="AI42" s="26">
        <v>6.5</v>
      </c>
      <c r="AJ42" s="22">
        <v>43031.43472222222</v>
      </c>
      <c r="AL42">
        <v>4</v>
      </c>
      <c r="AN42" s="112">
        <v>4</v>
      </c>
      <c r="AO42" s="112"/>
      <c r="AP42" s="112"/>
      <c r="AQ42" s="112"/>
      <c r="AR42" s="7" t="str">
        <f>HYPERLINK("https://www.ejacket.nsf.gov/ej/showProposal.do?ID="&amp;ckCodingTable[[#This Row],[prop_id]],"eJ")</f>
        <v>eJ</v>
      </c>
      <c r="AS42" t="s">
        <v>172</v>
      </c>
      <c r="AT42" t="s">
        <v>1615</v>
      </c>
      <c r="AU42" t="b">
        <f>IF(ckCodingTable[[#This Row],[ILN]]="N",SUBSTITUTE(AT41," ","")&lt;&gt;SUBSTITUTE(ckCodingTable[[#This Row],[prop_titl_txt]]," ",""), FALSE)</f>
        <v>0</v>
      </c>
      <c r="AV42">
        <v>0</v>
      </c>
      <c r="AW42" s="13">
        <v>552355</v>
      </c>
      <c r="AX42" s="13">
        <v>552355</v>
      </c>
      <c r="AY42" s="13"/>
      <c r="AZ42" s="13">
        <v>13000</v>
      </c>
      <c r="BA42" s="13"/>
      <c r="BB42" s="13"/>
      <c r="BC42">
        <v>12</v>
      </c>
      <c r="BD42">
        <v>5</v>
      </c>
      <c r="BE42">
        <v>5</v>
      </c>
      <c r="BH42">
        <v>2</v>
      </c>
      <c r="BI42">
        <v>0</v>
      </c>
      <c r="BJ42">
        <v>0</v>
      </c>
      <c r="BK42">
        <v>0</v>
      </c>
      <c r="BL42" t="s">
        <v>1616</v>
      </c>
    </row>
    <row r="43" spans="1:64" x14ac:dyDescent="0.4">
      <c r="A43" s="30"/>
      <c r="B43" s="30">
        <v>42935.851388888892</v>
      </c>
      <c r="C43" t="s">
        <v>1430</v>
      </c>
      <c r="D43" t="s">
        <v>477</v>
      </c>
      <c r="E43" t="s">
        <v>582</v>
      </c>
      <c r="F43" t="s">
        <v>171</v>
      </c>
      <c r="G43" t="s">
        <v>169</v>
      </c>
      <c r="H43" s="21" t="s">
        <v>94</v>
      </c>
      <c r="I43" s="86">
        <v>1</v>
      </c>
      <c r="J43" s="86">
        <v>0</v>
      </c>
      <c r="K43" t="s">
        <v>1431</v>
      </c>
      <c r="L43" t="s">
        <v>654</v>
      </c>
      <c r="M43" t="s">
        <v>100</v>
      </c>
      <c r="N43" t="str">
        <f>IF(SUM(ckCodingTable[[#This Row],[NfmlPIs]:[NnonWhtAsnPIs]])&gt;0,"WMD","")</f>
        <v/>
      </c>
      <c r="O43" t="b">
        <f>_xlfn.XOR(IFERROR(MATCH(ckCodingTable[[#This Row],[st_code]],EpscorTable[],0)&gt;0,FALSE),IFERROR(FIND("9150",ckCodingTable[[#This Row],[propPRCs]])&gt;0,FALSE))</f>
        <v>0</v>
      </c>
      <c r="P43" s="21" t="b">
        <f>_xlfn.XOR(ckCodingTable[[#This Row],[wmd]]&lt;&gt;"",IFERROR(FIND("9102",ckCodingTable[[#This Row],[propPRCs]])&gt;0,FALSE))</f>
        <v>0</v>
      </c>
      <c r="Q43" t="s">
        <v>1603</v>
      </c>
      <c r="R43" s="22">
        <v>43082.669027777774</v>
      </c>
      <c r="S43" s="108">
        <f>S42+(ckCodingTable[[#This Row],[ILN]]&lt;"M")</f>
        <v>42</v>
      </c>
      <c r="T43" s="21" t="s">
        <v>95</v>
      </c>
      <c r="U43" t="s">
        <v>1082</v>
      </c>
      <c r="V43" s="7" t="str">
        <f>HYPERLINK("https://www.ejacket.nsf.gov/ej/showProposal.do?ID="&amp;ckCodingTable[[#This Row],[prop_id]],"eJ")</f>
        <v>eJ</v>
      </c>
      <c r="W43" t="s">
        <v>478</v>
      </c>
      <c r="X43" t="s">
        <v>1082</v>
      </c>
      <c r="Y43" t="s">
        <v>1083</v>
      </c>
      <c r="Z43" t="s">
        <v>1617</v>
      </c>
      <c r="AA43" t="s">
        <v>1618</v>
      </c>
      <c r="AB43" s="111" t="str">
        <f>HYPERLINK("mailto:"&amp;ckCodingTable[[#This Row],[email]]&amp;"&amp;subject=Your NSF Proposal:  "&amp;ckCodingTable[[#This Row],[Div]]&amp;" "&amp;ckCodingTable[[#This Row],[prop_id]], ckCodingTable[[#This Row],[email]])</f>
        <v>nodari@hawaii.edu</v>
      </c>
      <c r="AC43" s="30">
        <v>43160</v>
      </c>
      <c r="AD43">
        <v>60</v>
      </c>
      <c r="AE43">
        <v>1</v>
      </c>
      <c r="AG43" s="112"/>
      <c r="AH43" t="s">
        <v>503</v>
      </c>
      <c r="AI43" s="26">
        <v>5.5</v>
      </c>
      <c r="AJ43" s="22">
        <v>43031.703472222223</v>
      </c>
      <c r="AK43" s="21">
        <v>1</v>
      </c>
      <c r="AL43">
        <v>4</v>
      </c>
      <c r="AN43" s="112"/>
      <c r="AO43" s="112"/>
      <c r="AP43" s="112"/>
      <c r="AQ43" s="112"/>
      <c r="AR43" s="7" t="str">
        <f>HYPERLINK("https://www.ejacket.nsf.gov/ej/showProposal.do?ID="&amp;ckCodingTable[[#This Row],[prop_id]],"eJ")</f>
        <v>eJ</v>
      </c>
      <c r="AS43" t="s">
        <v>172</v>
      </c>
      <c r="AT43" t="s">
        <v>1619</v>
      </c>
      <c r="AU43" t="b">
        <f>IF(ckCodingTable[[#This Row],[ILN]]="N",SUBSTITUTE(AT42," ","")&lt;&gt;SUBSTITUTE(ckCodingTable[[#This Row],[prop_titl_txt]]," ",""), FALSE)</f>
        <v>0</v>
      </c>
      <c r="AV43">
        <v>0</v>
      </c>
      <c r="AW43" s="13">
        <v>549999</v>
      </c>
      <c r="AX43" s="13">
        <v>549999</v>
      </c>
      <c r="AY43" s="13"/>
      <c r="AZ43" s="13">
        <v>20000</v>
      </c>
      <c r="BA43" s="13"/>
      <c r="BB43" s="13"/>
      <c r="BC43">
        <v>5</v>
      </c>
      <c r="BD43">
        <v>5</v>
      </c>
      <c r="BE43">
        <v>5</v>
      </c>
      <c r="BF43">
        <v>4.5199999999999996</v>
      </c>
      <c r="BH43">
        <v>0</v>
      </c>
      <c r="BI43">
        <v>0</v>
      </c>
      <c r="BJ43">
        <v>0</v>
      </c>
      <c r="BK43">
        <v>0</v>
      </c>
      <c r="BL43" t="s">
        <v>1620</v>
      </c>
    </row>
    <row r="44" spans="1:64" x14ac:dyDescent="0.4">
      <c r="A44" s="30"/>
      <c r="B44" s="30">
        <v>42950.663888888892</v>
      </c>
      <c r="C44" t="s">
        <v>1621</v>
      </c>
      <c r="D44" t="s">
        <v>1622</v>
      </c>
      <c r="E44" t="s">
        <v>580</v>
      </c>
      <c r="F44" t="s">
        <v>171</v>
      </c>
      <c r="G44" t="s">
        <v>169</v>
      </c>
      <c r="H44" s="21" t="s">
        <v>94</v>
      </c>
      <c r="I44" s="86">
        <v>1</v>
      </c>
      <c r="J44" s="86">
        <v>0</v>
      </c>
      <c r="K44" t="s">
        <v>1623</v>
      </c>
      <c r="L44" t="s">
        <v>1093</v>
      </c>
      <c r="M44" t="s">
        <v>498</v>
      </c>
      <c r="N44" t="str">
        <f>IF(SUM(ckCodingTable[[#This Row],[NfmlPIs]:[NnonWhtAsnPIs]])&gt;0,"WMD","")</f>
        <v/>
      </c>
      <c r="O44" t="b">
        <f>_xlfn.XOR(IFERROR(MATCH(ckCodingTable[[#This Row],[st_code]],EpscorTable[],0)&gt;0,FALSE),IFERROR(FIND("9150",ckCodingTable[[#This Row],[propPRCs]])&gt;0,FALSE))</f>
        <v>0</v>
      </c>
      <c r="P44" s="21" t="b">
        <f>_xlfn.XOR(ckCodingTable[[#This Row],[wmd]]&lt;&gt;"",IFERROR(FIND("9102",ckCodingTable[[#This Row],[propPRCs]])&gt;0,FALSE))</f>
        <v>0</v>
      </c>
      <c r="Q44" t="s">
        <v>1624</v>
      </c>
      <c r="S44" s="108">
        <f>S43+(ckCodingTable[[#This Row],[ILN]]&lt;"M")</f>
        <v>43</v>
      </c>
      <c r="T44" s="21" t="s">
        <v>95</v>
      </c>
      <c r="U44" t="s">
        <v>1091</v>
      </c>
      <c r="V44" s="7" t="str">
        <f>HYPERLINK("https://www.ejacket.nsf.gov/ej/showProposal.do?ID="&amp;ckCodingTable[[#This Row],[prop_id]],"eJ")</f>
        <v>eJ</v>
      </c>
      <c r="W44" t="s">
        <v>1625</v>
      </c>
      <c r="X44" t="s">
        <v>1091</v>
      </c>
      <c r="Y44" t="s">
        <v>1092</v>
      </c>
      <c r="Z44" t="s">
        <v>1626</v>
      </c>
      <c r="AA44" t="s">
        <v>552</v>
      </c>
      <c r="AB44" s="111" t="str">
        <f>HYPERLINK("mailto:"&amp;ckCodingTable[[#This Row],[email]]&amp;"&amp;subject=Your NSF Proposal:  "&amp;ckCodingTable[[#This Row],[Div]]&amp;" "&amp;ckCodingTable[[#This Row],[prop_id]], ckCodingTable[[#This Row],[email]])</f>
        <v>ani.majumdar@princeton.edu</v>
      </c>
      <c r="AC44" s="30">
        <v>42979</v>
      </c>
      <c r="AD44">
        <v>24</v>
      </c>
      <c r="AE44">
        <v>2</v>
      </c>
      <c r="AG44" s="112">
        <v>2</v>
      </c>
      <c r="AH44" t="s">
        <v>1627</v>
      </c>
      <c r="AI44" s="26">
        <v>5.8571428571428568</v>
      </c>
      <c r="AJ44" s="22">
        <v>43073.747916666667</v>
      </c>
      <c r="AL44">
        <v>7</v>
      </c>
      <c r="AN44" s="112">
        <v>7</v>
      </c>
      <c r="AO44" s="112"/>
      <c r="AP44" s="112"/>
      <c r="AQ44" s="112"/>
      <c r="AR44" s="7" t="str">
        <f>HYPERLINK("https://www.ejacket.nsf.gov/ej/showProposal.do?ID="&amp;ckCodingTable[[#This Row],[prop_id]],"eJ")</f>
        <v>eJ</v>
      </c>
      <c r="AS44" t="s">
        <v>172</v>
      </c>
      <c r="AT44" t="s">
        <v>1628</v>
      </c>
      <c r="AU44" t="b">
        <f>IF(ckCodingTable[[#This Row],[ILN]]="N",SUBSTITUTE(AT43," ","")&lt;&gt;SUBSTITUTE(ckCodingTable[[#This Row],[prop_titl_txt]]," ",""), FALSE)</f>
        <v>0</v>
      </c>
      <c r="AV44">
        <v>0</v>
      </c>
      <c r="AW44" s="13">
        <v>175000</v>
      </c>
      <c r="AX44" s="13">
        <v>175000</v>
      </c>
      <c r="AY44" s="13"/>
      <c r="AZ44" s="13"/>
      <c r="BA44" s="13"/>
      <c r="BB44" s="13"/>
      <c r="BC44">
        <v>2</v>
      </c>
      <c r="BH44">
        <v>0</v>
      </c>
      <c r="BI44">
        <v>0</v>
      </c>
      <c r="BJ44">
        <v>0</v>
      </c>
      <c r="BK44">
        <v>0</v>
      </c>
      <c r="BL44" t="s">
        <v>1629</v>
      </c>
    </row>
    <row r="45" spans="1:64" x14ac:dyDescent="0.4">
      <c r="A45" s="30"/>
      <c r="B45" s="30">
        <v>42954.456944444442</v>
      </c>
      <c r="C45" t="s">
        <v>1621</v>
      </c>
      <c r="D45" t="s">
        <v>477</v>
      </c>
      <c r="E45" t="s">
        <v>578</v>
      </c>
      <c r="F45" t="s">
        <v>171</v>
      </c>
      <c r="G45" t="s">
        <v>169</v>
      </c>
      <c r="H45" s="21" t="s">
        <v>94</v>
      </c>
      <c r="I45" s="86">
        <v>1</v>
      </c>
      <c r="J45" s="86">
        <v>0</v>
      </c>
      <c r="K45" t="s">
        <v>1630</v>
      </c>
      <c r="L45" t="s">
        <v>611</v>
      </c>
      <c r="M45" t="s">
        <v>1632</v>
      </c>
      <c r="N45" t="str">
        <f>IF(SUM(ckCodingTable[[#This Row],[NfmlPIs]:[NnonWhtAsnPIs]])&gt;0,"WMD","")</f>
        <v/>
      </c>
      <c r="O45" t="b">
        <f>_xlfn.XOR(IFERROR(MATCH(ckCodingTable[[#This Row],[st_code]],EpscorTable[],0)&gt;0,FALSE),IFERROR(FIND("9150",ckCodingTable[[#This Row],[propPRCs]])&gt;0,FALSE))</f>
        <v>0</v>
      </c>
      <c r="P45" s="21" t="b">
        <f>_xlfn.XOR(ckCodingTable[[#This Row],[wmd]]&lt;&gt;"",IFERROR(FIND("9102",ckCodingTable[[#This Row],[propPRCs]])&gt;0,FALSE))</f>
        <v>0</v>
      </c>
      <c r="Q45" t="s">
        <v>1631</v>
      </c>
      <c r="R45" s="22">
        <v>43082.662870370368</v>
      </c>
      <c r="S45" s="108">
        <f>S44+(ckCodingTable[[#This Row],[ILN]]&lt;"M")</f>
        <v>44</v>
      </c>
      <c r="T45" s="21" t="s">
        <v>95</v>
      </c>
      <c r="U45" t="s">
        <v>1118</v>
      </c>
      <c r="V45" s="7" t="str">
        <f>HYPERLINK("https://www.ejacket.nsf.gov/ej/showProposal.do?ID="&amp;ckCodingTable[[#This Row],[prop_id]],"eJ")</f>
        <v>eJ</v>
      </c>
      <c r="W45" t="s">
        <v>478</v>
      </c>
      <c r="X45" t="s">
        <v>1118</v>
      </c>
      <c r="Y45" t="s">
        <v>1119</v>
      </c>
      <c r="Z45" t="s">
        <v>1633</v>
      </c>
      <c r="AA45" t="s">
        <v>1634</v>
      </c>
      <c r="AB45" s="111" t="str">
        <f>HYPERLINK("mailto:"&amp;ckCodingTable[[#This Row],[email]]&amp;"&amp;subject=Your NSF Proposal:  "&amp;ckCodingTable[[#This Row],[Div]]&amp;" "&amp;ckCodingTable[[#This Row],[prop_id]], ckCodingTable[[#This Row],[email]])</f>
        <v>wtong@georgiasouthern.edu</v>
      </c>
      <c r="AC45" s="30">
        <v>43235</v>
      </c>
      <c r="AD45">
        <v>24</v>
      </c>
      <c r="AE45">
        <v>1</v>
      </c>
      <c r="AG45" s="112">
        <v>1</v>
      </c>
      <c r="AH45" t="s">
        <v>1635</v>
      </c>
      <c r="AI45" s="26">
        <v>4</v>
      </c>
      <c r="AJ45" s="22">
        <v>43060.386805555558</v>
      </c>
      <c r="AL45">
        <v>3</v>
      </c>
      <c r="AN45" s="112">
        <v>3</v>
      </c>
      <c r="AO45" s="112"/>
      <c r="AP45" s="112"/>
      <c r="AQ45" s="112"/>
      <c r="AR45" s="7" t="str">
        <f>HYPERLINK("https://www.ejacket.nsf.gov/ej/showProposal.do?ID="&amp;ckCodingTable[[#This Row],[prop_id]],"eJ")</f>
        <v>eJ</v>
      </c>
      <c r="AS45" t="s">
        <v>172</v>
      </c>
      <c r="AT45" t="s">
        <v>1636</v>
      </c>
      <c r="AU45" t="b">
        <f>IF(ckCodingTable[[#This Row],[ILN]]="N",SUBSTITUTE(AT44," ","")&lt;&gt;SUBSTITUTE(ckCodingTable[[#This Row],[prop_titl_txt]]," ",""), FALSE)</f>
        <v>0</v>
      </c>
      <c r="AV45">
        <v>0</v>
      </c>
      <c r="AW45" s="13">
        <v>162689</v>
      </c>
      <c r="AX45" s="13">
        <v>162689</v>
      </c>
      <c r="AY45" s="13"/>
      <c r="AZ45" s="13">
        <v>8120</v>
      </c>
      <c r="BA45" s="13"/>
      <c r="BB45" s="13"/>
      <c r="BC45">
        <v>4</v>
      </c>
      <c r="BH45">
        <v>0</v>
      </c>
      <c r="BI45">
        <v>0</v>
      </c>
      <c r="BJ45">
        <v>0</v>
      </c>
      <c r="BK45">
        <v>0</v>
      </c>
      <c r="BL45" t="s">
        <v>1637</v>
      </c>
    </row>
    <row r="46" spans="1:64" x14ac:dyDescent="0.4">
      <c r="A46" s="30"/>
      <c r="B46" s="30">
        <v>42954.500694444447</v>
      </c>
      <c r="C46" t="s">
        <v>1621</v>
      </c>
      <c r="D46" t="s">
        <v>477</v>
      </c>
      <c r="E46" t="s">
        <v>578</v>
      </c>
      <c r="F46" t="s">
        <v>171</v>
      </c>
      <c r="G46" t="s">
        <v>169</v>
      </c>
      <c r="H46" s="21" t="s">
        <v>94</v>
      </c>
      <c r="I46" s="86">
        <v>1</v>
      </c>
      <c r="J46" s="86">
        <v>0</v>
      </c>
      <c r="K46" t="s">
        <v>1630</v>
      </c>
      <c r="L46" t="s">
        <v>654</v>
      </c>
      <c r="M46" t="s">
        <v>1632</v>
      </c>
      <c r="N46" t="str">
        <f>IF(SUM(ckCodingTable[[#This Row],[NfmlPIs]:[NnonWhtAsnPIs]])&gt;0,"WMD","")</f>
        <v/>
      </c>
      <c r="O46" t="b">
        <f>_xlfn.XOR(IFERROR(MATCH(ckCodingTable[[#This Row],[st_code]],EpscorTable[],0)&gt;0,FALSE),IFERROR(FIND("9150",ckCodingTable[[#This Row],[propPRCs]])&gt;0,FALSE))</f>
        <v>0</v>
      </c>
      <c r="P46" s="21" t="b">
        <f>_xlfn.XOR(ckCodingTable[[#This Row],[wmd]]&lt;&gt;"",IFERROR(FIND("9102",ckCodingTable[[#This Row],[propPRCs]])&gt;0,FALSE))</f>
        <v>0</v>
      </c>
      <c r="Q46" t="s">
        <v>1631</v>
      </c>
      <c r="R46" s="22">
        <v>43082.669131944444</v>
      </c>
      <c r="S46" s="108">
        <f>S45+(ckCodingTable[[#This Row],[ILN]]&lt;"M")</f>
        <v>45</v>
      </c>
      <c r="T46" s="21" t="s">
        <v>95</v>
      </c>
      <c r="U46" t="s">
        <v>1126</v>
      </c>
      <c r="V46" s="7" t="str">
        <f>HYPERLINK("https://www.ejacket.nsf.gov/ej/showProposal.do?ID="&amp;ckCodingTable[[#This Row],[prop_id]],"eJ")</f>
        <v>eJ</v>
      </c>
      <c r="W46" t="s">
        <v>478</v>
      </c>
      <c r="X46" t="s">
        <v>1126</v>
      </c>
      <c r="Y46" t="s">
        <v>631</v>
      </c>
      <c r="Z46" t="s">
        <v>1638</v>
      </c>
      <c r="AA46" t="s">
        <v>1634</v>
      </c>
      <c r="AB46" s="111" t="str">
        <f>HYPERLINK("mailto:"&amp;ckCodingTable[[#This Row],[email]]&amp;"&amp;subject=Your NSF Proposal:  "&amp;ckCodingTable[[#This Row],[Div]]&amp;" "&amp;ckCodingTable[[#This Row],[prop_id]], ckCodingTable[[#This Row],[email]])</f>
        <v>kwang@georgiasouthern.edu</v>
      </c>
      <c r="AC46" s="30">
        <v>43101</v>
      </c>
      <c r="AD46">
        <v>24</v>
      </c>
      <c r="AE46">
        <v>1</v>
      </c>
      <c r="AG46" s="112"/>
      <c r="AH46" t="s">
        <v>1639</v>
      </c>
      <c r="AI46" s="26">
        <v>3.25</v>
      </c>
      <c r="AJ46" s="22">
        <v>43031.775694444441</v>
      </c>
      <c r="AL46">
        <v>4</v>
      </c>
      <c r="AN46" s="112"/>
      <c r="AO46" s="112"/>
      <c r="AP46" s="112"/>
      <c r="AQ46" s="112"/>
      <c r="AR46" s="7" t="str">
        <f>HYPERLINK("https://www.ejacket.nsf.gov/ej/showProposal.do?ID="&amp;ckCodingTable[[#This Row],[prop_id]],"eJ")</f>
        <v>eJ</v>
      </c>
      <c r="AS46" t="s">
        <v>172</v>
      </c>
      <c r="AT46" t="s">
        <v>1640</v>
      </c>
      <c r="AU46" t="b">
        <f>IF(ckCodingTable[[#This Row],[ILN]]="N",SUBSTITUTE(AT45," ","")&lt;&gt;SUBSTITUTE(ckCodingTable[[#This Row],[prop_titl_txt]]," ",""), FALSE)</f>
        <v>0</v>
      </c>
      <c r="AV46">
        <v>0</v>
      </c>
      <c r="AW46" s="13">
        <v>168126</v>
      </c>
      <c r="AX46" s="13">
        <v>168126</v>
      </c>
      <c r="AY46" s="13"/>
      <c r="AZ46" s="13"/>
      <c r="BA46" s="13"/>
      <c r="BB46" s="13"/>
      <c r="BC46">
        <v>4</v>
      </c>
      <c r="BH46">
        <v>0</v>
      </c>
      <c r="BI46">
        <v>0</v>
      </c>
      <c r="BJ46">
        <v>0</v>
      </c>
      <c r="BK46">
        <v>0</v>
      </c>
      <c r="BL46" t="s">
        <v>1641</v>
      </c>
    </row>
    <row r="47" spans="1:64" x14ac:dyDescent="0.4">
      <c r="A47" s="30"/>
      <c r="B47" s="30">
        <v>42955.429861111108</v>
      </c>
      <c r="C47" t="s">
        <v>1621</v>
      </c>
      <c r="D47" t="s">
        <v>477</v>
      </c>
      <c r="E47" t="s">
        <v>578</v>
      </c>
      <c r="F47" t="s">
        <v>171</v>
      </c>
      <c r="G47" t="s">
        <v>169</v>
      </c>
      <c r="H47" s="21" t="s">
        <v>94</v>
      </c>
      <c r="I47" s="86">
        <v>1</v>
      </c>
      <c r="J47" s="86">
        <v>0</v>
      </c>
      <c r="K47" t="s">
        <v>1630</v>
      </c>
      <c r="L47" t="s">
        <v>654</v>
      </c>
      <c r="M47" t="s">
        <v>494</v>
      </c>
      <c r="N47" t="str">
        <f>IF(SUM(ckCodingTable[[#This Row],[NfmlPIs]:[NnonWhtAsnPIs]])&gt;0,"WMD","")</f>
        <v/>
      </c>
      <c r="O47" t="b">
        <f>_xlfn.XOR(IFERROR(MATCH(ckCodingTable[[#This Row],[st_code]],EpscorTable[],0)&gt;0,FALSE),IFERROR(FIND("9150",ckCodingTable[[#This Row],[propPRCs]])&gt;0,FALSE))</f>
        <v>0</v>
      </c>
      <c r="P47" s="21" t="b">
        <f>_xlfn.XOR(ckCodingTable[[#This Row],[wmd]]&lt;&gt;"",IFERROR(FIND("9102",ckCodingTable[[#This Row],[propPRCs]])&gt;0,FALSE))</f>
        <v>0</v>
      </c>
      <c r="Q47" t="s">
        <v>1631</v>
      </c>
      <c r="S47" s="108">
        <f>S46+(ckCodingTable[[#This Row],[ILN]]&lt;"M")</f>
        <v>46</v>
      </c>
      <c r="T47" s="21" t="s">
        <v>95</v>
      </c>
      <c r="U47" t="s">
        <v>1133</v>
      </c>
      <c r="V47" s="7" t="str">
        <f>HYPERLINK("https://www.ejacket.nsf.gov/ej/showProposal.do?ID="&amp;ckCodingTable[[#This Row],[prop_id]],"eJ")</f>
        <v>eJ</v>
      </c>
      <c r="W47" t="s">
        <v>478</v>
      </c>
      <c r="X47" t="s">
        <v>1133</v>
      </c>
      <c r="Y47" t="s">
        <v>1134</v>
      </c>
      <c r="Z47" t="s">
        <v>1642</v>
      </c>
      <c r="AA47" t="s">
        <v>566</v>
      </c>
      <c r="AB47" s="111" t="str">
        <f>HYPERLINK("mailto:"&amp;ckCodingTable[[#This Row],[email]]&amp;"&amp;subject=Your NSF Proposal:  "&amp;ckCodingTable[[#This Row],[Div]]&amp;" "&amp;ckCodingTable[[#This Row],[prop_id]], ckCodingTable[[#This Row],[email]])</f>
        <v>yzhoucs@indiana.edu</v>
      </c>
      <c r="AC47" s="30">
        <v>43101</v>
      </c>
      <c r="AD47">
        <v>24</v>
      </c>
      <c r="AE47">
        <v>1</v>
      </c>
      <c r="AG47" s="112">
        <v>1</v>
      </c>
      <c r="AH47" t="s">
        <v>1643</v>
      </c>
      <c r="AI47" s="26">
        <v>6</v>
      </c>
      <c r="AJ47" s="22">
        <v>43060.397916666669</v>
      </c>
      <c r="AL47">
        <v>3</v>
      </c>
      <c r="AN47" s="112">
        <v>3</v>
      </c>
      <c r="AO47" s="112"/>
      <c r="AP47" s="112"/>
      <c r="AQ47" s="112"/>
      <c r="AR47" s="7" t="str">
        <f>HYPERLINK("https://www.ejacket.nsf.gov/ej/showProposal.do?ID="&amp;ckCodingTable[[#This Row],[prop_id]],"eJ")</f>
        <v>eJ</v>
      </c>
      <c r="AS47" t="s">
        <v>172</v>
      </c>
      <c r="AT47" t="s">
        <v>1644</v>
      </c>
      <c r="AU47" t="b">
        <f>IF(ckCodingTable[[#This Row],[ILN]]="N",SUBSTITUTE(AT46," ","")&lt;&gt;SUBSTITUTE(ckCodingTable[[#This Row],[prop_titl_txt]]," ",""), FALSE)</f>
        <v>0</v>
      </c>
      <c r="AV47">
        <v>0</v>
      </c>
      <c r="AW47" s="13">
        <v>174974</v>
      </c>
      <c r="AX47" s="13">
        <v>174974</v>
      </c>
      <c r="AY47" s="13"/>
      <c r="AZ47" s="13">
        <v>8400</v>
      </c>
      <c r="BA47" s="13"/>
      <c r="BB47" s="13"/>
      <c r="BC47">
        <v>3</v>
      </c>
      <c r="BH47">
        <v>0</v>
      </c>
      <c r="BI47">
        <v>0</v>
      </c>
      <c r="BJ47">
        <v>0</v>
      </c>
      <c r="BK47">
        <v>0</v>
      </c>
      <c r="BL47" t="s">
        <v>1645</v>
      </c>
    </row>
    <row r="48" spans="1:64" x14ac:dyDescent="0.4">
      <c r="A48" s="30"/>
      <c r="B48" s="30">
        <v>42955.700694444444</v>
      </c>
      <c r="C48" t="s">
        <v>1621</v>
      </c>
      <c r="D48" t="s">
        <v>477</v>
      </c>
      <c r="E48" t="s">
        <v>578</v>
      </c>
      <c r="F48" t="s">
        <v>171</v>
      </c>
      <c r="G48" t="s">
        <v>169</v>
      </c>
      <c r="H48" s="21" t="s">
        <v>94</v>
      </c>
      <c r="I48" s="86">
        <v>1</v>
      </c>
      <c r="J48" s="86">
        <v>0</v>
      </c>
      <c r="K48" t="s">
        <v>1630</v>
      </c>
      <c r="L48" t="s">
        <v>611</v>
      </c>
      <c r="M48" t="s">
        <v>306</v>
      </c>
      <c r="N48" t="str">
        <f>IF(SUM(ckCodingTable[[#This Row],[NfmlPIs]:[NnonWhtAsnPIs]])&gt;0,"WMD","")</f>
        <v/>
      </c>
      <c r="O48" t="b">
        <f>_xlfn.XOR(IFERROR(MATCH(ckCodingTable[[#This Row],[st_code]],EpscorTable[],0)&gt;0,FALSE),IFERROR(FIND("9150",ckCodingTable[[#This Row],[propPRCs]])&gt;0,FALSE))</f>
        <v>0</v>
      </c>
      <c r="P48" s="21" t="b">
        <f>_xlfn.XOR(ckCodingTable[[#This Row],[wmd]]&lt;&gt;"",IFERROR(FIND("9102",ckCodingTable[[#This Row],[propPRCs]])&gt;0,FALSE))</f>
        <v>0</v>
      </c>
      <c r="Q48" t="s">
        <v>1646</v>
      </c>
      <c r="S48" s="108">
        <f>S47+(ckCodingTable[[#This Row],[ILN]]&lt;"M")</f>
        <v>47</v>
      </c>
      <c r="T48" s="21" t="s">
        <v>95</v>
      </c>
      <c r="U48" t="s">
        <v>1141</v>
      </c>
      <c r="V48" s="7" t="str">
        <f>HYPERLINK("https://www.ejacket.nsf.gov/ej/showProposal.do?ID="&amp;ckCodingTable[[#This Row],[prop_id]],"eJ")</f>
        <v>eJ</v>
      </c>
      <c r="W48" t="s">
        <v>478</v>
      </c>
      <c r="X48" t="s">
        <v>1141</v>
      </c>
      <c r="Y48" t="s">
        <v>965</v>
      </c>
      <c r="Z48" t="s">
        <v>1647</v>
      </c>
      <c r="AA48" t="s">
        <v>1477</v>
      </c>
      <c r="AB48" s="111" t="str">
        <f>HYPERLINK("mailto:"&amp;ckCodingTable[[#This Row],[email]]&amp;"&amp;subject=Your NSF Proposal:  "&amp;ckCodingTable[[#This Row],[Div]]&amp;" "&amp;ckCodingTable[[#This Row],[prop_id]], ckCodingTable[[#This Row],[email]])</f>
        <v>jugal@illinois.edu</v>
      </c>
      <c r="AC48" s="30">
        <v>43146</v>
      </c>
      <c r="AD48">
        <v>24</v>
      </c>
      <c r="AE48">
        <v>1</v>
      </c>
      <c r="AG48" s="112">
        <v>1</v>
      </c>
      <c r="AH48" t="s">
        <v>1648</v>
      </c>
      <c r="AI48" s="26">
        <v>7.333333333333333</v>
      </c>
      <c r="AJ48" s="22">
        <v>43059.534722222219</v>
      </c>
      <c r="AL48">
        <v>3</v>
      </c>
      <c r="AN48" s="112">
        <v>3</v>
      </c>
      <c r="AO48" s="112"/>
      <c r="AP48" s="112"/>
      <c r="AQ48" s="112"/>
      <c r="AR48" s="7" t="str">
        <f>HYPERLINK("https://www.ejacket.nsf.gov/ej/showProposal.do?ID="&amp;ckCodingTable[[#This Row],[prop_id]],"eJ")</f>
        <v>eJ</v>
      </c>
      <c r="AS48" t="s">
        <v>172</v>
      </c>
      <c r="AT48" t="s">
        <v>1649</v>
      </c>
      <c r="AU48" t="b">
        <f>IF(ckCodingTable[[#This Row],[ILN]]="N",SUBSTITUTE(AT47," ","")&lt;&gt;SUBSTITUTE(ckCodingTable[[#This Row],[prop_titl_txt]]," ",""), FALSE)</f>
        <v>0</v>
      </c>
      <c r="AV48">
        <v>0</v>
      </c>
      <c r="AW48" s="13">
        <v>175000</v>
      </c>
      <c r="AX48" s="13">
        <v>175000</v>
      </c>
      <c r="AY48" s="13"/>
      <c r="AZ48" s="13">
        <v>4000</v>
      </c>
      <c r="BA48" s="13"/>
      <c r="BB48" s="13"/>
      <c r="BC48">
        <v>4</v>
      </c>
      <c r="BH48">
        <v>0</v>
      </c>
      <c r="BI48">
        <v>0</v>
      </c>
      <c r="BJ48">
        <v>0</v>
      </c>
      <c r="BK48">
        <v>0</v>
      </c>
      <c r="BL48" t="s">
        <v>1650</v>
      </c>
    </row>
    <row r="49" spans="1:64" x14ac:dyDescent="0.4">
      <c r="A49" s="30">
        <v>43081.686678240738</v>
      </c>
      <c r="B49" s="30">
        <v>42956.439583333333</v>
      </c>
      <c r="C49" t="s">
        <v>1621</v>
      </c>
      <c r="D49" t="s">
        <v>1622</v>
      </c>
      <c r="E49" t="s">
        <v>580</v>
      </c>
      <c r="F49" t="s">
        <v>2073</v>
      </c>
      <c r="G49" t="s">
        <v>169</v>
      </c>
      <c r="H49" s="21" t="s">
        <v>94</v>
      </c>
      <c r="I49" s="86">
        <v>1</v>
      </c>
      <c r="J49" s="86">
        <v>0</v>
      </c>
      <c r="K49" t="s">
        <v>1623</v>
      </c>
      <c r="L49" t="s">
        <v>2046</v>
      </c>
      <c r="M49" t="s">
        <v>496</v>
      </c>
      <c r="N49" t="str">
        <f>IF(SUM(ckCodingTable[[#This Row],[NfmlPIs]:[NnonWhtAsnPIs]])&gt;0,"WMD","")</f>
        <v/>
      </c>
      <c r="O49" t="b">
        <f>_xlfn.XOR(IFERROR(MATCH(ckCodingTable[[#This Row],[st_code]],EpscorTable[],0)&gt;0,FALSE),IFERROR(FIND("9150",ckCodingTable[[#This Row],[propPRCs]])&gt;0,FALSE))</f>
        <v>0</v>
      </c>
      <c r="P49" s="21" t="b">
        <f>_xlfn.XOR(ckCodingTable[[#This Row],[wmd]]&lt;&gt;"",IFERROR(FIND("9102",ckCodingTable[[#This Row],[propPRCs]])&gt;0,FALSE))</f>
        <v>0</v>
      </c>
      <c r="Q49" t="s">
        <v>1624</v>
      </c>
      <c r="R49" s="22">
        <v>43070.440868055557</v>
      </c>
      <c r="S49" s="108">
        <f>S48+(ckCodingTable[[#This Row],[ILN]]&lt;"M")</f>
        <v>48</v>
      </c>
      <c r="T49" s="21" t="s">
        <v>95</v>
      </c>
      <c r="U49" t="s">
        <v>2044</v>
      </c>
      <c r="V49" s="7" t="str">
        <f>HYPERLINK("https://www.ejacket.nsf.gov/ej/showProposal.do?ID="&amp;ckCodingTable[[#This Row],[prop_id]],"eJ")</f>
        <v>eJ</v>
      </c>
      <c r="W49" t="s">
        <v>1625</v>
      </c>
      <c r="X49" t="s">
        <v>2044</v>
      </c>
      <c r="Y49" t="s">
        <v>2045</v>
      </c>
      <c r="Z49" t="s">
        <v>2074</v>
      </c>
      <c r="AA49" t="s">
        <v>497</v>
      </c>
      <c r="AB49" s="111" t="str">
        <f>HYPERLINK("mailto:"&amp;ckCodingTable[[#This Row],[email]]&amp;"&amp;subject=Your NSF Proposal:  "&amp;ckCodingTable[[#This Row],[Div]]&amp;" "&amp;ckCodingTable[[#This Row],[prop_id]], ckCodingTable[[#This Row],[email]])</f>
        <v>feifang@cmu.edu</v>
      </c>
      <c r="AC49" s="30">
        <v>43101</v>
      </c>
      <c r="AD49">
        <v>24</v>
      </c>
      <c r="AE49">
        <v>2</v>
      </c>
      <c r="AG49" s="112"/>
      <c r="AH49" t="s">
        <v>2075</v>
      </c>
      <c r="AI49" s="26">
        <v>5.6</v>
      </c>
      <c r="AJ49" s="22">
        <v>43068.363194444442</v>
      </c>
      <c r="AK49" s="21">
        <v>2</v>
      </c>
      <c r="AL49">
        <v>5</v>
      </c>
      <c r="AN49" s="112"/>
      <c r="AO49" s="112"/>
      <c r="AP49" s="112"/>
      <c r="AQ49" s="112"/>
      <c r="AR49" s="7" t="str">
        <f>HYPERLINK("https://www.ejacket.nsf.gov/ej/showProposal.do?ID="&amp;ckCodingTable[[#This Row],[prop_id]],"eJ")</f>
        <v>eJ</v>
      </c>
      <c r="AS49" t="s">
        <v>2076</v>
      </c>
      <c r="AT49" t="s">
        <v>2077</v>
      </c>
      <c r="AU49" t="b">
        <f>IF(ckCodingTable[[#This Row],[ILN]]="N",SUBSTITUTE(AT48," ","")&lt;&gt;SUBSTITUTE(ckCodingTable[[#This Row],[prop_titl_txt]]," ",""), FALSE)</f>
        <v>0</v>
      </c>
      <c r="AV49">
        <v>0</v>
      </c>
      <c r="AW49" s="13">
        <v>175000</v>
      </c>
      <c r="AX49" s="13">
        <v>175000</v>
      </c>
      <c r="AY49" s="13"/>
      <c r="AZ49" s="13">
        <v>7798</v>
      </c>
      <c r="BA49" s="13"/>
      <c r="BB49" s="13"/>
      <c r="BC49">
        <v>2</v>
      </c>
      <c r="BH49">
        <v>0</v>
      </c>
      <c r="BI49">
        <v>0</v>
      </c>
      <c r="BJ49">
        <v>0</v>
      </c>
      <c r="BK49">
        <v>0</v>
      </c>
      <c r="BL49" t="s">
        <v>2078</v>
      </c>
    </row>
    <row r="50" spans="1:64" x14ac:dyDescent="0.4">
      <c r="A50" s="30"/>
      <c r="B50" s="30">
        <v>42956.472222222219</v>
      </c>
      <c r="C50" t="s">
        <v>1621</v>
      </c>
      <c r="D50" t="s">
        <v>477</v>
      </c>
      <c r="E50" t="s">
        <v>578</v>
      </c>
      <c r="F50" t="s">
        <v>171</v>
      </c>
      <c r="G50" t="s">
        <v>169</v>
      </c>
      <c r="H50" s="21" t="s">
        <v>94</v>
      </c>
      <c r="I50" s="86">
        <v>1</v>
      </c>
      <c r="J50" s="86">
        <v>0</v>
      </c>
      <c r="K50" t="s">
        <v>1630</v>
      </c>
      <c r="L50" t="s">
        <v>604</v>
      </c>
      <c r="M50" t="s">
        <v>557</v>
      </c>
      <c r="N50" t="str">
        <f>IF(SUM(ckCodingTable[[#This Row],[NfmlPIs]:[NnonWhtAsnPIs]])&gt;0,"WMD","")</f>
        <v/>
      </c>
      <c r="O50" t="b">
        <f>_xlfn.XOR(IFERROR(MATCH(ckCodingTable[[#This Row],[st_code]],EpscorTable[],0)&gt;0,FALSE),IFERROR(FIND("9150",ckCodingTable[[#This Row],[propPRCs]])&gt;0,FALSE))</f>
        <v>0</v>
      </c>
      <c r="P50" s="21" t="b">
        <f>_xlfn.XOR(ckCodingTable[[#This Row],[wmd]]&lt;&gt;"",IFERROR(FIND("9102",ckCodingTable[[#This Row],[propPRCs]])&gt;0,FALSE))</f>
        <v>0</v>
      </c>
      <c r="Q50" t="s">
        <v>1631</v>
      </c>
      <c r="R50" s="22">
        <v>43082.662800925929</v>
      </c>
      <c r="S50" s="108">
        <f>S49+(ckCodingTable[[#This Row],[ILN]]&lt;"M")</f>
        <v>49</v>
      </c>
      <c r="T50" s="21" t="s">
        <v>95</v>
      </c>
      <c r="U50" t="s">
        <v>1147</v>
      </c>
      <c r="V50" s="7" t="str">
        <f>HYPERLINK("https://www.ejacket.nsf.gov/ej/showProposal.do?ID="&amp;ckCodingTable[[#This Row],[prop_id]],"eJ")</f>
        <v>eJ</v>
      </c>
      <c r="W50" t="s">
        <v>478</v>
      </c>
      <c r="X50" t="s">
        <v>1147</v>
      </c>
      <c r="Y50" t="s">
        <v>1148</v>
      </c>
      <c r="Z50" t="s">
        <v>1651</v>
      </c>
      <c r="AA50" t="s">
        <v>558</v>
      </c>
      <c r="AB50" s="111" t="str">
        <f>HYPERLINK("mailto:"&amp;ckCodingTable[[#This Row],[email]]&amp;"&amp;subject=Your NSF Proposal:  "&amp;ckCodingTable[[#This Row],[Div]]&amp;" "&amp;ckCodingTable[[#This Row],[prop_id]], ckCodingTable[[#This Row],[email]])</f>
        <v>hcharkhgard@usf.edu</v>
      </c>
      <c r="AC50" s="30">
        <v>43221</v>
      </c>
      <c r="AD50">
        <v>24</v>
      </c>
      <c r="AE50">
        <v>1</v>
      </c>
      <c r="AG50" s="112">
        <v>1</v>
      </c>
      <c r="AH50" t="s">
        <v>1652</v>
      </c>
      <c r="AI50" s="26">
        <v>5</v>
      </c>
      <c r="AJ50" s="22">
        <v>43031.770833333336</v>
      </c>
      <c r="AL50">
        <v>3</v>
      </c>
      <c r="AN50" s="112">
        <v>3</v>
      </c>
      <c r="AO50" s="112"/>
      <c r="AP50" s="112"/>
      <c r="AQ50" s="112"/>
      <c r="AR50" s="7" t="str">
        <f>HYPERLINK("https://www.ejacket.nsf.gov/ej/showProposal.do?ID="&amp;ckCodingTable[[#This Row],[prop_id]],"eJ")</f>
        <v>eJ</v>
      </c>
      <c r="AS50" t="s">
        <v>172</v>
      </c>
      <c r="AT50" t="s">
        <v>1653</v>
      </c>
      <c r="AU50" t="b">
        <f>IF(ckCodingTable[[#This Row],[ILN]]="N",SUBSTITUTE(AT49," ","")&lt;&gt;SUBSTITUTE(ckCodingTable[[#This Row],[prop_titl_txt]]," ",""), FALSE)</f>
        <v>0</v>
      </c>
      <c r="AV50">
        <v>0</v>
      </c>
      <c r="AW50" s="13">
        <v>172682</v>
      </c>
      <c r="AX50" s="13">
        <v>172682</v>
      </c>
      <c r="AY50" s="13"/>
      <c r="AZ50" s="13"/>
      <c r="BA50" s="13"/>
      <c r="BB50" s="13"/>
      <c r="BC50">
        <v>4</v>
      </c>
      <c r="BH50">
        <v>0</v>
      </c>
      <c r="BI50">
        <v>0</v>
      </c>
      <c r="BJ50">
        <v>0</v>
      </c>
      <c r="BK50">
        <v>0</v>
      </c>
      <c r="BL50" t="s">
        <v>1654</v>
      </c>
    </row>
    <row r="51" spans="1:64" x14ac:dyDescent="0.4">
      <c r="A51" s="30"/>
      <c r="B51" s="30">
        <v>42956.581944444442</v>
      </c>
      <c r="C51" t="s">
        <v>1621</v>
      </c>
      <c r="D51" t="s">
        <v>477</v>
      </c>
      <c r="E51" t="s">
        <v>578</v>
      </c>
      <c r="F51" t="s">
        <v>171</v>
      </c>
      <c r="G51" t="s">
        <v>169</v>
      </c>
      <c r="H51" s="21" t="s">
        <v>94</v>
      </c>
      <c r="I51" s="86">
        <v>1</v>
      </c>
      <c r="J51" s="86">
        <v>0</v>
      </c>
      <c r="K51" t="s">
        <v>1630</v>
      </c>
      <c r="L51" t="s">
        <v>654</v>
      </c>
      <c r="M51" t="s">
        <v>1470</v>
      </c>
      <c r="N51" t="str">
        <f>IF(SUM(ckCodingTable[[#This Row],[NfmlPIs]:[NnonWhtAsnPIs]])&gt;0,"WMD","")</f>
        <v/>
      </c>
      <c r="O51" t="b">
        <f>_xlfn.XOR(IFERROR(MATCH(ckCodingTable[[#This Row],[st_code]],EpscorTable[],0)&gt;0,FALSE),IFERROR(FIND("9150",ckCodingTable[[#This Row],[propPRCs]])&gt;0,FALSE))</f>
        <v>0</v>
      </c>
      <c r="P51" s="21" t="b">
        <f>_xlfn.XOR(ckCodingTable[[#This Row],[wmd]]&lt;&gt;"",IFERROR(FIND("9102",ckCodingTable[[#This Row],[propPRCs]])&gt;0,FALSE))</f>
        <v>0</v>
      </c>
      <c r="Q51" t="s">
        <v>1631</v>
      </c>
      <c r="S51" s="108">
        <f>S50+(ckCodingTable[[#This Row],[ILN]]&lt;"M")</f>
        <v>50</v>
      </c>
      <c r="T51" s="21" t="s">
        <v>95</v>
      </c>
      <c r="U51" t="s">
        <v>1155</v>
      </c>
      <c r="V51" s="7" t="str">
        <f>HYPERLINK("https://www.ejacket.nsf.gov/ej/showProposal.do?ID="&amp;ckCodingTable[[#This Row],[prop_id]],"eJ")</f>
        <v>eJ</v>
      </c>
      <c r="W51" t="s">
        <v>478</v>
      </c>
      <c r="X51" t="s">
        <v>1155</v>
      </c>
      <c r="Y51" t="s">
        <v>1156</v>
      </c>
      <c r="Z51" t="s">
        <v>1655</v>
      </c>
      <c r="AA51" t="s">
        <v>1656</v>
      </c>
      <c r="AB51" s="111" t="str">
        <f>HYPERLINK("mailto:"&amp;ckCodingTable[[#This Row],[email]]&amp;"&amp;subject=Your NSF Proposal:  "&amp;ckCodingTable[[#This Row],[Div]]&amp;" "&amp;ckCodingTable[[#This Row],[prop_id]], ckCodingTable[[#This Row],[email]])</f>
        <v>Mayank.Goswami@qc.cuny.edu</v>
      </c>
      <c r="AC51" s="30">
        <v>43344</v>
      </c>
      <c r="AD51">
        <v>24</v>
      </c>
      <c r="AE51">
        <v>1</v>
      </c>
      <c r="AG51" s="112">
        <v>1</v>
      </c>
      <c r="AH51" t="s">
        <v>1657</v>
      </c>
      <c r="AI51" s="26">
        <v>7</v>
      </c>
      <c r="AJ51" s="22">
        <v>43031.369444444441</v>
      </c>
      <c r="AK51" s="21">
        <v>1</v>
      </c>
      <c r="AL51">
        <v>3</v>
      </c>
      <c r="AN51" s="112">
        <v>3</v>
      </c>
      <c r="AO51" s="112"/>
      <c r="AP51" s="112"/>
      <c r="AQ51" s="112"/>
      <c r="AR51" s="7" t="str">
        <f>HYPERLINK("https://www.ejacket.nsf.gov/ej/showProposal.do?ID="&amp;ckCodingTable[[#This Row],[prop_id]],"eJ")</f>
        <v>eJ</v>
      </c>
      <c r="AS51" t="s">
        <v>172</v>
      </c>
      <c r="AT51" t="s">
        <v>1658</v>
      </c>
      <c r="AU51" t="b">
        <f>IF(ckCodingTable[[#This Row],[ILN]]="N",SUBSTITUTE(AT50," ","")&lt;&gt;SUBSTITUTE(ckCodingTable[[#This Row],[prop_titl_txt]]," ",""), FALSE)</f>
        <v>0</v>
      </c>
      <c r="AV51">
        <v>0</v>
      </c>
      <c r="AW51" s="13">
        <v>175000</v>
      </c>
      <c r="AX51" s="13">
        <v>175000</v>
      </c>
      <c r="AY51" s="13"/>
      <c r="AZ51" s="13">
        <v>10000</v>
      </c>
      <c r="BA51" s="13"/>
      <c r="BB51" s="13"/>
      <c r="BC51">
        <v>2</v>
      </c>
      <c r="BH51">
        <v>0</v>
      </c>
      <c r="BI51">
        <v>0</v>
      </c>
      <c r="BJ51">
        <v>0</v>
      </c>
      <c r="BK51">
        <v>0</v>
      </c>
      <c r="BL51" t="s">
        <v>1659</v>
      </c>
    </row>
    <row r="52" spans="1:64" x14ac:dyDescent="0.4">
      <c r="A52" s="30"/>
      <c r="B52" s="30">
        <v>42956.588888888888</v>
      </c>
      <c r="C52" t="s">
        <v>1621</v>
      </c>
      <c r="D52" t="s">
        <v>1622</v>
      </c>
      <c r="E52" t="s">
        <v>580</v>
      </c>
      <c r="F52" t="s">
        <v>171</v>
      </c>
      <c r="G52" t="s">
        <v>169</v>
      </c>
      <c r="H52" s="21" t="s">
        <v>94</v>
      </c>
      <c r="I52" s="86">
        <v>1</v>
      </c>
      <c r="J52" s="86">
        <v>0</v>
      </c>
      <c r="K52" t="s">
        <v>1623</v>
      </c>
      <c r="L52" t="s">
        <v>1166</v>
      </c>
      <c r="M52" t="s">
        <v>1632</v>
      </c>
      <c r="N52" t="str">
        <f>IF(SUM(ckCodingTable[[#This Row],[NfmlPIs]:[NnonWhtAsnPIs]])&gt;0,"WMD","")</f>
        <v/>
      </c>
      <c r="O52" t="b">
        <f>_xlfn.XOR(IFERROR(MATCH(ckCodingTable[[#This Row],[st_code]],EpscorTable[],0)&gt;0,FALSE),IFERROR(FIND("9150",ckCodingTable[[#This Row],[propPRCs]])&gt;0,FALSE))</f>
        <v>0</v>
      </c>
      <c r="P52" s="21" t="b">
        <f>_xlfn.XOR(ckCodingTable[[#This Row],[wmd]]&lt;&gt;"",IFERROR(FIND("9102",ckCodingTable[[#This Row],[propPRCs]])&gt;0,FALSE))</f>
        <v>0</v>
      </c>
      <c r="Q52" t="s">
        <v>1624</v>
      </c>
      <c r="S52" s="108">
        <f>S51+(ckCodingTable[[#This Row],[ILN]]&lt;"M")</f>
        <v>51</v>
      </c>
      <c r="T52" s="21" t="s">
        <v>95</v>
      </c>
      <c r="U52" t="s">
        <v>1164</v>
      </c>
      <c r="V52" s="7" t="str">
        <f>HYPERLINK("https://www.ejacket.nsf.gov/ej/showProposal.do?ID="&amp;ckCodingTable[[#This Row],[prop_id]],"eJ")</f>
        <v>eJ</v>
      </c>
      <c r="W52" t="s">
        <v>1625</v>
      </c>
      <c r="X52" t="s">
        <v>1164</v>
      </c>
      <c r="Y52" t="s">
        <v>1165</v>
      </c>
      <c r="Z52" t="s">
        <v>1660</v>
      </c>
      <c r="AA52" t="s">
        <v>1661</v>
      </c>
      <c r="AB52" s="111" t="str">
        <f>HYPERLINK("mailto:"&amp;ckCodingTable[[#This Row],[email]]&amp;"&amp;subject=Your NSF Proposal:  "&amp;ckCodingTable[[#This Row],[Div]]&amp;" "&amp;ckCodingTable[[#This Row],[prop_id]], ckCodingTable[[#This Row],[email]])</f>
        <v>tzhao80@gatech.edu</v>
      </c>
      <c r="AC52" s="30">
        <v>43235</v>
      </c>
      <c r="AD52">
        <v>24</v>
      </c>
      <c r="AE52">
        <v>2</v>
      </c>
      <c r="AG52" s="112">
        <v>2</v>
      </c>
      <c r="AH52" t="s">
        <v>1662</v>
      </c>
      <c r="AI52" s="26">
        <v>5</v>
      </c>
      <c r="AJ52" s="22">
        <v>43058.96597222222</v>
      </c>
      <c r="AK52" s="21">
        <v>2</v>
      </c>
      <c r="AL52">
        <v>7</v>
      </c>
      <c r="AN52" s="112">
        <v>7</v>
      </c>
      <c r="AO52" s="112"/>
      <c r="AP52" s="112"/>
      <c r="AQ52" s="112"/>
      <c r="AR52" s="7" t="str">
        <f>HYPERLINK("https://www.ejacket.nsf.gov/ej/showProposal.do?ID="&amp;ckCodingTable[[#This Row],[prop_id]],"eJ")</f>
        <v>eJ</v>
      </c>
      <c r="AS52" t="s">
        <v>172</v>
      </c>
      <c r="AT52" t="s">
        <v>1663</v>
      </c>
      <c r="AU52" t="b">
        <f>IF(ckCodingTable[[#This Row],[ILN]]="N",SUBSTITUTE(AT51," ","")&lt;&gt;SUBSTITUTE(ckCodingTable[[#This Row],[prop_titl_txt]]," ",""), FALSE)</f>
        <v>0</v>
      </c>
      <c r="AV52">
        <v>0</v>
      </c>
      <c r="AW52" s="13">
        <v>175000</v>
      </c>
      <c r="AX52" s="13">
        <v>175000</v>
      </c>
      <c r="AY52" s="13"/>
      <c r="AZ52" s="13"/>
      <c r="BA52" s="13"/>
      <c r="BB52" s="13"/>
      <c r="BC52">
        <v>6</v>
      </c>
      <c r="BH52">
        <v>0</v>
      </c>
      <c r="BI52">
        <v>0</v>
      </c>
      <c r="BJ52">
        <v>0</v>
      </c>
      <c r="BK52">
        <v>0</v>
      </c>
      <c r="BL52" t="s">
        <v>1664</v>
      </c>
    </row>
    <row r="53" spans="1:64" x14ac:dyDescent="0.4">
      <c r="A53" s="30"/>
      <c r="B53" s="30">
        <v>42956.621527777781</v>
      </c>
      <c r="C53" t="s">
        <v>1621</v>
      </c>
      <c r="D53" t="s">
        <v>477</v>
      </c>
      <c r="E53" t="s">
        <v>578</v>
      </c>
      <c r="F53" t="s">
        <v>171</v>
      </c>
      <c r="G53" t="s">
        <v>169</v>
      </c>
      <c r="H53" s="21" t="s">
        <v>94</v>
      </c>
      <c r="I53" s="86">
        <v>1</v>
      </c>
      <c r="J53" s="86">
        <v>0</v>
      </c>
      <c r="K53" t="s">
        <v>1630</v>
      </c>
      <c r="L53" t="s">
        <v>611</v>
      </c>
      <c r="M53" t="s">
        <v>306</v>
      </c>
      <c r="N53" t="str">
        <f>IF(SUM(ckCodingTable[[#This Row],[NfmlPIs]:[NnonWhtAsnPIs]])&gt;0,"WMD","")</f>
        <v/>
      </c>
      <c r="O53" t="b">
        <f>_xlfn.XOR(IFERROR(MATCH(ckCodingTable[[#This Row],[st_code]],EpscorTable[],0)&gt;0,FALSE),IFERROR(FIND("9150",ckCodingTable[[#This Row],[propPRCs]])&gt;0,FALSE))</f>
        <v>0</v>
      </c>
      <c r="P53" s="21" t="b">
        <f>_xlfn.XOR(ckCodingTable[[#This Row],[wmd]]&lt;&gt;"",IFERROR(FIND("9102",ckCodingTable[[#This Row],[propPRCs]])&gt;0,FALSE))</f>
        <v>0</v>
      </c>
      <c r="Q53" t="s">
        <v>1665</v>
      </c>
      <c r="S53" s="108">
        <f>S52+(ckCodingTable[[#This Row],[ILN]]&lt;"M")</f>
        <v>52</v>
      </c>
      <c r="T53" s="21" t="s">
        <v>95</v>
      </c>
      <c r="U53" t="s">
        <v>1194</v>
      </c>
      <c r="V53" s="7" t="str">
        <f>HYPERLINK("https://www.ejacket.nsf.gov/ej/showProposal.do?ID="&amp;ckCodingTable[[#This Row],[prop_id]],"eJ")</f>
        <v>eJ</v>
      </c>
      <c r="W53" t="s">
        <v>478</v>
      </c>
      <c r="X53" t="s">
        <v>1194</v>
      </c>
      <c r="Y53" t="s">
        <v>1195</v>
      </c>
      <c r="Z53" t="s">
        <v>1666</v>
      </c>
      <c r="AA53" t="s">
        <v>1477</v>
      </c>
      <c r="AB53" s="111" t="str">
        <f>HYPERLINK("mailto:"&amp;ckCodingTable[[#This Row],[email]]&amp;"&amp;subject=Your NSF Proposal:  "&amp;ckCodingTable[[#This Row],[Div]]&amp;" "&amp;ckCodingTable[[#This Row],[prop_id]], ckCodingTable[[#This Row],[email]])</f>
        <v>ruoyus@illinois.edu</v>
      </c>
      <c r="AC53" s="30">
        <v>43282</v>
      </c>
      <c r="AD53">
        <v>24</v>
      </c>
      <c r="AE53">
        <v>1</v>
      </c>
      <c r="AG53" s="112">
        <v>1</v>
      </c>
      <c r="AH53" t="s">
        <v>1667</v>
      </c>
      <c r="AI53" s="26">
        <v>6.333333333333333</v>
      </c>
      <c r="AJ53" s="22">
        <v>43031.767361111109</v>
      </c>
      <c r="AK53" s="21">
        <v>2</v>
      </c>
      <c r="AL53">
        <v>3</v>
      </c>
      <c r="AN53" s="112">
        <v>3</v>
      </c>
      <c r="AO53" s="112"/>
      <c r="AP53" s="112"/>
      <c r="AQ53" s="112"/>
      <c r="AR53" s="7" t="str">
        <f>HYPERLINK("https://www.ejacket.nsf.gov/ej/showProposal.do?ID="&amp;ckCodingTable[[#This Row],[prop_id]],"eJ")</f>
        <v>eJ</v>
      </c>
      <c r="AS53" t="s">
        <v>172</v>
      </c>
      <c r="AT53" t="s">
        <v>1668</v>
      </c>
      <c r="AU53" t="b">
        <f>IF(ckCodingTable[[#This Row],[ILN]]="N",SUBSTITUTE(AT52," ","")&lt;&gt;SUBSTITUTE(ckCodingTable[[#This Row],[prop_titl_txt]]," ",""), FALSE)</f>
        <v>0</v>
      </c>
      <c r="AV53">
        <v>0</v>
      </c>
      <c r="AW53" s="13">
        <v>175000</v>
      </c>
      <c r="AX53" s="13">
        <v>175000</v>
      </c>
      <c r="AY53" s="13"/>
      <c r="AZ53" s="13">
        <v>4000</v>
      </c>
      <c r="BA53" s="13"/>
      <c r="BB53" s="13"/>
      <c r="BC53">
        <v>4</v>
      </c>
      <c r="BH53">
        <v>0</v>
      </c>
      <c r="BI53">
        <v>0</v>
      </c>
      <c r="BJ53">
        <v>0</v>
      </c>
      <c r="BK53">
        <v>0</v>
      </c>
      <c r="BL53" t="s">
        <v>1669</v>
      </c>
    </row>
    <row r="54" spans="1:64" x14ac:dyDescent="0.4">
      <c r="A54" s="30"/>
      <c r="B54" s="30">
        <v>42956.647916666669</v>
      </c>
      <c r="C54" t="s">
        <v>1621</v>
      </c>
      <c r="D54" t="s">
        <v>477</v>
      </c>
      <c r="E54" t="s">
        <v>578</v>
      </c>
      <c r="F54" t="s">
        <v>171</v>
      </c>
      <c r="G54" t="s">
        <v>169</v>
      </c>
      <c r="H54" s="21" t="s">
        <v>94</v>
      </c>
      <c r="I54" s="86">
        <v>1</v>
      </c>
      <c r="J54" s="86">
        <v>0</v>
      </c>
      <c r="K54" t="s">
        <v>1630</v>
      </c>
      <c r="L54" t="s">
        <v>604</v>
      </c>
      <c r="M54" t="s">
        <v>117</v>
      </c>
      <c r="N54" t="str">
        <f>IF(SUM(ckCodingTable[[#This Row],[NfmlPIs]:[NnonWhtAsnPIs]])&gt;0,"WMD","")</f>
        <v/>
      </c>
      <c r="O54" t="b">
        <f>_xlfn.XOR(IFERROR(MATCH(ckCodingTable[[#This Row],[st_code]],EpscorTable[],0)&gt;0,FALSE),IFERROR(FIND("9150",ckCodingTable[[#This Row],[propPRCs]])&gt;0,FALSE))</f>
        <v>0</v>
      </c>
      <c r="P54" s="21" t="b">
        <f>_xlfn.XOR(ckCodingTable[[#This Row],[wmd]]&lt;&gt;"",IFERROR(FIND("9102",ckCodingTable[[#This Row],[propPRCs]])&gt;0,FALSE))</f>
        <v>0</v>
      </c>
      <c r="Q54" t="s">
        <v>1670</v>
      </c>
      <c r="R54" s="22">
        <v>43082.669189814813</v>
      </c>
      <c r="S54" s="108">
        <f>S53+(ckCodingTable[[#This Row],[ILN]]&lt;"M")</f>
        <v>53</v>
      </c>
      <c r="T54" s="21" t="s">
        <v>95</v>
      </c>
      <c r="U54" t="s">
        <v>1201</v>
      </c>
      <c r="V54" s="7" t="str">
        <f>HYPERLINK("https://www.ejacket.nsf.gov/ej/showProposal.do?ID="&amp;ckCodingTable[[#This Row],[prop_id]],"eJ")</f>
        <v>eJ</v>
      </c>
      <c r="W54" t="s">
        <v>478</v>
      </c>
      <c r="X54" t="s">
        <v>1201</v>
      </c>
      <c r="Y54" t="s">
        <v>1202</v>
      </c>
      <c r="Z54" t="s">
        <v>1671</v>
      </c>
      <c r="AA54" t="s">
        <v>1672</v>
      </c>
      <c r="AB54" s="111" t="str">
        <f>HYPERLINK("mailto:"&amp;ckCodingTable[[#This Row],[email]]&amp;"&amp;subject=Your NSF Proposal:  "&amp;ckCodingTable[[#This Row],[Div]]&amp;" "&amp;ckCodingTable[[#This Row],[prop_id]], ckCodingTable[[#This Row],[email]])</f>
        <v>osan@okstate.edu</v>
      </c>
      <c r="AC54" s="30">
        <v>43252</v>
      </c>
      <c r="AD54">
        <v>24</v>
      </c>
      <c r="AE54">
        <v>1</v>
      </c>
      <c r="AG54" s="112">
        <v>1</v>
      </c>
      <c r="AH54" t="s">
        <v>1673</v>
      </c>
      <c r="AI54" s="26">
        <v>5.333333333333333</v>
      </c>
      <c r="AJ54" s="22">
        <v>43031.741666666669</v>
      </c>
      <c r="AL54">
        <v>3</v>
      </c>
      <c r="AN54" s="112">
        <v>3</v>
      </c>
      <c r="AO54" s="112"/>
      <c r="AP54" s="112"/>
      <c r="AQ54" s="112"/>
      <c r="AR54" s="7" t="str">
        <f>HYPERLINK("https://www.ejacket.nsf.gov/ej/showProposal.do?ID="&amp;ckCodingTable[[#This Row],[prop_id]],"eJ")</f>
        <v>eJ</v>
      </c>
      <c r="AS54" t="s">
        <v>172</v>
      </c>
      <c r="AT54" t="s">
        <v>1674</v>
      </c>
      <c r="AU54" t="b">
        <f>IF(ckCodingTable[[#This Row],[ILN]]="N",SUBSTITUTE(AT53," ","")&lt;&gt;SUBSTITUTE(ckCodingTable[[#This Row],[prop_titl_txt]]," ",""), FALSE)</f>
        <v>0</v>
      </c>
      <c r="AV54">
        <v>0</v>
      </c>
      <c r="AW54" s="13">
        <v>170144</v>
      </c>
      <c r="AX54" s="13">
        <v>170144</v>
      </c>
      <c r="AY54" s="13"/>
      <c r="AZ54" s="13"/>
      <c r="BA54" s="13"/>
      <c r="BB54" s="13"/>
      <c r="BC54">
        <v>4</v>
      </c>
      <c r="BH54">
        <v>0</v>
      </c>
      <c r="BI54">
        <v>0</v>
      </c>
      <c r="BJ54">
        <v>0</v>
      </c>
      <c r="BK54">
        <v>0</v>
      </c>
      <c r="BL54" t="s">
        <v>1675</v>
      </c>
    </row>
    <row r="55" spans="1:64" x14ac:dyDescent="0.4">
      <c r="A55" s="30"/>
      <c r="B55" s="30">
        <v>42956.648611111108</v>
      </c>
      <c r="C55" t="s">
        <v>1621</v>
      </c>
      <c r="D55" t="s">
        <v>477</v>
      </c>
      <c r="E55" t="s">
        <v>578</v>
      </c>
      <c r="F55" t="s">
        <v>171</v>
      </c>
      <c r="G55" t="s">
        <v>169</v>
      </c>
      <c r="H55" s="21" t="s">
        <v>94</v>
      </c>
      <c r="I55" s="86">
        <v>1</v>
      </c>
      <c r="J55" s="86">
        <v>0</v>
      </c>
      <c r="K55" t="s">
        <v>1630</v>
      </c>
      <c r="L55" t="s">
        <v>611</v>
      </c>
      <c r="M55" t="s">
        <v>1470</v>
      </c>
      <c r="N55" t="str">
        <f>IF(SUM(ckCodingTable[[#This Row],[NfmlPIs]:[NnonWhtAsnPIs]])&gt;0,"WMD","")</f>
        <v/>
      </c>
      <c r="O55" t="b">
        <f>_xlfn.XOR(IFERROR(MATCH(ckCodingTable[[#This Row],[st_code]],EpscorTable[],0)&gt;0,FALSE),IFERROR(FIND("9150",ckCodingTable[[#This Row],[propPRCs]])&gt;0,FALSE))</f>
        <v>0</v>
      </c>
      <c r="P55" s="21" t="b">
        <f>_xlfn.XOR(ckCodingTable[[#This Row],[wmd]]&lt;&gt;"",IFERROR(FIND("9102",ckCodingTable[[#This Row],[propPRCs]])&gt;0,FALSE))</f>
        <v>0</v>
      </c>
      <c r="Q55" t="s">
        <v>1646</v>
      </c>
      <c r="R55" s="22">
        <v>43082.662939814814</v>
      </c>
      <c r="S55" s="108">
        <f>S54+(ckCodingTable[[#This Row],[ILN]]&lt;"M")</f>
        <v>54</v>
      </c>
      <c r="T55" s="21" t="s">
        <v>95</v>
      </c>
      <c r="U55" t="s">
        <v>1209</v>
      </c>
      <c r="V55" s="7" t="str">
        <f>HYPERLINK("https://www.ejacket.nsf.gov/ej/showProposal.do?ID="&amp;ckCodingTable[[#This Row],[prop_id]],"eJ")</f>
        <v>eJ</v>
      </c>
      <c r="W55" t="s">
        <v>478</v>
      </c>
      <c r="X55" t="s">
        <v>1209</v>
      </c>
      <c r="Y55" t="s">
        <v>1210</v>
      </c>
      <c r="Z55" t="s">
        <v>1651</v>
      </c>
      <c r="AA55" t="s">
        <v>1676</v>
      </c>
      <c r="AB55" s="111" t="str">
        <f>HYPERLINK("mailto:"&amp;ckCodingTable[[#This Row],[email]]&amp;"&amp;subject=Your NSF Proposal:  "&amp;ckCodingTable[[#This Row],[Div]]&amp;" "&amp;ckCodingTable[[#This Row],[prop_id]], ckCodingTable[[#This Row],[email]])</f>
        <v>hhvcs@rit.edu</v>
      </c>
      <c r="AC55" s="30">
        <v>43344</v>
      </c>
      <c r="AD55">
        <v>24</v>
      </c>
      <c r="AE55">
        <v>1</v>
      </c>
      <c r="AG55" s="112">
        <v>1</v>
      </c>
      <c r="AH55" t="s">
        <v>1677</v>
      </c>
      <c r="AI55" s="26">
        <v>5.666666666666667</v>
      </c>
      <c r="AJ55" s="22">
        <v>43059.231249999997</v>
      </c>
      <c r="AL55">
        <v>3</v>
      </c>
      <c r="AN55" s="112">
        <v>3</v>
      </c>
      <c r="AO55" s="112"/>
      <c r="AP55" s="112"/>
      <c r="AQ55" s="112"/>
      <c r="AR55" s="7" t="str">
        <f>HYPERLINK("https://www.ejacket.nsf.gov/ej/showProposal.do?ID="&amp;ckCodingTable[[#This Row],[prop_id]],"eJ")</f>
        <v>eJ</v>
      </c>
      <c r="AS55" t="s">
        <v>172</v>
      </c>
      <c r="AT55" t="s">
        <v>1678</v>
      </c>
      <c r="AU55" t="b">
        <f>IF(ckCodingTable[[#This Row],[ILN]]="N",SUBSTITUTE(AT54," ","")&lt;&gt;SUBSTITUTE(ckCodingTable[[#This Row],[prop_titl_txt]]," ",""), FALSE)</f>
        <v>0</v>
      </c>
      <c r="AV55">
        <v>0</v>
      </c>
      <c r="AW55" s="13">
        <v>173878</v>
      </c>
      <c r="AX55" s="13">
        <v>173878</v>
      </c>
      <c r="AY55" s="13"/>
      <c r="AZ55" s="13">
        <v>3000</v>
      </c>
      <c r="BA55" s="13"/>
      <c r="BB55" s="13"/>
      <c r="BC55">
        <v>2</v>
      </c>
      <c r="BH55">
        <v>0</v>
      </c>
      <c r="BI55">
        <v>0</v>
      </c>
      <c r="BJ55">
        <v>0</v>
      </c>
      <c r="BK55">
        <v>0</v>
      </c>
      <c r="BL55" t="s">
        <v>1679</v>
      </c>
    </row>
    <row r="56" spans="1:64" x14ac:dyDescent="0.4">
      <c r="A56" s="30"/>
      <c r="B56" s="30">
        <v>42956.678472222222</v>
      </c>
      <c r="C56" t="s">
        <v>1621</v>
      </c>
      <c r="D56" t="s">
        <v>477</v>
      </c>
      <c r="E56" t="s">
        <v>578</v>
      </c>
      <c r="F56" t="s">
        <v>171</v>
      </c>
      <c r="G56" t="s">
        <v>169</v>
      </c>
      <c r="H56" s="21" t="s">
        <v>94</v>
      </c>
      <c r="I56" s="86">
        <v>1</v>
      </c>
      <c r="J56" s="86">
        <v>0</v>
      </c>
      <c r="K56" t="s">
        <v>1630</v>
      </c>
      <c r="L56" t="s">
        <v>611</v>
      </c>
      <c r="M56" t="s">
        <v>306</v>
      </c>
      <c r="N56" t="str">
        <f>IF(SUM(ckCodingTable[[#This Row],[NfmlPIs]:[NnonWhtAsnPIs]])&gt;0,"WMD","")</f>
        <v/>
      </c>
      <c r="O56" t="b">
        <f>_xlfn.XOR(IFERROR(MATCH(ckCodingTable[[#This Row],[st_code]],EpscorTable[],0)&gt;0,FALSE),IFERROR(FIND("9150",ckCodingTable[[#This Row],[propPRCs]])&gt;0,FALSE))</f>
        <v>0</v>
      </c>
      <c r="P56" s="21" t="b">
        <f>_xlfn.XOR(ckCodingTable[[#This Row],[wmd]]&lt;&gt;"",IFERROR(FIND("9102",ckCodingTable[[#This Row],[propPRCs]])&gt;0,FALSE))</f>
        <v>0</v>
      </c>
      <c r="Q56" t="s">
        <v>1680</v>
      </c>
      <c r="S56" s="108">
        <f>S55+(ckCodingTable[[#This Row],[ILN]]&lt;"M")</f>
        <v>55</v>
      </c>
      <c r="T56" s="21" t="s">
        <v>95</v>
      </c>
      <c r="U56" t="s">
        <v>1217</v>
      </c>
      <c r="V56" s="7" t="str">
        <f>HYPERLINK("https://www.ejacket.nsf.gov/ej/showProposal.do?ID="&amp;ckCodingTable[[#This Row],[prop_id]],"eJ")</f>
        <v>eJ</v>
      </c>
      <c r="W56" t="s">
        <v>478</v>
      </c>
      <c r="X56" t="s">
        <v>1217</v>
      </c>
      <c r="Y56" t="s">
        <v>1218</v>
      </c>
      <c r="Z56" t="s">
        <v>1524</v>
      </c>
      <c r="AA56" t="s">
        <v>1477</v>
      </c>
      <c r="AB56" s="111" t="str">
        <f>HYPERLINK("mailto:"&amp;ckCodingTable[[#This Row],[email]]&amp;"&amp;subject=Your NSF Proposal:  "&amp;ckCodingTable[[#This Row],[Div]]&amp;" "&amp;ckCodingTable[[#This Row],[prop_id]], ckCodingTable[[#This Row],[email]])</f>
        <v>miforbes@illinois.edu</v>
      </c>
      <c r="AC56" s="30">
        <v>43101</v>
      </c>
      <c r="AD56">
        <v>24</v>
      </c>
      <c r="AE56">
        <v>1</v>
      </c>
      <c r="AG56" s="112">
        <v>1</v>
      </c>
      <c r="AH56" t="s">
        <v>1681</v>
      </c>
      <c r="AI56" s="26">
        <v>8.6666666666666661</v>
      </c>
      <c r="AJ56" s="22">
        <v>43060.395833333336</v>
      </c>
      <c r="AL56">
        <v>3</v>
      </c>
      <c r="AN56" s="112">
        <v>3</v>
      </c>
      <c r="AO56" s="112"/>
      <c r="AP56" s="112"/>
      <c r="AQ56" s="112"/>
      <c r="AR56" s="7" t="str">
        <f>HYPERLINK("https://www.ejacket.nsf.gov/ej/showProposal.do?ID="&amp;ckCodingTable[[#This Row],[prop_id]],"eJ")</f>
        <v>eJ</v>
      </c>
      <c r="AS56" t="s">
        <v>172</v>
      </c>
      <c r="AT56" t="s">
        <v>1682</v>
      </c>
      <c r="AU56" t="b">
        <f>IF(ckCodingTable[[#This Row],[ILN]]="N",SUBSTITUTE(AT55," ","")&lt;&gt;SUBSTITUTE(ckCodingTable[[#This Row],[prop_titl_txt]]," ",""), FALSE)</f>
        <v>0</v>
      </c>
      <c r="AV56">
        <v>0</v>
      </c>
      <c r="AW56" s="13">
        <v>175000</v>
      </c>
      <c r="AX56" s="13">
        <v>175000</v>
      </c>
      <c r="AY56" s="13"/>
      <c r="AZ56" s="13">
        <v>8737</v>
      </c>
      <c r="BA56" s="13"/>
      <c r="BB56" s="13"/>
      <c r="BC56">
        <v>2</v>
      </c>
      <c r="BH56">
        <v>0</v>
      </c>
      <c r="BI56">
        <v>0</v>
      </c>
      <c r="BJ56">
        <v>0</v>
      </c>
      <c r="BK56">
        <v>0</v>
      </c>
      <c r="BL56" t="s">
        <v>1683</v>
      </c>
    </row>
    <row r="57" spans="1:64" x14ac:dyDescent="0.4">
      <c r="A57" s="30"/>
      <c r="B57" s="30">
        <v>42956.695833333331</v>
      </c>
      <c r="C57" t="s">
        <v>1621</v>
      </c>
      <c r="D57" t="s">
        <v>477</v>
      </c>
      <c r="E57" t="s">
        <v>578</v>
      </c>
      <c r="F57" t="s">
        <v>171</v>
      </c>
      <c r="G57" t="s">
        <v>169</v>
      </c>
      <c r="H57" s="21" t="s">
        <v>94</v>
      </c>
      <c r="I57" s="86">
        <v>1</v>
      </c>
      <c r="J57" s="86">
        <v>0</v>
      </c>
      <c r="K57" t="s">
        <v>1630</v>
      </c>
      <c r="L57" t="s">
        <v>611</v>
      </c>
      <c r="M57" t="s">
        <v>562</v>
      </c>
      <c r="N57" t="str">
        <f>IF(SUM(ckCodingTable[[#This Row],[NfmlPIs]:[NnonWhtAsnPIs]])&gt;0,"WMD","")</f>
        <v>WMD</v>
      </c>
      <c r="O57" t="b">
        <f>_xlfn.XOR(IFERROR(MATCH(ckCodingTable[[#This Row],[st_code]],EpscorTable[],0)&gt;0,FALSE),IFERROR(FIND("9150",ckCodingTable[[#This Row],[propPRCs]])&gt;0,FALSE))</f>
        <v>0</v>
      </c>
      <c r="P57" s="21" t="b">
        <f>_xlfn.XOR(ckCodingTable[[#This Row],[wmd]]&lt;&gt;"",IFERROR(FIND("9102",ckCodingTable[[#This Row],[propPRCs]])&gt;0,FALSE))</f>
        <v>1</v>
      </c>
      <c r="Q57" t="s">
        <v>1646</v>
      </c>
      <c r="R57" s="22">
        <v>43082.66300925926</v>
      </c>
      <c r="S57" s="108">
        <f>S56+(ckCodingTable[[#This Row],[ILN]]&lt;"M")</f>
        <v>56</v>
      </c>
      <c r="T57" s="21" t="s">
        <v>95</v>
      </c>
      <c r="U57" t="s">
        <v>1224</v>
      </c>
      <c r="V57" s="7" t="str">
        <f>HYPERLINK("https://www.ejacket.nsf.gov/ej/showProposal.do?ID="&amp;ckCodingTable[[#This Row],[prop_id]],"eJ")</f>
        <v>eJ</v>
      </c>
      <c r="W57" t="s">
        <v>478</v>
      </c>
      <c r="X57" t="s">
        <v>1224</v>
      </c>
      <c r="Y57" t="s">
        <v>1225</v>
      </c>
      <c r="Z57" t="s">
        <v>1684</v>
      </c>
      <c r="AA57" t="s">
        <v>1685</v>
      </c>
      <c r="AB57" s="111" t="str">
        <f>HYPERLINK("mailto:"&amp;ckCodingTable[[#This Row],[email]]&amp;"&amp;subject=Your NSF Proposal:  "&amp;ckCodingTable[[#This Row],[Div]]&amp;" "&amp;ckCodingTable[[#This Row],[prop_id]], ckCodingTable[[#This Row],[email]])</f>
        <v>adres@asu.edu</v>
      </c>
      <c r="AC57" s="30">
        <v>43328</v>
      </c>
      <c r="AD57">
        <v>24</v>
      </c>
      <c r="AE57">
        <v>1</v>
      </c>
      <c r="AG57" s="112">
        <v>1</v>
      </c>
      <c r="AH57" t="s">
        <v>1686</v>
      </c>
      <c r="AI57" s="26">
        <v>5</v>
      </c>
      <c r="AJ57" s="22">
        <v>43058.972916666666</v>
      </c>
      <c r="AL57">
        <v>3</v>
      </c>
      <c r="AN57" s="112">
        <v>3</v>
      </c>
      <c r="AO57" s="112"/>
      <c r="AP57" s="112"/>
      <c r="AQ57" s="112"/>
      <c r="AR57" s="7" t="str">
        <f>HYPERLINK("https://www.ejacket.nsf.gov/ej/showProposal.do?ID="&amp;ckCodingTable[[#This Row],[prop_id]],"eJ")</f>
        <v>eJ</v>
      </c>
      <c r="AS57" t="s">
        <v>172</v>
      </c>
      <c r="AT57" t="s">
        <v>1687</v>
      </c>
      <c r="AU57" t="b">
        <f>IF(ckCodingTable[[#This Row],[ILN]]="N",SUBSTITUTE(AT56," ","")&lt;&gt;SUBSTITUTE(ckCodingTable[[#This Row],[prop_titl_txt]]," ",""), FALSE)</f>
        <v>0</v>
      </c>
      <c r="AV57">
        <v>0</v>
      </c>
      <c r="AW57" s="13">
        <v>175000</v>
      </c>
      <c r="AX57" s="13">
        <v>175000</v>
      </c>
      <c r="AY57" s="13"/>
      <c r="AZ57" s="13">
        <v>6581</v>
      </c>
      <c r="BA57" s="13"/>
      <c r="BB57" s="13"/>
      <c r="BC57">
        <v>3</v>
      </c>
      <c r="BH57">
        <v>0</v>
      </c>
      <c r="BI57">
        <v>1</v>
      </c>
      <c r="BJ57">
        <v>1</v>
      </c>
      <c r="BK57">
        <v>0</v>
      </c>
      <c r="BL57" t="s">
        <v>1688</v>
      </c>
    </row>
    <row r="58" spans="1:64" x14ac:dyDescent="0.4">
      <c r="A58" s="30"/>
      <c r="B58" s="30">
        <v>42956.697222222225</v>
      </c>
      <c r="C58" t="s">
        <v>1621</v>
      </c>
      <c r="D58" t="s">
        <v>477</v>
      </c>
      <c r="E58" t="s">
        <v>578</v>
      </c>
      <c r="F58" t="s">
        <v>171</v>
      </c>
      <c r="G58" t="s">
        <v>169</v>
      </c>
      <c r="H58" s="21" t="s">
        <v>94</v>
      </c>
      <c r="I58" s="86">
        <v>1</v>
      </c>
      <c r="J58" s="86">
        <v>0</v>
      </c>
      <c r="K58" t="s">
        <v>1630</v>
      </c>
      <c r="L58" t="s">
        <v>604</v>
      </c>
      <c r="M58" t="s">
        <v>310</v>
      </c>
      <c r="N58" t="str">
        <f>IF(SUM(ckCodingTable[[#This Row],[NfmlPIs]:[NnonWhtAsnPIs]])&gt;0,"WMD","")</f>
        <v>WMD</v>
      </c>
      <c r="O58" t="b">
        <f>_xlfn.XOR(IFERROR(MATCH(ckCodingTable[[#This Row],[st_code]],EpscorTable[],0)&gt;0,FALSE),IFERROR(FIND("9150",ckCodingTable[[#This Row],[propPRCs]])&gt;0,FALSE))</f>
        <v>0</v>
      </c>
      <c r="P58" s="21" t="b">
        <f>_xlfn.XOR(ckCodingTable[[#This Row],[wmd]]&lt;&gt;"",IFERROR(FIND("9102",ckCodingTable[[#This Row],[propPRCs]])&gt;0,FALSE))</f>
        <v>1</v>
      </c>
      <c r="Q58" t="s">
        <v>1665</v>
      </c>
      <c r="R58" s="22">
        <v>43076.608877314815</v>
      </c>
      <c r="S58" s="108">
        <f>S57+(ckCodingTable[[#This Row],[ILN]]&lt;"M")</f>
        <v>57</v>
      </c>
      <c r="T58" s="21" t="s">
        <v>95</v>
      </c>
      <c r="U58" t="s">
        <v>1232</v>
      </c>
      <c r="V58" s="7" t="str">
        <f>HYPERLINK("https://www.ejacket.nsf.gov/ej/showProposal.do?ID="&amp;ckCodingTable[[#This Row],[prop_id]],"eJ")</f>
        <v>eJ</v>
      </c>
      <c r="W58" t="s">
        <v>478</v>
      </c>
      <c r="X58" t="s">
        <v>1232</v>
      </c>
      <c r="Y58" t="s">
        <v>1233</v>
      </c>
      <c r="Z58" t="s">
        <v>1689</v>
      </c>
      <c r="AA58" t="s">
        <v>1690</v>
      </c>
      <c r="AB58" s="111" t="str">
        <f>HYPERLINK("mailto:"&amp;ckCodingTable[[#This Row],[email]]&amp;"&amp;subject=Your NSF Proposal:  "&amp;ckCodingTable[[#This Row],[Div]]&amp;" "&amp;ckCodingTable[[#This Row],[prop_id]], ckCodingTable[[#This Row],[email]])</f>
        <v>shima.hm@tamu.edu</v>
      </c>
      <c r="AC58" s="30">
        <v>43252</v>
      </c>
      <c r="AD58">
        <v>24</v>
      </c>
      <c r="AE58">
        <v>1</v>
      </c>
      <c r="AG58" s="112">
        <v>1</v>
      </c>
      <c r="AH58" t="s">
        <v>1691</v>
      </c>
      <c r="AI58" s="26">
        <v>5.333333333333333</v>
      </c>
      <c r="AJ58" s="22">
        <v>43032.675694444442</v>
      </c>
      <c r="AL58">
        <v>3</v>
      </c>
      <c r="AN58" s="112">
        <v>3</v>
      </c>
      <c r="AO58" s="112"/>
      <c r="AP58" s="112"/>
      <c r="AQ58" s="112"/>
      <c r="AR58" s="7" t="str">
        <f>HYPERLINK("https://www.ejacket.nsf.gov/ej/showProposal.do?ID="&amp;ckCodingTable[[#This Row],[prop_id]],"eJ")</f>
        <v>eJ</v>
      </c>
      <c r="AS58" t="s">
        <v>172</v>
      </c>
      <c r="AT58" t="s">
        <v>1692</v>
      </c>
      <c r="AU58" t="b">
        <f>IF(ckCodingTable[[#This Row],[ILN]]="N",SUBSTITUTE(AT57," ","")&lt;&gt;SUBSTITUTE(ckCodingTable[[#This Row],[prop_titl_txt]]," ",""), FALSE)</f>
        <v>0</v>
      </c>
      <c r="AV58">
        <v>0</v>
      </c>
      <c r="AW58" s="13">
        <v>175000</v>
      </c>
      <c r="AX58" s="13">
        <v>175000</v>
      </c>
      <c r="AY58" s="13"/>
      <c r="AZ58" s="13"/>
      <c r="BA58" s="13"/>
      <c r="BB58" s="13"/>
      <c r="BC58">
        <v>4</v>
      </c>
      <c r="BH58">
        <v>2</v>
      </c>
      <c r="BI58">
        <v>0</v>
      </c>
      <c r="BJ58">
        <v>0</v>
      </c>
      <c r="BK58">
        <v>0</v>
      </c>
      <c r="BL58" t="s">
        <v>1693</v>
      </c>
    </row>
    <row r="59" spans="1:64" x14ac:dyDescent="0.4">
      <c r="A59" s="30"/>
      <c r="B59" s="30">
        <v>42956.697916666664</v>
      </c>
      <c r="C59" t="s">
        <v>1621</v>
      </c>
      <c r="D59" t="s">
        <v>477</v>
      </c>
      <c r="E59" t="s">
        <v>578</v>
      </c>
      <c r="F59" t="s">
        <v>171</v>
      </c>
      <c r="G59" t="s">
        <v>169</v>
      </c>
      <c r="H59" s="21" t="s">
        <v>94</v>
      </c>
      <c r="I59" s="86">
        <v>1</v>
      </c>
      <c r="J59" s="86">
        <v>0</v>
      </c>
      <c r="K59" t="s">
        <v>1630</v>
      </c>
      <c r="L59" t="s">
        <v>611</v>
      </c>
      <c r="M59" t="s">
        <v>496</v>
      </c>
      <c r="N59" t="str">
        <f>IF(SUM(ckCodingTable[[#This Row],[NfmlPIs]:[NnonWhtAsnPIs]])&gt;0,"WMD","")</f>
        <v/>
      </c>
      <c r="O59" t="b">
        <f>_xlfn.XOR(IFERROR(MATCH(ckCodingTable[[#This Row],[st_code]],EpscorTable[],0)&gt;0,FALSE),IFERROR(FIND("9150",ckCodingTable[[#This Row],[propPRCs]])&gt;0,FALSE))</f>
        <v>0</v>
      </c>
      <c r="P59" s="21" t="b">
        <f>_xlfn.XOR(ckCodingTable[[#This Row],[wmd]]&lt;&gt;"",IFERROR(FIND("9102",ckCodingTable[[#This Row],[propPRCs]])&gt;0,FALSE))</f>
        <v>0</v>
      </c>
      <c r="Q59" t="s">
        <v>1646</v>
      </c>
      <c r="S59" s="108">
        <f>S58+(ckCodingTable[[#This Row],[ILN]]&lt;"M")</f>
        <v>58</v>
      </c>
      <c r="T59" s="21" t="s">
        <v>95</v>
      </c>
      <c r="U59" t="s">
        <v>1241</v>
      </c>
      <c r="V59" s="7" t="str">
        <f>HYPERLINK("https://www.ejacket.nsf.gov/ej/showProposal.do?ID="&amp;ckCodingTable[[#This Row],[prop_id]],"eJ")</f>
        <v>eJ</v>
      </c>
      <c r="W59" t="s">
        <v>478</v>
      </c>
      <c r="X59" t="s">
        <v>1241</v>
      </c>
      <c r="Y59" t="s">
        <v>1031</v>
      </c>
      <c r="Z59" t="s">
        <v>1593</v>
      </c>
      <c r="AA59" t="s">
        <v>1594</v>
      </c>
      <c r="AB59" s="111" t="str">
        <f>HYPERLINK("mailto:"&amp;ckCodingTable[[#This Row],[email]]&amp;"&amp;subject=Your NSF Proposal:  "&amp;ckCodingTable[[#This Row],[Div]]&amp;" "&amp;ckCodingTable[[#This Row],[prop_id]], ckCodingTable[[#This Row],[email]])</f>
        <v>gkatz@drexel.edu</v>
      </c>
      <c r="AC59" s="30">
        <v>43132</v>
      </c>
      <c r="AD59">
        <v>24</v>
      </c>
      <c r="AE59">
        <v>1</v>
      </c>
      <c r="AG59" s="112">
        <v>1</v>
      </c>
      <c r="AH59" t="s">
        <v>1657</v>
      </c>
      <c r="AI59" s="26">
        <v>7</v>
      </c>
      <c r="AJ59" s="22">
        <v>43060.397916666669</v>
      </c>
      <c r="AL59">
        <v>3</v>
      </c>
      <c r="AN59" s="112">
        <v>3</v>
      </c>
      <c r="AO59" s="112"/>
      <c r="AP59" s="112"/>
      <c r="AQ59" s="112"/>
      <c r="AR59" s="7" t="str">
        <f>HYPERLINK("https://www.ejacket.nsf.gov/ej/showProposal.do?ID="&amp;ckCodingTable[[#This Row],[prop_id]],"eJ")</f>
        <v>eJ</v>
      </c>
      <c r="AS59" t="s">
        <v>172</v>
      </c>
      <c r="AT59" t="s">
        <v>1694</v>
      </c>
      <c r="AU59" t="b">
        <f>IF(ckCodingTable[[#This Row],[ILN]]="N",SUBSTITUTE(AT58," ","")&lt;&gt;SUBSTITUTE(ckCodingTable[[#This Row],[prop_titl_txt]]," ",""), FALSE)</f>
        <v>0</v>
      </c>
      <c r="AV59">
        <v>0</v>
      </c>
      <c r="AW59" s="13">
        <v>174930</v>
      </c>
      <c r="AX59" s="13">
        <v>174930</v>
      </c>
      <c r="AY59" s="13"/>
      <c r="AZ59" s="13">
        <v>9000</v>
      </c>
      <c r="BA59" s="13"/>
      <c r="BB59" s="13"/>
      <c r="BC59">
        <v>2</v>
      </c>
      <c r="BH59">
        <v>0</v>
      </c>
      <c r="BI59">
        <v>0</v>
      </c>
      <c r="BJ59">
        <v>0</v>
      </c>
      <c r="BK59">
        <v>0</v>
      </c>
      <c r="BL59" t="s">
        <v>1288</v>
      </c>
    </row>
    <row r="60" spans="1:64" x14ac:dyDescent="0.4">
      <c r="A60" s="30"/>
      <c r="B60" s="30">
        <v>42956.717361111114</v>
      </c>
      <c r="C60" t="s">
        <v>1621</v>
      </c>
      <c r="D60" t="s">
        <v>477</v>
      </c>
      <c r="E60" t="s">
        <v>578</v>
      </c>
      <c r="F60" t="s">
        <v>171</v>
      </c>
      <c r="G60" t="s">
        <v>169</v>
      </c>
      <c r="H60" s="21" t="s">
        <v>94</v>
      </c>
      <c r="I60" s="86">
        <v>1</v>
      </c>
      <c r="J60" s="86">
        <v>0</v>
      </c>
      <c r="K60" t="s">
        <v>1630</v>
      </c>
      <c r="L60" t="s">
        <v>604</v>
      </c>
      <c r="M60" t="s">
        <v>310</v>
      </c>
      <c r="N60" t="str">
        <f>IF(SUM(ckCodingTable[[#This Row],[NfmlPIs]:[NnonWhtAsnPIs]])&gt;0,"WMD","")</f>
        <v/>
      </c>
      <c r="O60" t="b">
        <f>_xlfn.XOR(IFERROR(MATCH(ckCodingTable[[#This Row],[st_code]],EpscorTable[],0)&gt;0,FALSE),IFERROR(FIND("9150",ckCodingTable[[#This Row],[propPRCs]])&gt;0,FALSE))</f>
        <v>0</v>
      </c>
      <c r="P60" s="21" t="b">
        <f>_xlfn.XOR(ckCodingTable[[#This Row],[wmd]]&lt;&gt;"",IFERROR(FIND("9102",ckCodingTable[[#This Row],[propPRCs]])&gt;0,FALSE))</f>
        <v>0</v>
      </c>
      <c r="Q60" t="s">
        <v>598</v>
      </c>
      <c r="R60" s="22">
        <v>43076.608923611115</v>
      </c>
      <c r="S60" s="108">
        <f>S59+(ckCodingTable[[#This Row],[ILN]]&lt;"M")</f>
        <v>59</v>
      </c>
      <c r="T60" s="21" t="s">
        <v>95</v>
      </c>
      <c r="U60" t="s">
        <v>1247</v>
      </c>
      <c r="V60" s="7" t="str">
        <f>HYPERLINK("https://www.ejacket.nsf.gov/ej/showProposal.do?ID="&amp;ckCodingTable[[#This Row],[prop_id]],"eJ")</f>
        <v>eJ</v>
      </c>
      <c r="W60" t="s">
        <v>478</v>
      </c>
      <c r="X60" t="s">
        <v>1247</v>
      </c>
      <c r="Y60" t="s">
        <v>1248</v>
      </c>
      <c r="Z60" t="s">
        <v>1695</v>
      </c>
      <c r="AA60" t="s">
        <v>1696</v>
      </c>
      <c r="AB60" s="111" t="str">
        <f>HYPERLINK("mailto:"&amp;ckCodingTable[[#This Row],[email]]&amp;"&amp;subject=Your NSF Proposal:  "&amp;ckCodingTable[[#This Row],[Div]]&amp;" "&amp;ckCodingTable[[#This Row],[prop_id]], ckCodingTable[[#This Row],[email]])</f>
        <v>harsha@smu.edu</v>
      </c>
      <c r="AC60" s="30">
        <v>43101</v>
      </c>
      <c r="AD60">
        <v>24</v>
      </c>
      <c r="AE60">
        <v>1</v>
      </c>
      <c r="AG60" s="112">
        <v>1</v>
      </c>
      <c r="AH60" t="s">
        <v>1697</v>
      </c>
      <c r="AI60" s="26">
        <v>4.666666666666667</v>
      </c>
      <c r="AJ60" s="22">
        <v>43031.75</v>
      </c>
      <c r="AL60">
        <v>3</v>
      </c>
      <c r="AN60" s="112">
        <v>3</v>
      </c>
      <c r="AO60" s="112"/>
      <c r="AP60" s="112"/>
      <c r="AQ60" s="112"/>
      <c r="AR60" s="7" t="str">
        <f>HYPERLINK("https://www.ejacket.nsf.gov/ej/showProposal.do?ID="&amp;ckCodingTable[[#This Row],[prop_id]],"eJ")</f>
        <v>eJ</v>
      </c>
      <c r="AS60" t="s">
        <v>172</v>
      </c>
      <c r="AT60" t="s">
        <v>1698</v>
      </c>
      <c r="AU60" t="b">
        <f>IF(ckCodingTable[[#This Row],[ILN]]="N",SUBSTITUTE(AT59," ","")&lt;&gt;SUBSTITUTE(ckCodingTable[[#This Row],[prop_titl_txt]]," ",""), FALSE)</f>
        <v>0</v>
      </c>
      <c r="AV60">
        <v>0</v>
      </c>
      <c r="AW60" s="13">
        <v>175000</v>
      </c>
      <c r="AX60" s="13">
        <v>175000</v>
      </c>
      <c r="AY60" s="13"/>
      <c r="AZ60" s="13"/>
      <c r="BA60" s="13"/>
      <c r="BB60" s="13"/>
      <c r="BC60">
        <v>4</v>
      </c>
      <c r="BH60">
        <v>0</v>
      </c>
      <c r="BI60">
        <v>0</v>
      </c>
      <c r="BJ60">
        <v>0</v>
      </c>
      <c r="BK60">
        <v>0</v>
      </c>
      <c r="BL60" t="s">
        <v>1699</v>
      </c>
    </row>
    <row r="61" spans="1:64" x14ac:dyDescent="0.4">
      <c r="A61" s="30"/>
      <c r="B61" s="30">
        <v>42956.746527777781</v>
      </c>
      <c r="C61" t="s">
        <v>1621</v>
      </c>
      <c r="D61" t="s">
        <v>477</v>
      </c>
      <c r="E61" t="s">
        <v>578</v>
      </c>
      <c r="F61" t="s">
        <v>171</v>
      </c>
      <c r="G61" t="s">
        <v>169</v>
      </c>
      <c r="H61" s="21" t="s">
        <v>94</v>
      </c>
      <c r="I61" s="86">
        <v>1</v>
      </c>
      <c r="J61" s="86">
        <v>0</v>
      </c>
      <c r="K61" t="s">
        <v>1630</v>
      </c>
      <c r="L61" t="s">
        <v>654</v>
      </c>
      <c r="M61" t="s">
        <v>310</v>
      </c>
      <c r="N61" t="str">
        <f>IF(SUM(ckCodingTable[[#This Row],[NfmlPIs]:[NnonWhtAsnPIs]])&gt;0,"WMD","")</f>
        <v/>
      </c>
      <c r="O61" t="b">
        <f>_xlfn.XOR(IFERROR(MATCH(ckCodingTable[[#This Row],[st_code]],EpscorTable[],0)&gt;0,FALSE),IFERROR(FIND("9150",ckCodingTable[[#This Row],[propPRCs]])&gt;0,FALSE))</f>
        <v>0</v>
      </c>
      <c r="P61" s="21" t="b">
        <f>_xlfn.XOR(ckCodingTable[[#This Row],[wmd]]&lt;&gt;"",IFERROR(FIND("9102",ckCodingTable[[#This Row],[propPRCs]])&gt;0,FALSE))</f>
        <v>0</v>
      </c>
      <c r="Q61" t="s">
        <v>1631</v>
      </c>
      <c r="S61" s="108">
        <f>S60+(ckCodingTable[[#This Row],[ILN]]&lt;"M")</f>
        <v>60</v>
      </c>
      <c r="T61" s="21" t="s">
        <v>95</v>
      </c>
      <c r="U61" t="s">
        <v>1255</v>
      </c>
      <c r="V61" s="7" t="str">
        <f>HYPERLINK("https://www.ejacket.nsf.gov/ej/showProposal.do?ID="&amp;ckCodingTable[[#This Row],[prop_id]],"eJ")</f>
        <v>eJ</v>
      </c>
      <c r="W61" t="s">
        <v>478</v>
      </c>
      <c r="X61" t="s">
        <v>1255</v>
      </c>
      <c r="Y61" t="s">
        <v>750</v>
      </c>
      <c r="Z61" t="s">
        <v>1700</v>
      </c>
      <c r="AA61" t="s">
        <v>1701</v>
      </c>
      <c r="AB61" s="111" t="str">
        <f>HYPERLINK("mailto:"&amp;ckCodingTable[[#This Row],[email]]&amp;"&amp;subject=Your NSF Proposal:  "&amp;ckCodingTable[[#This Row],[Div]]&amp;" "&amp;ckCodingTable[[#This Row],[prop_id]], ckCodingTable[[#This Row],[email]])</f>
        <v>lchen49@central.uh.edu</v>
      </c>
      <c r="AC61" s="30">
        <v>43252</v>
      </c>
      <c r="AD61">
        <v>24</v>
      </c>
      <c r="AE61">
        <v>1</v>
      </c>
      <c r="AG61" s="112">
        <v>1</v>
      </c>
      <c r="AH61" t="s">
        <v>1643</v>
      </c>
      <c r="AI61" s="26">
        <v>6</v>
      </c>
      <c r="AJ61" s="22">
        <v>43031.734027777777</v>
      </c>
      <c r="AL61">
        <v>3</v>
      </c>
      <c r="AN61" s="112">
        <v>3</v>
      </c>
      <c r="AO61" s="112"/>
      <c r="AP61" s="112"/>
      <c r="AQ61" s="112"/>
      <c r="AR61" s="7" t="str">
        <f>HYPERLINK("https://www.ejacket.nsf.gov/ej/showProposal.do?ID="&amp;ckCodingTable[[#This Row],[prop_id]],"eJ")</f>
        <v>eJ</v>
      </c>
      <c r="AS61" t="s">
        <v>172</v>
      </c>
      <c r="AT61" t="s">
        <v>1702</v>
      </c>
      <c r="AU61" t="b">
        <f>IF(ckCodingTable[[#This Row],[ILN]]="N",SUBSTITUTE(AT60," ","")&lt;&gt;SUBSTITUTE(ckCodingTable[[#This Row],[prop_titl_txt]]," ",""), FALSE)</f>
        <v>0</v>
      </c>
      <c r="AV61">
        <v>0</v>
      </c>
      <c r="AW61" s="13">
        <v>148477</v>
      </c>
      <c r="AX61" s="13">
        <v>148477</v>
      </c>
      <c r="AY61" s="13"/>
      <c r="AZ61" s="13">
        <v>7000</v>
      </c>
      <c r="BA61" s="13"/>
      <c r="BB61" s="13"/>
      <c r="BC61">
        <v>3</v>
      </c>
      <c r="BH61">
        <v>0</v>
      </c>
      <c r="BI61">
        <v>0</v>
      </c>
      <c r="BJ61">
        <v>0</v>
      </c>
      <c r="BK61">
        <v>0</v>
      </c>
      <c r="BL61" t="s">
        <v>1703</v>
      </c>
    </row>
    <row r="62" spans="1:64" x14ac:dyDescent="0.4">
      <c r="A62" s="30"/>
      <c r="B62" s="30">
        <v>43003.681944444441</v>
      </c>
      <c r="C62" t="s">
        <v>524</v>
      </c>
      <c r="D62" t="s">
        <v>477</v>
      </c>
      <c r="E62" t="s">
        <v>582</v>
      </c>
      <c r="F62" t="s">
        <v>171</v>
      </c>
      <c r="G62" t="s">
        <v>169</v>
      </c>
      <c r="H62" s="21" t="s">
        <v>94</v>
      </c>
      <c r="I62" s="86">
        <v>1</v>
      </c>
      <c r="J62" s="86">
        <v>0</v>
      </c>
      <c r="K62" t="s">
        <v>525</v>
      </c>
      <c r="L62" t="s">
        <v>611</v>
      </c>
      <c r="M62" t="s">
        <v>496</v>
      </c>
      <c r="N62" t="str">
        <f>IF(SUM(ckCodingTable[[#This Row],[NfmlPIs]:[NnonWhtAsnPIs]])&gt;0,"WMD","")</f>
        <v/>
      </c>
      <c r="O62" t="b">
        <f>_xlfn.XOR(IFERROR(MATCH(ckCodingTable[[#This Row],[st_code]],EpscorTable[],0)&gt;0,FALSE),IFERROR(FIND("9150",ckCodingTable[[#This Row],[propPRCs]])&gt;0,FALSE))</f>
        <v>0</v>
      </c>
      <c r="P62" s="21" t="b">
        <f>_xlfn.XOR(ckCodingTable[[#This Row],[wmd]]&lt;&gt;"",IFERROR(FIND("9102",ckCodingTable[[#This Row],[propPRCs]])&gt;0,FALSE))</f>
        <v>0</v>
      </c>
      <c r="Q62" t="s">
        <v>1704</v>
      </c>
      <c r="S62" s="108">
        <f>S61+(ckCodingTable[[#This Row],[ILN]]&lt;"M")</f>
        <v>61</v>
      </c>
      <c r="T62" s="21" t="s">
        <v>491</v>
      </c>
      <c r="U62" t="s">
        <v>1260</v>
      </c>
      <c r="V62" s="7" t="str">
        <f>HYPERLINK("https://www.ejacket.nsf.gov/ej/showProposal.do?ID="&amp;ckCodingTable[[#This Row],[prop_id]],"eJ")</f>
        <v>eJ</v>
      </c>
      <c r="W62" t="s">
        <v>478</v>
      </c>
      <c r="X62" t="s">
        <v>1260</v>
      </c>
      <c r="Y62" t="s">
        <v>1261</v>
      </c>
      <c r="Z62" t="s">
        <v>1705</v>
      </c>
      <c r="AA62" t="s">
        <v>497</v>
      </c>
      <c r="AB62" s="111" t="str">
        <f>HYPERLINK("mailto:"&amp;ckCodingTable[[#This Row],[email]]&amp;"&amp;subject=Your NSF Proposal:  "&amp;ckCodingTable[[#This Row],[Div]]&amp;" "&amp;ckCodingTable[[#This Row],[prop_id]], ckCodingTable[[#This Row],[email]])</f>
        <v>anupamg@cs.cmu.edu</v>
      </c>
      <c r="AC62" s="30">
        <v>43344</v>
      </c>
      <c r="AD62">
        <v>48</v>
      </c>
      <c r="AE62">
        <v>1</v>
      </c>
      <c r="AG62" s="112">
        <v>1</v>
      </c>
      <c r="AH62" t="s">
        <v>526</v>
      </c>
      <c r="AI62" s="26">
        <v>6.25</v>
      </c>
      <c r="AJ62" s="22">
        <v>43080.080555555556</v>
      </c>
      <c r="AL62">
        <v>4</v>
      </c>
      <c r="AN62" s="112">
        <v>4</v>
      </c>
      <c r="AO62" s="112"/>
      <c r="AP62" s="112"/>
      <c r="AQ62" s="112"/>
      <c r="AR62" s="7" t="str">
        <f>HYPERLINK("https://www.ejacket.nsf.gov/ej/showProposal.do?ID="&amp;ckCodingTable[[#This Row],[prop_id]],"eJ")</f>
        <v>eJ</v>
      </c>
      <c r="AS62" t="s">
        <v>172</v>
      </c>
      <c r="AT62" t="s">
        <v>1706</v>
      </c>
      <c r="AU62" t="b">
        <f>IF(ckCodingTable[[#This Row],[ILN]]="N",SUBSTITUTE(AT61," ","")&lt;&gt;SUBSTITUTE(ckCodingTable[[#This Row],[prop_titl_txt]]," ",""), FALSE)</f>
        <v>0</v>
      </c>
      <c r="AV62">
        <v>0</v>
      </c>
      <c r="AW62" s="13">
        <v>600000</v>
      </c>
      <c r="AX62" s="13">
        <v>600000</v>
      </c>
      <c r="AY62" s="13"/>
      <c r="AZ62" s="13"/>
      <c r="BA62" s="13"/>
      <c r="BB62" s="13"/>
      <c r="BC62">
        <v>4</v>
      </c>
      <c r="BD62">
        <v>4</v>
      </c>
      <c r="BE62">
        <v>4</v>
      </c>
      <c r="BH62">
        <v>0</v>
      </c>
      <c r="BI62">
        <v>0</v>
      </c>
      <c r="BJ62">
        <v>0</v>
      </c>
      <c r="BK62">
        <v>0</v>
      </c>
      <c r="BL62" t="s">
        <v>1707</v>
      </c>
    </row>
    <row r="63" spans="1:64" x14ac:dyDescent="0.4">
      <c r="A63" s="30"/>
      <c r="B63" s="30">
        <v>43004.43472222222</v>
      </c>
      <c r="C63" t="s">
        <v>524</v>
      </c>
      <c r="D63" t="s">
        <v>477</v>
      </c>
      <c r="E63" t="s">
        <v>582</v>
      </c>
      <c r="F63" t="s">
        <v>171</v>
      </c>
      <c r="G63" t="s">
        <v>169</v>
      </c>
      <c r="H63" s="21" t="s">
        <v>94</v>
      </c>
      <c r="I63" s="86">
        <v>1</v>
      </c>
      <c r="J63" s="86">
        <v>0</v>
      </c>
      <c r="K63" t="s">
        <v>525</v>
      </c>
      <c r="L63" t="s">
        <v>611</v>
      </c>
      <c r="M63" t="s">
        <v>308</v>
      </c>
      <c r="N63" t="str">
        <f>IF(SUM(ckCodingTable[[#This Row],[NfmlPIs]:[NnonWhtAsnPIs]])&gt;0,"WMD","")</f>
        <v/>
      </c>
      <c r="O63" t="b">
        <f>_xlfn.XOR(IFERROR(MATCH(ckCodingTable[[#This Row],[st_code]],EpscorTable[],0)&gt;0,FALSE),IFERROR(FIND("9150",ckCodingTable[[#This Row],[propPRCs]])&gt;0,FALSE))</f>
        <v>0</v>
      </c>
      <c r="P63" s="21" t="b">
        <f>_xlfn.XOR(ckCodingTable[[#This Row],[wmd]]&lt;&gt;"",IFERROR(FIND("9102",ckCodingTable[[#This Row],[propPRCs]])&gt;0,FALSE))</f>
        <v>0</v>
      </c>
      <c r="Q63" t="s">
        <v>1704</v>
      </c>
      <c r="S63" s="108">
        <f>S62+(ckCodingTable[[#This Row],[ILN]]&lt;"M")</f>
        <v>61</v>
      </c>
      <c r="T63" s="21" t="s">
        <v>493</v>
      </c>
      <c r="U63" t="s">
        <v>1260</v>
      </c>
      <c r="V63" s="7" t="str">
        <f>HYPERLINK("https://www.ejacket.nsf.gov/ej/showProposal.do?ID="&amp;ckCodingTable[[#This Row],[prop_id]],"eJ")</f>
        <v>eJ</v>
      </c>
      <c r="W63" t="s">
        <v>478</v>
      </c>
      <c r="X63" t="s">
        <v>1708</v>
      </c>
      <c r="Y63" t="s">
        <v>844</v>
      </c>
      <c r="Z63" t="s">
        <v>1516</v>
      </c>
      <c r="AA63" t="s">
        <v>307</v>
      </c>
      <c r="AB63" s="111" t="str">
        <f>HYPERLINK("mailto:"&amp;ckCodingTable[[#This Row],[email]]&amp;"&amp;subject=Your NSF Proposal:  "&amp;ckCodingTable[[#This Row],[Div]]&amp;" "&amp;ckCodingTable[[#This Row],[prop_id]], ckCodingTable[[#This Row],[email]])</f>
        <v>viswa@umich.edu</v>
      </c>
      <c r="AC63" s="30">
        <v>43344</v>
      </c>
      <c r="AD63">
        <v>48</v>
      </c>
      <c r="AG63" s="112"/>
      <c r="AI63" s="26"/>
      <c r="AJ63" s="22"/>
      <c r="AN63" s="112"/>
      <c r="AO63" s="112"/>
      <c r="AP63" s="112"/>
      <c r="AQ63" s="112"/>
      <c r="AR63" s="7" t="str">
        <f>HYPERLINK("https://www.ejacket.nsf.gov/ej/showProposal.do?ID="&amp;ckCodingTable[[#This Row],[prop_id]],"eJ")</f>
        <v>eJ</v>
      </c>
      <c r="AS63" t="s">
        <v>172</v>
      </c>
      <c r="AT63" t="s">
        <v>1706</v>
      </c>
      <c r="AU63" t="b">
        <f>IF(ckCodingTable[[#This Row],[ILN]]="N",SUBSTITUTE(AT62," ","")&lt;&gt;SUBSTITUTE(ckCodingTable[[#This Row],[prop_titl_txt]]," ",""), FALSE)</f>
        <v>0</v>
      </c>
      <c r="AV63">
        <v>0</v>
      </c>
      <c r="AW63" s="13">
        <v>599999</v>
      </c>
      <c r="AX63" s="13">
        <v>599999</v>
      </c>
      <c r="AY63" s="13"/>
      <c r="AZ63" s="13"/>
      <c r="BA63" s="13"/>
      <c r="BB63" s="13"/>
      <c r="BC63">
        <v>7</v>
      </c>
      <c r="BD63">
        <v>4</v>
      </c>
      <c r="BG63">
        <v>4</v>
      </c>
      <c r="BH63">
        <v>0</v>
      </c>
      <c r="BI63">
        <v>0</v>
      </c>
      <c r="BJ63">
        <v>0</v>
      </c>
      <c r="BK63">
        <v>0</v>
      </c>
      <c r="BL63" t="s">
        <v>1518</v>
      </c>
    </row>
    <row r="64" spans="1:64" x14ac:dyDescent="0.4">
      <c r="A64" s="30"/>
      <c r="B64" s="30">
        <v>43003.736805555556</v>
      </c>
      <c r="C64" t="s">
        <v>524</v>
      </c>
      <c r="D64" t="s">
        <v>477</v>
      </c>
      <c r="E64" t="s">
        <v>582</v>
      </c>
      <c r="F64" t="s">
        <v>171</v>
      </c>
      <c r="G64" t="s">
        <v>169</v>
      </c>
      <c r="H64" s="21" t="s">
        <v>94</v>
      </c>
      <c r="I64" s="86">
        <v>1</v>
      </c>
      <c r="J64" s="86">
        <v>0</v>
      </c>
      <c r="K64" t="s">
        <v>525</v>
      </c>
      <c r="L64" t="s">
        <v>654</v>
      </c>
      <c r="M64" t="s">
        <v>230</v>
      </c>
      <c r="N64" t="str">
        <f>IF(SUM(ckCodingTable[[#This Row],[NfmlPIs]:[NnonWhtAsnPIs]])&gt;0,"WMD","")</f>
        <v>WMD</v>
      </c>
      <c r="O64" t="b">
        <f>_xlfn.XOR(IFERROR(MATCH(ckCodingTable[[#This Row],[st_code]],EpscorTable[],0)&gt;0,FALSE),IFERROR(FIND("9150",ckCodingTable[[#This Row],[propPRCs]])&gt;0,FALSE))</f>
        <v>0</v>
      </c>
      <c r="P64" s="21" t="b">
        <f>_xlfn.XOR(ckCodingTable[[#This Row],[wmd]]&lt;&gt;"",IFERROR(FIND("9102",ckCodingTable[[#This Row],[propPRCs]])&gt;0,FALSE))</f>
        <v>1</v>
      </c>
      <c r="Q64" t="s">
        <v>1704</v>
      </c>
      <c r="R64" s="22">
        <v>43082.529826388891</v>
      </c>
      <c r="S64" s="108">
        <f>S63+(ckCodingTable[[#This Row],[ILN]]&lt;"M")</f>
        <v>62</v>
      </c>
      <c r="T64" s="21" t="s">
        <v>95</v>
      </c>
      <c r="U64" t="s">
        <v>1279</v>
      </c>
      <c r="V64" s="7" t="str">
        <f>HYPERLINK("https://www.ejacket.nsf.gov/ej/showProposal.do?ID="&amp;ckCodingTable[[#This Row],[prop_id]],"eJ")</f>
        <v>eJ</v>
      </c>
      <c r="W64" t="s">
        <v>478</v>
      </c>
      <c r="X64" t="s">
        <v>1279</v>
      </c>
      <c r="Y64" t="s">
        <v>1280</v>
      </c>
      <c r="Z64" t="s">
        <v>1524</v>
      </c>
      <c r="AA64" t="s">
        <v>1709</v>
      </c>
      <c r="AB64" s="111" t="str">
        <f>HYPERLINK("mailto:"&amp;ckCodingTable[[#This Row],[email]]&amp;"&amp;subject=Your NSF Proposal:  "&amp;ckCodingTable[[#This Row],[Div]]&amp;" "&amp;ckCodingTable[[#This Row],[prop_id]], ckCodingTable[[#This Row],[email]])</f>
        <v>goodrich@acm.org</v>
      </c>
      <c r="AC64" s="30">
        <v>43282</v>
      </c>
      <c r="AD64">
        <v>48</v>
      </c>
      <c r="AE64">
        <v>1</v>
      </c>
      <c r="AG64" s="112">
        <v>1</v>
      </c>
      <c r="AH64" t="s">
        <v>531</v>
      </c>
      <c r="AI64" s="26">
        <v>5.75</v>
      </c>
      <c r="AJ64" s="22">
        <v>43081.234722222223</v>
      </c>
      <c r="AL64">
        <v>4</v>
      </c>
      <c r="AN64" s="112">
        <v>4</v>
      </c>
      <c r="AO64" s="112"/>
      <c r="AP64" s="112"/>
      <c r="AQ64" s="112"/>
      <c r="AR64" s="7" t="str">
        <f>HYPERLINK("https://www.ejacket.nsf.gov/ej/showProposal.do?ID="&amp;ckCodingTable[[#This Row],[prop_id]],"eJ")</f>
        <v>eJ</v>
      </c>
      <c r="AS64" t="s">
        <v>172</v>
      </c>
      <c r="AT64" t="s">
        <v>1710</v>
      </c>
      <c r="AU64" t="b">
        <f>IF(ckCodingTable[[#This Row],[ILN]]="N",SUBSTITUTE(AT63," ","")&lt;&gt;SUBSTITUTE(ckCodingTable[[#This Row],[prop_titl_txt]]," ",""), FALSE)</f>
        <v>0</v>
      </c>
      <c r="AV64">
        <v>0</v>
      </c>
      <c r="AW64" s="13">
        <v>1199544</v>
      </c>
      <c r="AX64" s="13">
        <v>1199544</v>
      </c>
      <c r="AY64" s="13"/>
      <c r="AZ64" s="13">
        <v>33265</v>
      </c>
      <c r="BA64" s="13"/>
      <c r="BB64" s="13"/>
      <c r="BC64">
        <v>8</v>
      </c>
      <c r="BD64">
        <v>12</v>
      </c>
      <c r="BE64">
        <v>12</v>
      </c>
      <c r="BH64">
        <v>2</v>
      </c>
      <c r="BI64">
        <v>0</v>
      </c>
      <c r="BJ64">
        <v>0</v>
      </c>
      <c r="BK64">
        <v>0</v>
      </c>
      <c r="BL64" t="s">
        <v>1711</v>
      </c>
    </row>
    <row r="65" spans="1:64" x14ac:dyDescent="0.4">
      <c r="A65" s="30"/>
      <c r="B65" s="30">
        <v>43004.474999999999</v>
      </c>
      <c r="C65" t="s">
        <v>524</v>
      </c>
      <c r="D65" t="s">
        <v>477</v>
      </c>
      <c r="E65" t="s">
        <v>582</v>
      </c>
      <c r="F65" t="s">
        <v>171</v>
      </c>
      <c r="G65" t="s">
        <v>169</v>
      </c>
      <c r="H65" s="21" t="s">
        <v>94</v>
      </c>
      <c r="I65" s="86">
        <v>1</v>
      </c>
      <c r="J65" s="86">
        <v>0</v>
      </c>
      <c r="K65" t="s">
        <v>525</v>
      </c>
      <c r="L65" t="s">
        <v>611</v>
      </c>
      <c r="M65" t="s">
        <v>496</v>
      </c>
      <c r="N65" t="str">
        <f>IF(SUM(ckCodingTable[[#This Row],[NfmlPIs]:[NnonWhtAsnPIs]])&gt;0,"WMD","")</f>
        <v/>
      </c>
      <c r="O65" t="b">
        <f>_xlfn.XOR(IFERROR(MATCH(ckCodingTable[[#This Row],[st_code]],EpscorTable[],0)&gt;0,FALSE),IFERROR(FIND("9150",ckCodingTable[[#This Row],[propPRCs]])&gt;0,FALSE))</f>
        <v>0</v>
      </c>
      <c r="P65" s="21" t="b">
        <f>_xlfn.XOR(ckCodingTable[[#This Row],[wmd]]&lt;&gt;"",IFERROR(FIND("9102",ckCodingTable[[#This Row],[propPRCs]])&gt;0,FALSE))</f>
        <v>0</v>
      </c>
      <c r="Q65" t="s">
        <v>1712</v>
      </c>
      <c r="S65" s="108">
        <f>S64+(ckCodingTable[[#This Row],[ILN]]&lt;"M")</f>
        <v>63</v>
      </c>
      <c r="T65" s="21" t="s">
        <v>491</v>
      </c>
      <c r="U65" t="s">
        <v>1295</v>
      </c>
      <c r="V65" s="7" t="str">
        <f>HYPERLINK("https://www.ejacket.nsf.gov/ej/showProposal.do?ID="&amp;ckCodingTable[[#This Row],[prop_id]],"eJ")</f>
        <v>eJ</v>
      </c>
      <c r="W65" t="s">
        <v>478</v>
      </c>
      <c r="X65" t="s">
        <v>1295</v>
      </c>
      <c r="Y65" t="s">
        <v>1296</v>
      </c>
      <c r="Z65" t="s">
        <v>1713</v>
      </c>
      <c r="AA65" t="s">
        <v>527</v>
      </c>
      <c r="AB65" s="111" t="str">
        <f>HYPERLINK("mailto:"&amp;ckCodingTable[[#This Row],[email]]&amp;"&amp;subject=Your NSF Proposal:  "&amp;ckCodingTable[[#This Row],[Div]]&amp;" "&amp;ckCodingTable[[#This Row],[prop_id]], ckCodingTable[[#This Row],[email]])</f>
        <v>aaroth@cis.upenn.edu</v>
      </c>
      <c r="AC65" s="30">
        <v>43313</v>
      </c>
      <c r="AD65">
        <v>48</v>
      </c>
      <c r="AE65">
        <v>1</v>
      </c>
      <c r="AG65" s="112">
        <v>1</v>
      </c>
      <c r="AH65" t="s">
        <v>1714</v>
      </c>
      <c r="AI65" s="26">
        <v>7</v>
      </c>
      <c r="AJ65" s="22">
        <v>43080.712500000001</v>
      </c>
      <c r="AL65">
        <v>4</v>
      </c>
      <c r="AN65" s="112">
        <v>4</v>
      </c>
      <c r="AO65" s="112"/>
      <c r="AP65" s="112"/>
      <c r="AQ65" s="112"/>
      <c r="AR65" s="7" t="str">
        <f>HYPERLINK("https://www.ejacket.nsf.gov/ej/showProposal.do?ID="&amp;ckCodingTable[[#This Row],[prop_id]],"eJ")</f>
        <v>eJ</v>
      </c>
      <c r="AS65" t="s">
        <v>172</v>
      </c>
      <c r="AT65" t="s">
        <v>1715</v>
      </c>
      <c r="AU65" t="b">
        <f>IF(ckCodingTable[[#This Row],[ILN]]="N",SUBSTITUTE(AT64," ","")&lt;&gt;SUBSTITUTE(ckCodingTable[[#This Row],[prop_titl_txt]]," ",""), FALSE)</f>
        <v>0</v>
      </c>
      <c r="AV65">
        <v>0</v>
      </c>
      <c r="AW65" s="13">
        <v>950000</v>
      </c>
      <c r="AX65" s="13">
        <v>950000</v>
      </c>
      <c r="AY65" s="13"/>
      <c r="AZ65" s="13"/>
      <c r="BA65" s="13"/>
      <c r="BB65" s="13"/>
      <c r="BC65">
        <v>7</v>
      </c>
      <c r="BD65">
        <v>12</v>
      </c>
      <c r="BE65">
        <v>7</v>
      </c>
      <c r="BH65">
        <v>0</v>
      </c>
      <c r="BI65">
        <v>0</v>
      </c>
      <c r="BJ65">
        <v>0</v>
      </c>
      <c r="BK65">
        <v>0</v>
      </c>
      <c r="BL65" t="s">
        <v>1716</v>
      </c>
    </row>
    <row r="66" spans="1:64" x14ac:dyDescent="0.4">
      <c r="A66" s="30"/>
      <c r="B66" s="30">
        <v>43004.605555555558</v>
      </c>
      <c r="C66" t="s">
        <v>524</v>
      </c>
      <c r="D66" t="s">
        <v>477</v>
      </c>
      <c r="E66" t="s">
        <v>582</v>
      </c>
      <c r="F66" t="s">
        <v>171</v>
      </c>
      <c r="G66" t="s">
        <v>169</v>
      </c>
      <c r="H66" s="21" t="s">
        <v>94</v>
      </c>
      <c r="I66" s="86">
        <v>1</v>
      </c>
      <c r="J66" s="86">
        <v>0</v>
      </c>
      <c r="K66" t="s">
        <v>525</v>
      </c>
      <c r="L66" t="s">
        <v>611</v>
      </c>
      <c r="M66" t="s">
        <v>310</v>
      </c>
      <c r="N66" t="str">
        <f>IF(SUM(ckCodingTable[[#This Row],[NfmlPIs]:[NnonWhtAsnPIs]])&gt;0,"WMD","")</f>
        <v/>
      </c>
      <c r="O66" t="b">
        <f>_xlfn.XOR(IFERROR(MATCH(ckCodingTable[[#This Row],[st_code]],EpscorTable[],0)&gt;0,FALSE),IFERROR(FIND("9150",ckCodingTable[[#This Row],[propPRCs]])&gt;0,FALSE))</f>
        <v>0</v>
      </c>
      <c r="P66" s="21" t="b">
        <f>_xlfn.XOR(ckCodingTable[[#This Row],[wmd]]&lt;&gt;"",IFERROR(FIND("9102",ckCodingTable[[#This Row],[propPRCs]])&gt;0,FALSE))</f>
        <v>0</v>
      </c>
      <c r="Q66" t="s">
        <v>1712</v>
      </c>
      <c r="S66" s="108">
        <f>S65+(ckCodingTable[[#This Row],[ILN]]&lt;"M")</f>
        <v>63</v>
      </c>
      <c r="T66" s="21" t="s">
        <v>493</v>
      </c>
      <c r="U66" t="s">
        <v>1295</v>
      </c>
      <c r="V66" s="7" t="str">
        <f>HYPERLINK("https://www.ejacket.nsf.gov/ej/showProposal.do?ID="&amp;ckCodingTable[[#This Row],[prop_id]],"eJ")</f>
        <v>eJ</v>
      </c>
      <c r="W66" t="s">
        <v>478</v>
      </c>
      <c r="X66" t="s">
        <v>1717</v>
      </c>
      <c r="Y66" t="s">
        <v>1718</v>
      </c>
      <c r="Z66" t="s">
        <v>1719</v>
      </c>
      <c r="AA66" t="s">
        <v>499</v>
      </c>
      <c r="AB66" s="111" t="str">
        <f>HYPERLINK("mailto:"&amp;ckCodingTable[[#This Row],[email]]&amp;"&amp;subject=Your NSF Proposal:  "&amp;ckCodingTable[[#This Row],[Div]]&amp;" "&amp;ckCodingTable[[#This Row],[prop_id]], ckCodingTable[[#This Row],[email]])</f>
        <v>Mallesh.Pai@rice.edu</v>
      </c>
      <c r="AC66" s="30">
        <v>43313</v>
      </c>
      <c r="AD66">
        <v>48</v>
      </c>
      <c r="AG66" s="112"/>
      <c r="AI66" s="26"/>
      <c r="AJ66" s="22"/>
      <c r="AN66" s="112"/>
      <c r="AO66" s="112"/>
      <c r="AP66" s="112"/>
      <c r="AQ66" s="112"/>
      <c r="AR66" s="7" t="str">
        <f>HYPERLINK("https://www.ejacket.nsf.gov/ej/showProposal.do?ID="&amp;ckCodingTable[[#This Row],[prop_id]],"eJ")</f>
        <v>eJ</v>
      </c>
      <c r="AS66" t="s">
        <v>172</v>
      </c>
      <c r="AT66" t="s">
        <v>1720</v>
      </c>
      <c r="AU66" t="b">
        <f>IF(ckCodingTable[[#This Row],[ILN]]="N",SUBSTITUTE(AT65," ","")&lt;&gt;SUBSTITUTE(ckCodingTable[[#This Row],[prop_titl_txt]]," ",""), FALSE)</f>
        <v>0</v>
      </c>
      <c r="AV66">
        <v>0</v>
      </c>
      <c r="AW66" s="13">
        <v>250000</v>
      </c>
      <c r="AX66" s="13">
        <v>250000</v>
      </c>
      <c r="AY66" s="13"/>
      <c r="AZ66" s="13"/>
      <c r="BA66" s="13"/>
      <c r="BB66" s="13"/>
      <c r="BC66">
        <v>4</v>
      </c>
      <c r="BD66">
        <v>4</v>
      </c>
      <c r="BE66">
        <v>2</v>
      </c>
      <c r="BH66">
        <v>0</v>
      </c>
      <c r="BI66">
        <v>0</v>
      </c>
      <c r="BJ66">
        <v>0</v>
      </c>
      <c r="BK66">
        <v>0</v>
      </c>
      <c r="BL66" t="s">
        <v>1721</v>
      </c>
    </row>
    <row r="67" spans="1:64" x14ac:dyDescent="0.4">
      <c r="A67" s="30"/>
      <c r="B67" s="30">
        <v>43004.490972222222</v>
      </c>
      <c r="C67" t="s">
        <v>524</v>
      </c>
      <c r="D67" t="s">
        <v>477</v>
      </c>
      <c r="E67" t="s">
        <v>582</v>
      </c>
      <c r="F67" t="s">
        <v>171</v>
      </c>
      <c r="G67" t="s">
        <v>169</v>
      </c>
      <c r="H67" s="21" t="s">
        <v>94</v>
      </c>
      <c r="I67" s="86">
        <v>1</v>
      </c>
      <c r="J67" s="86">
        <v>0</v>
      </c>
      <c r="K67" t="s">
        <v>525</v>
      </c>
      <c r="L67" t="s">
        <v>611</v>
      </c>
      <c r="M67" t="s">
        <v>230</v>
      </c>
      <c r="N67" t="str">
        <f>IF(SUM(ckCodingTable[[#This Row],[NfmlPIs]:[NnonWhtAsnPIs]])&gt;0,"WMD","")</f>
        <v/>
      </c>
      <c r="O67" t="b">
        <f>_xlfn.XOR(IFERROR(MATCH(ckCodingTable[[#This Row],[st_code]],EpscorTable[],0)&gt;0,FALSE),IFERROR(FIND("9150",ckCodingTable[[#This Row],[propPRCs]])&gt;0,FALSE))</f>
        <v>0</v>
      </c>
      <c r="P67" s="21" t="b">
        <f>_xlfn.XOR(ckCodingTable[[#This Row],[wmd]]&lt;&gt;"",IFERROR(FIND("9102",ckCodingTable[[#This Row],[propPRCs]])&gt;0,FALSE))</f>
        <v>0</v>
      </c>
      <c r="Q67" t="s">
        <v>1722</v>
      </c>
      <c r="S67" s="108">
        <f>S66+(ckCodingTable[[#This Row],[ILN]]&lt;"M")</f>
        <v>64</v>
      </c>
      <c r="T67" s="21" t="s">
        <v>491</v>
      </c>
      <c r="U67" t="s">
        <v>1305</v>
      </c>
      <c r="V67" s="7" t="str">
        <f>HYPERLINK("https://www.ejacket.nsf.gov/ej/showProposal.do?ID="&amp;ckCodingTable[[#This Row],[prop_id]],"eJ")</f>
        <v>eJ</v>
      </c>
      <c r="W67" t="s">
        <v>478</v>
      </c>
      <c r="X67" t="s">
        <v>1305</v>
      </c>
      <c r="Y67" t="s">
        <v>1306</v>
      </c>
      <c r="Z67" t="s">
        <v>1671</v>
      </c>
      <c r="AA67" t="s">
        <v>1465</v>
      </c>
      <c r="AB67" s="111" t="str">
        <f>HYPERLINK("mailto:"&amp;ckCodingTable[[#This Row],[email]]&amp;"&amp;subject=Your NSF Proposal:  "&amp;ckCodingTable[[#This Row],[Div]]&amp;" "&amp;ckCodingTable[[#This Row],[prop_id]], ckCodingTable[[#This Row],[email]])</f>
        <v>omreing@stanford.edu</v>
      </c>
      <c r="AC67" s="30">
        <v>43344</v>
      </c>
      <c r="AD67">
        <v>48</v>
      </c>
      <c r="AE67">
        <v>1</v>
      </c>
      <c r="AG67" s="112">
        <v>1</v>
      </c>
      <c r="AH67" t="s">
        <v>1483</v>
      </c>
      <c r="AI67" s="26">
        <v>8</v>
      </c>
      <c r="AJ67" s="22">
        <v>43080.47152777778</v>
      </c>
      <c r="AL67">
        <v>4</v>
      </c>
      <c r="AN67" s="112">
        <v>4</v>
      </c>
      <c r="AO67" s="112"/>
      <c r="AP67" s="112"/>
      <c r="AQ67" s="112"/>
      <c r="AR67" s="7" t="str">
        <f>HYPERLINK("https://www.ejacket.nsf.gov/ej/showProposal.do?ID="&amp;ckCodingTable[[#This Row],[prop_id]],"eJ")</f>
        <v>eJ</v>
      </c>
      <c r="AS67" t="s">
        <v>172</v>
      </c>
      <c r="AT67" t="s">
        <v>1723</v>
      </c>
      <c r="AU67" t="b">
        <f>IF(ckCodingTable[[#This Row],[ILN]]="N",SUBSTITUTE(AT66," ","")&lt;&gt;SUBSTITUTE(ckCodingTable[[#This Row],[prop_titl_txt]]," ",""), FALSE)</f>
        <v>0</v>
      </c>
      <c r="AV67">
        <v>0</v>
      </c>
      <c r="AW67" s="13">
        <v>650000</v>
      </c>
      <c r="AX67" s="13">
        <v>650000</v>
      </c>
      <c r="AY67" s="13"/>
      <c r="AZ67" s="13">
        <v>12000</v>
      </c>
      <c r="BA67" s="13"/>
      <c r="BB67" s="13"/>
      <c r="BC67">
        <v>8</v>
      </c>
      <c r="BD67">
        <v>4</v>
      </c>
      <c r="BE67">
        <v>4</v>
      </c>
      <c r="BH67">
        <v>0</v>
      </c>
      <c r="BI67">
        <v>0</v>
      </c>
      <c r="BJ67">
        <v>0</v>
      </c>
      <c r="BK67">
        <v>0</v>
      </c>
      <c r="BL67" t="s">
        <v>1724</v>
      </c>
    </row>
    <row r="68" spans="1:64" x14ac:dyDescent="0.4">
      <c r="A68" s="30"/>
      <c r="B68" s="30">
        <v>43004.444444444445</v>
      </c>
      <c r="C68" t="s">
        <v>524</v>
      </c>
      <c r="D68" t="s">
        <v>477</v>
      </c>
      <c r="E68" t="s">
        <v>582</v>
      </c>
      <c r="F68" t="s">
        <v>171</v>
      </c>
      <c r="G68" t="s">
        <v>169</v>
      </c>
      <c r="H68" s="21" t="s">
        <v>94</v>
      </c>
      <c r="I68" s="86">
        <v>1</v>
      </c>
      <c r="J68" s="86">
        <v>0</v>
      </c>
      <c r="K68" t="s">
        <v>525</v>
      </c>
      <c r="L68" t="s">
        <v>611</v>
      </c>
      <c r="M68" t="s">
        <v>231</v>
      </c>
      <c r="N68" t="str">
        <f>IF(SUM(ckCodingTable[[#This Row],[NfmlPIs]:[NnonWhtAsnPIs]])&gt;0,"WMD","")</f>
        <v/>
      </c>
      <c r="O68" t="b">
        <f>_xlfn.XOR(IFERROR(MATCH(ckCodingTable[[#This Row],[st_code]],EpscorTable[],0)&gt;0,FALSE),IFERROR(FIND("9150",ckCodingTable[[#This Row],[propPRCs]])&gt;0,FALSE))</f>
        <v>0</v>
      </c>
      <c r="P68" s="21" t="b">
        <f>_xlfn.XOR(ckCodingTable[[#This Row],[wmd]]&lt;&gt;"",IFERROR(FIND("9102",ckCodingTable[[#This Row],[propPRCs]])&gt;0,FALSE))</f>
        <v>0</v>
      </c>
      <c r="Q68" t="s">
        <v>1722</v>
      </c>
      <c r="S68" s="108">
        <f>S67+(ckCodingTable[[#This Row],[ILN]]&lt;"M")</f>
        <v>64</v>
      </c>
      <c r="T68" s="21" t="s">
        <v>493</v>
      </c>
      <c r="U68" t="s">
        <v>1305</v>
      </c>
      <c r="V68" s="7" t="str">
        <f>HYPERLINK("https://www.ejacket.nsf.gov/ej/showProposal.do?ID="&amp;ckCodingTable[[#This Row],[prop_id]],"eJ")</f>
        <v>eJ</v>
      </c>
      <c r="W68" t="s">
        <v>478</v>
      </c>
      <c r="X68" t="s">
        <v>1725</v>
      </c>
      <c r="Y68" t="s">
        <v>1726</v>
      </c>
      <c r="Z68" t="s">
        <v>1727</v>
      </c>
      <c r="AA68" t="s">
        <v>1728</v>
      </c>
      <c r="AB68" s="111" t="str">
        <f>HYPERLINK("mailto:"&amp;ckCodingTable[[#This Row],[email]]&amp;"&amp;subject=Your NSF Proposal:  "&amp;ckCodingTable[[#This Row],[Div]]&amp;" "&amp;ckCodingTable[[#This Row],[prop_id]], ckCodingTable[[#This Row],[email]])</f>
        <v>salil_vadhan@harvard.edu</v>
      </c>
      <c r="AC68" s="30">
        <v>43344</v>
      </c>
      <c r="AD68">
        <v>48</v>
      </c>
      <c r="AG68" s="112"/>
      <c r="AI68" s="26"/>
      <c r="AJ68" s="22"/>
      <c r="AN68" s="112"/>
      <c r="AO68" s="112"/>
      <c r="AP68" s="112"/>
      <c r="AQ68" s="112"/>
      <c r="AR68" s="7" t="str">
        <f>HYPERLINK("https://www.ejacket.nsf.gov/ej/showProposal.do?ID="&amp;ckCodingTable[[#This Row],[prop_id]],"eJ")</f>
        <v>eJ</v>
      </c>
      <c r="AS68" t="s">
        <v>172</v>
      </c>
      <c r="AT68" t="s">
        <v>1729</v>
      </c>
      <c r="AU68" t="b">
        <f>IF(ckCodingTable[[#This Row],[ILN]]="N",SUBSTITUTE(AT67," ","")&lt;&gt;SUBSTITUTE(ckCodingTable[[#This Row],[prop_titl_txt]]," ",""), FALSE)</f>
        <v>0</v>
      </c>
      <c r="AV68">
        <v>0</v>
      </c>
      <c r="AW68" s="13">
        <v>550000</v>
      </c>
      <c r="AX68" s="13">
        <v>550000</v>
      </c>
      <c r="AY68" s="13"/>
      <c r="AZ68" s="13">
        <v>14200</v>
      </c>
      <c r="BA68" s="13"/>
      <c r="BB68" s="13"/>
      <c r="BC68">
        <v>5</v>
      </c>
      <c r="BD68">
        <v>4</v>
      </c>
      <c r="BG68">
        <v>4</v>
      </c>
      <c r="BH68">
        <v>0</v>
      </c>
      <c r="BI68">
        <v>0</v>
      </c>
      <c r="BJ68">
        <v>0</v>
      </c>
      <c r="BK68">
        <v>0</v>
      </c>
      <c r="BL68" t="s">
        <v>1730</v>
      </c>
    </row>
    <row r="69" spans="1:64" x14ac:dyDescent="0.4">
      <c r="A69" s="30"/>
      <c r="B69" s="30">
        <v>43004.497916666667</v>
      </c>
      <c r="C69" t="s">
        <v>524</v>
      </c>
      <c r="D69" t="s">
        <v>477</v>
      </c>
      <c r="E69" t="s">
        <v>582</v>
      </c>
      <c r="F69" t="s">
        <v>171</v>
      </c>
      <c r="G69" t="s">
        <v>169</v>
      </c>
      <c r="H69" s="21" t="s">
        <v>94</v>
      </c>
      <c r="I69" s="86">
        <v>1</v>
      </c>
      <c r="J69" s="86">
        <v>0</v>
      </c>
      <c r="K69" t="s">
        <v>525</v>
      </c>
      <c r="L69" t="s">
        <v>611</v>
      </c>
      <c r="M69" t="s">
        <v>496</v>
      </c>
      <c r="N69" t="str">
        <f>IF(SUM(ckCodingTable[[#This Row],[NfmlPIs]:[NnonWhtAsnPIs]])&gt;0,"WMD","")</f>
        <v/>
      </c>
      <c r="O69" t="b">
        <f>_xlfn.XOR(IFERROR(MATCH(ckCodingTable[[#This Row],[st_code]],EpscorTable[],0)&gt;0,FALSE),IFERROR(FIND("9150",ckCodingTable[[#This Row],[propPRCs]])&gt;0,FALSE))</f>
        <v>0</v>
      </c>
      <c r="P69" s="21" t="b">
        <f>_xlfn.XOR(ckCodingTable[[#This Row],[wmd]]&lt;&gt;"",IFERROR(FIND("9102",ckCodingTable[[#This Row],[propPRCs]])&gt;0,FALSE))</f>
        <v>0</v>
      </c>
      <c r="Q69" t="s">
        <v>1704</v>
      </c>
      <c r="S69" s="108">
        <f>S68+(ckCodingTable[[#This Row],[ILN]]&lt;"M")</f>
        <v>65</v>
      </c>
      <c r="T69" s="21" t="s">
        <v>491</v>
      </c>
      <c r="U69" t="s">
        <v>1315</v>
      </c>
      <c r="V69" s="7" t="str">
        <f>HYPERLINK("https://www.ejacket.nsf.gov/ej/showProposal.do?ID="&amp;ckCodingTable[[#This Row],[prop_id]],"eJ")</f>
        <v>eJ</v>
      </c>
      <c r="W69" t="s">
        <v>478</v>
      </c>
      <c r="X69" t="s">
        <v>1315</v>
      </c>
      <c r="Y69" t="s">
        <v>1296</v>
      </c>
      <c r="Z69" t="s">
        <v>1713</v>
      </c>
      <c r="AA69" t="s">
        <v>527</v>
      </c>
      <c r="AB69" s="111" t="str">
        <f>HYPERLINK("mailto:"&amp;ckCodingTable[[#This Row],[email]]&amp;"&amp;subject=Your NSF Proposal:  "&amp;ckCodingTable[[#This Row],[Div]]&amp;" "&amp;ckCodingTable[[#This Row],[prop_id]], ckCodingTable[[#This Row],[email]])</f>
        <v>aaroth@cis.upenn.edu</v>
      </c>
      <c r="AC69" s="30">
        <v>43313</v>
      </c>
      <c r="AD69">
        <v>36</v>
      </c>
      <c r="AE69">
        <v>1</v>
      </c>
      <c r="AG69" s="112">
        <v>1</v>
      </c>
      <c r="AH69" t="s">
        <v>1731</v>
      </c>
      <c r="AI69" s="26">
        <v>8</v>
      </c>
      <c r="AJ69" s="22">
        <v>43081.365972222222</v>
      </c>
      <c r="AL69">
        <v>4</v>
      </c>
      <c r="AN69" s="112">
        <v>4</v>
      </c>
      <c r="AO69" s="112"/>
      <c r="AP69" s="112"/>
      <c r="AQ69" s="112"/>
      <c r="AR69" s="7" t="str">
        <f>HYPERLINK("https://www.ejacket.nsf.gov/ej/showProposal.do?ID="&amp;ckCodingTable[[#This Row],[prop_id]],"eJ")</f>
        <v>eJ</v>
      </c>
      <c r="AS69" t="s">
        <v>172</v>
      </c>
      <c r="AT69" t="s">
        <v>1732</v>
      </c>
      <c r="AU69" t="b">
        <f>IF(ckCodingTable[[#This Row],[ILN]]="N",SUBSTITUTE(AT68," ","")&lt;&gt;SUBSTITUTE(ckCodingTable[[#This Row],[prop_titl_txt]]," ",""), FALSE)</f>
        <v>0</v>
      </c>
      <c r="AV69">
        <v>0</v>
      </c>
      <c r="AW69" s="13">
        <v>378000</v>
      </c>
      <c r="AX69" s="13">
        <v>378000</v>
      </c>
      <c r="AY69" s="13"/>
      <c r="AZ69" s="13"/>
      <c r="BA69" s="13"/>
      <c r="BB69" s="13"/>
      <c r="BC69">
        <v>3</v>
      </c>
      <c r="BD69">
        <v>6</v>
      </c>
      <c r="BE69">
        <v>3.93</v>
      </c>
      <c r="BH69">
        <v>0</v>
      </c>
      <c r="BI69">
        <v>0</v>
      </c>
      <c r="BJ69">
        <v>0</v>
      </c>
      <c r="BK69">
        <v>0</v>
      </c>
      <c r="BL69" t="s">
        <v>1716</v>
      </c>
    </row>
    <row r="70" spans="1:64" x14ac:dyDescent="0.4">
      <c r="A70" s="30"/>
      <c r="B70" s="30">
        <v>43003.538194444445</v>
      </c>
      <c r="C70" t="s">
        <v>524</v>
      </c>
      <c r="D70" t="s">
        <v>477</v>
      </c>
      <c r="E70" t="s">
        <v>582</v>
      </c>
      <c r="F70" t="s">
        <v>171</v>
      </c>
      <c r="G70" t="s">
        <v>169</v>
      </c>
      <c r="H70" s="21" t="s">
        <v>94</v>
      </c>
      <c r="I70" s="86">
        <v>1</v>
      </c>
      <c r="J70" s="86">
        <v>0</v>
      </c>
      <c r="K70" t="s">
        <v>525</v>
      </c>
      <c r="L70" t="s">
        <v>611</v>
      </c>
      <c r="M70" t="s">
        <v>230</v>
      </c>
      <c r="N70" t="str">
        <f>IF(SUM(ckCodingTable[[#This Row],[NfmlPIs]:[NnonWhtAsnPIs]])&gt;0,"WMD","")</f>
        <v/>
      </c>
      <c r="O70" t="b">
        <f>_xlfn.XOR(IFERROR(MATCH(ckCodingTable[[#This Row],[st_code]],EpscorTable[],0)&gt;0,FALSE),IFERROR(FIND("9150",ckCodingTable[[#This Row],[propPRCs]])&gt;0,FALSE))</f>
        <v>0</v>
      </c>
      <c r="P70" s="21" t="b">
        <f>_xlfn.XOR(ckCodingTable[[#This Row],[wmd]]&lt;&gt;"",IFERROR(FIND("9102",ckCodingTable[[#This Row],[propPRCs]])&gt;0,FALSE))</f>
        <v>0</v>
      </c>
      <c r="Q70" t="s">
        <v>1704</v>
      </c>
      <c r="S70" s="108">
        <f>S69+(ckCodingTable[[#This Row],[ILN]]&lt;"M")</f>
        <v>65</v>
      </c>
      <c r="T70" s="21" t="s">
        <v>493</v>
      </c>
      <c r="U70" t="s">
        <v>1315</v>
      </c>
      <c r="V70" s="7" t="str">
        <f>HYPERLINK("https://www.ejacket.nsf.gov/ej/showProposal.do?ID="&amp;ckCodingTable[[#This Row],[prop_id]],"eJ")</f>
        <v>eJ</v>
      </c>
      <c r="W70" t="s">
        <v>478</v>
      </c>
      <c r="X70" t="s">
        <v>1733</v>
      </c>
      <c r="Y70" t="s">
        <v>1734</v>
      </c>
      <c r="Z70" t="s">
        <v>1735</v>
      </c>
      <c r="AA70" t="s">
        <v>1465</v>
      </c>
      <c r="AB70" s="111" t="str">
        <f>HYPERLINK("mailto:"&amp;ckCodingTable[[#This Row],[email]]&amp;"&amp;subject=Your NSF Proposal:  "&amp;ckCodingTable[[#This Row],[Div]]&amp;" "&amp;ckCodingTable[[#This Row],[prop_id]], ckCodingTable[[#This Row],[email]])</f>
        <v>jamesz@stanford.edu</v>
      </c>
      <c r="AC70" s="30">
        <v>43313</v>
      </c>
      <c r="AD70">
        <v>36</v>
      </c>
      <c r="AG70" s="112"/>
      <c r="AI70" s="26"/>
      <c r="AJ70" s="22"/>
      <c r="AN70" s="112"/>
      <c r="AO70" s="112"/>
      <c r="AP70" s="112"/>
      <c r="AQ70" s="112"/>
      <c r="AR70" s="7" t="str">
        <f>HYPERLINK("https://www.ejacket.nsf.gov/ej/showProposal.do?ID="&amp;ckCodingTable[[#This Row],[prop_id]],"eJ")</f>
        <v>eJ</v>
      </c>
      <c r="AS70" t="s">
        <v>172</v>
      </c>
      <c r="AT70" t="s">
        <v>1732</v>
      </c>
      <c r="AU70" t="b">
        <f>IF(ckCodingTable[[#This Row],[ILN]]="N",SUBSTITUTE(AT69," ","")&lt;&gt;SUBSTITUTE(ckCodingTable[[#This Row],[prop_titl_txt]]," ",""), FALSE)</f>
        <v>0</v>
      </c>
      <c r="AV70">
        <v>0</v>
      </c>
      <c r="AW70" s="13">
        <v>276000</v>
      </c>
      <c r="AX70" s="13">
        <v>276000</v>
      </c>
      <c r="AY70" s="13"/>
      <c r="AZ70" s="13"/>
      <c r="BA70" s="13"/>
      <c r="BB70" s="13"/>
      <c r="BC70">
        <v>3</v>
      </c>
      <c r="BD70">
        <v>3</v>
      </c>
      <c r="BG70">
        <v>2.88</v>
      </c>
      <c r="BH70">
        <v>0</v>
      </c>
      <c r="BI70">
        <v>0</v>
      </c>
      <c r="BJ70">
        <v>0</v>
      </c>
      <c r="BK70">
        <v>0</v>
      </c>
      <c r="BL70" t="s">
        <v>1736</v>
      </c>
    </row>
    <row r="71" spans="1:64" x14ac:dyDescent="0.4">
      <c r="A71" s="30"/>
      <c r="B71" s="30">
        <v>43005.559027777781</v>
      </c>
      <c r="C71" t="s">
        <v>524</v>
      </c>
      <c r="D71" t="s">
        <v>477</v>
      </c>
      <c r="E71" t="s">
        <v>582</v>
      </c>
      <c r="F71" t="s">
        <v>171</v>
      </c>
      <c r="G71" t="s">
        <v>169</v>
      </c>
      <c r="H71" s="21" t="s">
        <v>94</v>
      </c>
      <c r="I71" s="86">
        <v>1</v>
      </c>
      <c r="J71" s="86">
        <v>0</v>
      </c>
      <c r="K71" t="s">
        <v>525</v>
      </c>
      <c r="L71" t="s">
        <v>611</v>
      </c>
      <c r="M71" t="s">
        <v>231</v>
      </c>
      <c r="N71" t="str">
        <f>IF(SUM(ckCodingTable[[#This Row],[NfmlPIs]:[NnonWhtAsnPIs]])&gt;0,"WMD","")</f>
        <v/>
      </c>
      <c r="O71" t="b">
        <f>_xlfn.XOR(IFERROR(MATCH(ckCodingTable[[#This Row],[st_code]],EpscorTable[],0)&gt;0,FALSE),IFERROR(FIND("9150",ckCodingTable[[#This Row],[propPRCs]])&gt;0,FALSE))</f>
        <v>0</v>
      </c>
      <c r="P71" s="21" t="b">
        <f>_xlfn.XOR(ckCodingTable[[#This Row],[wmd]]&lt;&gt;"",IFERROR(FIND("9102",ckCodingTable[[#This Row],[propPRCs]])&gt;0,FALSE))</f>
        <v>0</v>
      </c>
      <c r="Q71" t="s">
        <v>1704</v>
      </c>
      <c r="S71" s="108">
        <f>S70+(ckCodingTable[[#This Row],[ILN]]&lt;"M")</f>
        <v>65</v>
      </c>
      <c r="T71" s="21" t="s">
        <v>493</v>
      </c>
      <c r="U71" t="s">
        <v>1315</v>
      </c>
      <c r="V71" s="7" t="str">
        <f>HYPERLINK("https://www.ejacket.nsf.gov/ej/showProposal.do?ID="&amp;ckCodingTable[[#This Row],[prop_id]],"eJ")</f>
        <v>eJ</v>
      </c>
      <c r="W71" t="s">
        <v>478</v>
      </c>
      <c r="X71" t="s">
        <v>1737</v>
      </c>
      <c r="Y71" t="s">
        <v>1738</v>
      </c>
      <c r="Z71" t="s">
        <v>1739</v>
      </c>
      <c r="AA71" t="s">
        <v>1728</v>
      </c>
      <c r="AB71" s="111" t="str">
        <f>HYPERLINK("mailto:"&amp;ckCodingTable[[#This Row],[email]]&amp;"&amp;subject=Your NSF Proposal:  "&amp;ckCodingTable[[#This Row],[Div]]&amp;" "&amp;ckCodingTable[[#This Row],[prop_id]], ckCodingTable[[#This Row],[email]])</f>
        <v>dwork@seas.harvard.edu</v>
      </c>
      <c r="AC71" s="30">
        <v>43313</v>
      </c>
      <c r="AD71">
        <v>36</v>
      </c>
      <c r="AG71" s="112"/>
      <c r="AI71" s="26"/>
      <c r="AJ71" s="22"/>
      <c r="AN71" s="112"/>
      <c r="AO71" s="112"/>
      <c r="AP71" s="112"/>
      <c r="AQ71" s="112"/>
      <c r="AR71" s="7" t="str">
        <f>HYPERLINK("https://www.ejacket.nsf.gov/ej/showProposal.do?ID="&amp;ckCodingTable[[#This Row],[prop_id]],"eJ")</f>
        <v>eJ</v>
      </c>
      <c r="AS71" t="s">
        <v>172</v>
      </c>
      <c r="AT71" t="s">
        <v>1740</v>
      </c>
      <c r="AU71" t="b">
        <f>IF(ckCodingTable[[#This Row],[ILN]]="N",SUBSTITUTE(AT70," ","")&lt;&gt;SUBSTITUTE(ckCodingTable[[#This Row],[prop_titl_txt]]," ",""), FALSE)</f>
        <v>1</v>
      </c>
      <c r="AV71">
        <v>0</v>
      </c>
      <c r="AW71" s="13">
        <v>286000</v>
      </c>
      <c r="AX71" s="13">
        <v>286000</v>
      </c>
      <c r="AY71" s="13"/>
      <c r="AZ71" s="13"/>
      <c r="BA71" s="13"/>
      <c r="BB71" s="13"/>
      <c r="BC71">
        <v>1</v>
      </c>
      <c r="BD71">
        <v>3</v>
      </c>
      <c r="BG71">
        <v>2.33</v>
      </c>
      <c r="BH71">
        <v>0</v>
      </c>
      <c r="BI71">
        <v>0</v>
      </c>
      <c r="BJ71">
        <v>0</v>
      </c>
      <c r="BK71">
        <v>0</v>
      </c>
      <c r="BL71" t="s">
        <v>1741</v>
      </c>
    </row>
    <row r="72" spans="1:64" x14ac:dyDescent="0.4">
      <c r="A72" s="30"/>
      <c r="B72" s="30">
        <v>43005.611111111109</v>
      </c>
      <c r="C72" t="s">
        <v>524</v>
      </c>
      <c r="D72" t="s">
        <v>477</v>
      </c>
      <c r="E72" t="s">
        <v>582</v>
      </c>
      <c r="F72" t="s">
        <v>171</v>
      </c>
      <c r="G72" t="s">
        <v>169</v>
      </c>
      <c r="H72" s="21" t="s">
        <v>94</v>
      </c>
      <c r="I72" s="86">
        <v>1</v>
      </c>
      <c r="J72" s="86">
        <v>0</v>
      </c>
      <c r="K72" t="s">
        <v>525</v>
      </c>
      <c r="L72" t="s">
        <v>611</v>
      </c>
      <c r="M72" t="s">
        <v>231</v>
      </c>
      <c r="N72" t="str">
        <f>IF(SUM(ckCodingTable[[#This Row],[NfmlPIs]:[NnonWhtAsnPIs]])&gt;0,"WMD","")</f>
        <v/>
      </c>
      <c r="O72" t="b">
        <f>_xlfn.XOR(IFERROR(MATCH(ckCodingTable[[#This Row],[st_code]],EpscorTable[],0)&gt;0,FALSE),IFERROR(FIND("9150",ckCodingTable[[#This Row],[propPRCs]])&gt;0,FALSE))</f>
        <v>0</v>
      </c>
      <c r="P72" s="21" t="b">
        <f>_xlfn.XOR(ckCodingTable[[#This Row],[wmd]]&lt;&gt;"",IFERROR(FIND("9102",ckCodingTable[[#This Row],[propPRCs]])&gt;0,FALSE))</f>
        <v>0</v>
      </c>
      <c r="Q72" t="s">
        <v>1704</v>
      </c>
      <c r="S72" s="108">
        <f>S71+(ckCodingTable[[#This Row],[ILN]]&lt;"M")</f>
        <v>65</v>
      </c>
      <c r="T72" s="21" t="s">
        <v>493</v>
      </c>
      <c r="U72" t="s">
        <v>1315</v>
      </c>
      <c r="V72" s="7" t="str">
        <f>HYPERLINK("https://www.ejacket.nsf.gov/ej/showProposal.do?ID="&amp;ckCodingTable[[#This Row],[prop_id]],"eJ")</f>
        <v>eJ</v>
      </c>
      <c r="W72" t="s">
        <v>478</v>
      </c>
      <c r="X72" t="s">
        <v>1742</v>
      </c>
      <c r="Y72" t="s">
        <v>1743</v>
      </c>
      <c r="Z72" t="s">
        <v>1744</v>
      </c>
      <c r="AA72" t="s">
        <v>1529</v>
      </c>
      <c r="AB72" s="111" t="str">
        <f>HYPERLINK("mailto:"&amp;ckCodingTable[[#This Row],[email]]&amp;"&amp;subject=Your NSF Proposal:  "&amp;ckCodingTable[[#This Row],[Div]]&amp;" "&amp;ckCodingTable[[#This Row],[prop_id]], ckCodingTable[[#This Row],[email]])</f>
        <v>ads22@bu.edu</v>
      </c>
      <c r="AC72" s="30">
        <v>43313</v>
      </c>
      <c r="AD72">
        <v>36</v>
      </c>
      <c r="AG72" s="112"/>
      <c r="AI72" s="26"/>
      <c r="AJ72" s="22"/>
      <c r="AN72" s="112"/>
      <c r="AO72" s="112"/>
      <c r="AP72" s="112"/>
      <c r="AQ72" s="112"/>
      <c r="AR72" s="7" t="str">
        <f>HYPERLINK("https://www.ejacket.nsf.gov/ej/showProposal.do?ID="&amp;ckCodingTable[[#This Row],[prop_id]],"eJ")</f>
        <v>eJ</v>
      </c>
      <c r="AS72" t="s">
        <v>172</v>
      </c>
      <c r="AT72" t="s">
        <v>1745</v>
      </c>
      <c r="AU72" t="b">
        <f>IF(ckCodingTable[[#This Row],[ILN]]="N",SUBSTITUTE(AT71," ","")&lt;&gt;SUBSTITUTE(ckCodingTable[[#This Row],[prop_titl_txt]]," ",""), FALSE)</f>
        <v>1</v>
      </c>
      <c r="AV72">
        <v>0</v>
      </c>
      <c r="AW72" s="13">
        <v>260000</v>
      </c>
      <c r="AX72" s="13">
        <v>260000</v>
      </c>
      <c r="AY72" s="13"/>
      <c r="AZ72" s="13"/>
      <c r="BA72" s="13"/>
      <c r="BB72" s="13"/>
      <c r="BC72">
        <v>6</v>
      </c>
      <c r="BD72">
        <v>3</v>
      </c>
      <c r="BE72">
        <v>1.65</v>
      </c>
      <c r="BH72">
        <v>0</v>
      </c>
      <c r="BI72">
        <v>0</v>
      </c>
      <c r="BJ72">
        <v>0</v>
      </c>
      <c r="BK72">
        <v>0</v>
      </c>
      <c r="BL72" t="s">
        <v>1746</v>
      </c>
    </row>
    <row r="73" spans="1:64" x14ac:dyDescent="0.4">
      <c r="A73" s="30"/>
      <c r="B73" s="30">
        <v>43004.525694444441</v>
      </c>
      <c r="C73" t="s">
        <v>524</v>
      </c>
      <c r="D73" t="s">
        <v>477</v>
      </c>
      <c r="E73" t="s">
        <v>582</v>
      </c>
      <c r="F73" t="s">
        <v>171</v>
      </c>
      <c r="G73" t="s">
        <v>169</v>
      </c>
      <c r="H73" s="21" t="s">
        <v>94</v>
      </c>
      <c r="I73" s="86">
        <v>1</v>
      </c>
      <c r="J73" s="86">
        <v>0</v>
      </c>
      <c r="K73" t="s">
        <v>525</v>
      </c>
      <c r="L73" t="s">
        <v>611</v>
      </c>
      <c r="M73" t="s">
        <v>309</v>
      </c>
      <c r="N73" t="str">
        <f>IF(SUM(ckCodingTable[[#This Row],[NfmlPIs]:[NnonWhtAsnPIs]])&gt;0,"WMD","")</f>
        <v/>
      </c>
      <c r="O73" t="b">
        <f>_xlfn.XOR(IFERROR(MATCH(ckCodingTable[[#This Row],[st_code]],EpscorTable[],0)&gt;0,FALSE),IFERROR(FIND("9150",ckCodingTable[[#This Row],[propPRCs]])&gt;0,FALSE))</f>
        <v>0</v>
      </c>
      <c r="P73" s="21" t="b">
        <f>_xlfn.XOR(ckCodingTable[[#This Row],[wmd]]&lt;&gt;"",IFERROR(FIND("9102",ckCodingTable[[#This Row],[propPRCs]])&gt;0,FALSE))</f>
        <v>0</v>
      </c>
      <c r="Q73" t="s">
        <v>1712</v>
      </c>
      <c r="R73" s="22">
        <v>43082.529895833337</v>
      </c>
      <c r="S73" s="108">
        <f>S72+(ckCodingTable[[#This Row],[ILN]]&lt;"M")</f>
        <v>66</v>
      </c>
      <c r="T73" s="21" t="s">
        <v>491</v>
      </c>
      <c r="U73" t="s">
        <v>1322</v>
      </c>
      <c r="V73" s="7" t="str">
        <f>HYPERLINK("https://www.ejacket.nsf.gov/ej/showProposal.do?ID="&amp;ckCodingTable[[#This Row],[prop_id]],"eJ")</f>
        <v>eJ</v>
      </c>
      <c r="W73" t="s">
        <v>478</v>
      </c>
      <c r="X73" t="s">
        <v>1322</v>
      </c>
      <c r="Y73" t="s">
        <v>1323</v>
      </c>
      <c r="Z73" t="s">
        <v>1747</v>
      </c>
      <c r="AA73" t="s">
        <v>1520</v>
      </c>
      <c r="AB73" s="111" t="str">
        <f>HYPERLINK("mailto:"&amp;ckCodingTable[[#This Row],[email]]&amp;"&amp;subject=Your NSF Proposal:  "&amp;ckCodingTable[[#This Row],[Div]]&amp;" "&amp;ckCodingTable[[#This Row],[prop_id]], ckCodingTable[[#This Row],[email]])</f>
        <v>kamesh@cs.duke.edu</v>
      </c>
      <c r="AC73" s="30">
        <v>43282</v>
      </c>
      <c r="AD73">
        <v>48</v>
      </c>
      <c r="AE73">
        <v>1</v>
      </c>
      <c r="AG73" s="112">
        <v>1</v>
      </c>
      <c r="AH73" t="s">
        <v>1748</v>
      </c>
      <c r="AI73" s="26">
        <v>5</v>
      </c>
      <c r="AJ73" s="22">
        <v>43081.281944444447</v>
      </c>
      <c r="AK73" s="21">
        <v>1</v>
      </c>
      <c r="AL73">
        <v>4</v>
      </c>
      <c r="AN73" s="112">
        <v>4</v>
      </c>
      <c r="AO73" s="112"/>
      <c r="AP73" s="112"/>
      <c r="AQ73" s="112"/>
      <c r="AR73" s="7" t="str">
        <f>HYPERLINK("https://www.ejacket.nsf.gov/ej/showProposal.do?ID="&amp;ckCodingTable[[#This Row],[prop_id]],"eJ")</f>
        <v>eJ</v>
      </c>
      <c r="AS73" t="s">
        <v>172</v>
      </c>
      <c r="AT73" t="s">
        <v>1749</v>
      </c>
      <c r="AU73" t="b">
        <f>IF(ckCodingTable[[#This Row],[ILN]]="N",SUBSTITUTE(AT72," ","")&lt;&gt;SUBSTITUTE(ckCodingTable[[#This Row],[prop_titl_txt]]," ",""), FALSE)</f>
        <v>0</v>
      </c>
      <c r="AV73">
        <v>0</v>
      </c>
      <c r="AW73" s="13">
        <v>599974</v>
      </c>
      <c r="AX73" s="13">
        <v>599974</v>
      </c>
      <c r="AY73" s="13"/>
      <c r="AZ73" s="13">
        <v>13912</v>
      </c>
      <c r="BA73" s="13"/>
      <c r="BB73" s="13"/>
      <c r="BC73">
        <v>5</v>
      </c>
      <c r="BD73">
        <v>4</v>
      </c>
      <c r="BE73">
        <v>7</v>
      </c>
      <c r="BH73">
        <v>0</v>
      </c>
      <c r="BI73">
        <v>0</v>
      </c>
      <c r="BJ73">
        <v>0</v>
      </c>
      <c r="BK73">
        <v>0</v>
      </c>
      <c r="BL73" t="s">
        <v>1750</v>
      </c>
    </row>
    <row r="74" spans="1:64" x14ac:dyDescent="0.4">
      <c r="A74" s="30"/>
      <c r="B74" s="30">
        <v>43004.724999999999</v>
      </c>
      <c r="C74" t="s">
        <v>524</v>
      </c>
      <c r="D74" t="s">
        <v>477</v>
      </c>
      <c r="E74" t="s">
        <v>582</v>
      </c>
      <c r="F74" t="s">
        <v>171</v>
      </c>
      <c r="G74" t="s">
        <v>169</v>
      </c>
      <c r="H74" s="21" t="s">
        <v>94</v>
      </c>
      <c r="I74" s="86">
        <v>1</v>
      </c>
      <c r="J74" s="86">
        <v>0</v>
      </c>
      <c r="K74" t="s">
        <v>525</v>
      </c>
      <c r="L74" t="s">
        <v>611</v>
      </c>
      <c r="M74" t="s">
        <v>1470</v>
      </c>
      <c r="N74" t="str">
        <f>IF(SUM(ckCodingTable[[#This Row],[NfmlPIs]:[NnonWhtAsnPIs]])&gt;0,"WMD","")</f>
        <v/>
      </c>
      <c r="O74" t="b">
        <f>_xlfn.XOR(IFERROR(MATCH(ckCodingTable[[#This Row],[st_code]],EpscorTable[],0)&gt;0,FALSE),IFERROR(FIND("9150",ckCodingTable[[#This Row],[propPRCs]])&gt;0,FALSE))</f>
        <v>0</v>
      </c>
      <c r="P74" s="21" t="b">
        <f>_xlfn.XOR(ckCodingTable[[#This Row],[wmd]]&lt;&gt;"",IFERROR(FIND("9102",ckCodingTable[[#This Row],[propPRCs]])&gt;0,FALSE))</f>
        <v>0</v>
      </c>
      <c r="Q74" t="s">
        <v>1712</v>
      </c>
      <c r="R74" s="22">
        <v>43082.529895833337</v>
      </c>
      <c r="S74" s="108">
        <f>S73+(ckCodingTable[[#This Row],[ILN]]&lt;"M")</f>
        <v>66</v>
      </c>
      <c r="T74" s="21" t="s">
        <v>493</v>
      </c>
      <c r="U74" t="s">
        <v>1322</v>
      </c>
      <c r="V74" s="7" t="str">
        <f>HYPERLINK("https://www.ejacket.nsf.gov/ej/showProposal.do?ID="&amp;ckCodingTable[[#This Row],[prop_id]],"eJ")</f>
        <v>eJ</v>
      </c>
      <c r="W74" t="s">
        <v>478</v>
      </c>
      <c r="X74" t="s">
        <v>1751</v>
      </c>
      <c r="Y74" t="s">
        <v>1752</v>
      </c>
      <c r="Z74" t="s">
        <v>1753</v>
      </c>
      <c r="AA74" t="s">
        <v>1754</v>
      </c>
      <c r="AB74" s="111" t="str">
        <f>HYPERLINK("mailto:"&amp;ckCodingTable[[#This Row],[email]]&amp;"&amp;subject=Your NSF Proposal:  "&amp;ckCodingTable[[#This Row],[Div]]&amp;" "&amp;ckCodingTable[[#This Row],[prop_id]], ckCodingTable[[#This Row],[email]])</f>
        <v>sbanerjee@cornell.edu</v>
      </c>
      <c r="AC74" s="30">
        <v>43282</v>
      </c>
      <c r="AD74">
        <v>48</v>
      </c>
      <c r="AG74" s="112"/>
      <c r="AI74" s="26"/>
      <c r="AJ74" s="22"/>
      <c r="AN74" s="112"/>
      <c r="AO74" s="112"/>
      <c r="AP74" s="112"/>
      <c r="AQ74" s="112"/>
      <c r="AR74" s="7" t="str">
        <f>HYPERLINK("https://www.ejacket.nsf.gov/ej/showProposal.do?ID="&amp;ckCodingTable[[#This Row],[prop_id]],"eJ")</f>
        <v>eJ</v>
      </c>
      <c r="AS74" t="s">
        <v>172</v>
      </c>
      <c r="AT74" t="s">
        <v>1749</v>
      </c>
      <c r="AU74" t="b">
        <f>IF(ckCodingTable[[#This Row],[ILN]]="N",SUBSTITUTE(AT73," ","")&lt;&gt;SUBSTITUTE(ckCodingTable[[#This Row],[prop_titl_txt]]," ",""), FALSE)</f>
        <v>0</v>
      </c>
      <c r="AV74">
        <v>0</v>
      </c>
      <c r="AW74" s="13">
        <v>599070</v>
      </c>
      <c r="AX74" s="13">
        <v>599070</v>
      </c>
      <c r="AY74" s="13"/>
      <c r="AZ74" s="13">
        <v>24000</v>
      </c>
      <c r="BA74" s="13"/>
      <c r="BB74" s="13"/>
      <c r="BC74">
        <v>4</v>
      </c>
      <c r="BD74">
        <v>4</v>
      </c>
      <c r="BE74">
        <v>6</v>
      </c>
      <c r="BH74">
        <v>0</v>
      </c>
      <c r="BI74">
        <v>0</v>
      </c>
      <c r="BJ74">
        <v>0</v>
      </c>
      <c r="BK74">
        <v>0</v>
      </c>
      <c r="BL74" t="s">
        <v>1755</v>
      </c>
    </row>
    <row r="75" spans="1:64" x14ac:dyDescent="0.4">
      <c r="A75" s="30"/>
      <c r="B75" s="30">
        <v>43005.413194444445</v>
      </c>
      <c r="C75" t="s">
        <v>524</v>
      </c>
      <c r="D75" t="s">
        <v>477</v>
      </c>
      <c r="E75" t="s">
        <v>582</v>
      </c>
      <c r="F75" t="s">
        <v>171</v>
      </c>
      <c r="G75" t="s">
        <v>169</v>
      </c>
      <c r="H75" s="21" t="s">
        <v>94</v>
      </c>
      <c r="I75" s="86">
        <v>1</v>
      </c>
      <c r="J75" s="86">
        <v>0</v>
      </c>
      <c r="K75" t="s">
        <v>525</v>
      </c>
      <c r="L75" t="s">
        <v>654</v>
      </c>
      <c r="M75" t="s">
        <v>1470</v>
      </c>
      <c r="N75" t="str">
        <f>IF(SUM(ckCodingTable[[#This Row],[NfmlPIs]:[NnonWhtAsnPIs]])&gt;0,"WMD","")</f>
        <v/>
      </c>
      <c r="O75" t="b">
        <f>_xlfn.XOR(IFERROR(MATCH(ckCodingTable[[#This Row],[st_code]],EpscorTable[],0)&gt;0,FALSE),IFERROR(FIND("9150",ckCodingTable[[#This Row],[propPRCs]])&gt;0,FALSE))</f>
        <v>0</v>
      </c>
      <c r="P75" s="21" t="b">
        <f>_xlfn.XOR(ckCodingTable[[#This Row],[wmd]]&lt;&gt;"",IFERROR(FIND("9102",ckCodingTable[[#This Row],[propPRCs]])&gt;0,FALSE))</f>
        <v>0</v>
      </c>
      <c r="Q75" t="s">
        <v>1704</v>
      </c>
      <c r="R75" s="22">
        <v>43082.529965277776</v>
      </c>
      <c r="S75" s="108">
        <f>S74+(ckCodingTable[[#This Row],[ILN]]&lt;"M")</f>
        <v>67</v>
      </c>
      <c r="T75" s="21" t="s">
        <v>491</v>
      </c>
      <c r="U75" t="s">
        <v>1334</v>
      </c>
      <c r="V75" s="7" t="str">
        <f>HYPERLINK("https://www.ejacket.nsf.gov/ej/showProposal.do?ID="&amp;ckCodingTable[[#This Row],[prop_id]],"eJ")</f>
        <v>eJ</v>
      </c>
      <c r="W75" t="s">
        <v>478</v>
      </c>
      <c r="X75" t="s">
        <v>1334</v>
      </c>
      <c r="Y75" t="s">
        <v>1335</v>
      </c>
      <c r="Z75" t="s">
        <v>1756</v>
      </c>
      <c r="AA75" t="s">
        <v>1512</v>
      </c>
      <c r="AB75" s="111" t="str">
        <f>HYPERLINK("mailto:"&amp;ckCodingTable[[#This Row],[email]]&amp;"&amp;subject=Your NSF Proposal:  "&amp;ckCodingTable[[#This Row],[Div]]&amp;" "&amp;ckCodingTable[[#This Row],[prop_id]], ckCodingTable[[#This Row],[email]])</f>
        <v>atri@buffalo.edu</v>
      </c>
      <c r="AC75" s="30">
        <v>43191</v>
      </c>
      <c r="AD75">
        <v>48</v>
      </c>
      <c r="AE75">
        <v>1</v>
      </c>
      <c r="AG75" s="112">
        <v>1</v>
      </c>
      <c r="AH75" t="s">
        <v>1757</v>
      </c>
      <c r="AI75" s="26">
        <v>5</v>
      </c>
      <c r="AJ75" s="22">
        <v>43081.477777777778</v>
      </c>
      <c r="AL75">
        <v>4</v>
      </c>
      <c r="AN75" s="112">
        <v>4</v>
      </c>
      <c r="AO75" s="112"/>
      <c r="AP75" s="112"/>
      <c r="AQ75" s="112"/>
      <c r="AR75" s="7" t="str">
        <f>HYPERLINK("https://www.ejacket.nsf.gov/ej/showProposal.do?ID="&amp;ckCodingTable[[#This Row],[prop_id]],"eJ")</f>
        <v>eJ</v>
      </c>
      <c r="AS75" t="s">
        <v>172</v>
      </c>
      <c r="AT75" t="s">
        <v>1758</v>
      </c>
      <c r="AU75" t="b">
        <f>IF(ckCodingTable[[#This Row],[ILN]]="N",SUBSTITUTE(AT74," ","")&lt;&gt;SUBSTITUTE(ckCodingTable[[#This Row],[prop_titl_txt]]," ",""), FALSE)</f>
        <v>0</v>
      </c>
      <c r="AV75">
        <v>0</v>
      </c>
      <c r="AW75" s="13">
        <v>645322</v>
      </c>
      <c r="AX75" s="13">
        <v>645322</v>
      </c>
      <c r="AY75" s="13"/>
      <c r="AZ75" s="13">
        <v>20000</v>
      </c>
      <c r="BA75" s="13"/>
      <c r="BB75" s="13">
        <v>27000</v>
      </c>
      <c r="BC75">
        <v>4</v>
      </c>
      <c r="BD75">
        <v>4</v>
      </c>
      <c r="BE75">
        <v>7</v>
      </c>
      <c r="BH75">
        <v>0</v>
      </c>
      <c r="BI75">
        <v>0</v>
      </c>
      <c r="BJ75">
        <v>0</v>
      </c>
      <c r="BK75">
        <v>0</v>
      </c>
      <c r="BL75" t="s">
        <v>1759</v>
      </c>
    </row>
    <row r="76" spans="1:64" x14ac:dyDescent="0.4">
      <c r="A76" s="30"/>
      <c r="B76" s="30">
        <v>43004.498611111114</v>
      </c>
      <c r="C76" t="s">
        <v>524</v>
      </c>
      <c r="D76" t="s">
        <v>477</v>
      </c>
      <c r="E76" t="s">
        <v>582</v>
      </c>
      <c r="F76" t="s">
        <v>171</v>
      </c>
      <c r="G76" t="s">
        <v>169</v>
      </c>
      <c r="H76" s="21" t="s">
        <v>94</v>
      </c>
      <c r="I76" s="86">
        <v>1</v>
      </c>
      <c r="J76" s="86">
        <v>0</v>
      </c>
      <c r="K76" t="s">
        <v>525</v>
      </c>
      <c r="L76" t="s">
        <v>654</v>
      </c>
      <c r="M76" t="s">
        <v>230</v>
      </c>
      <c r="N76" t="str">
        <f>IF(SUM(ckCodingTable[[#This Row],[NfmlPIs]:[NnonWhtAsnPIs]])&gt;0,"WMD","")</f>
        <v/>
      </c>
      <c r="O76" t="b">
        <f>_xlfn.XOR(IFERROR(MATCH(ckCodingTable[[#This Row],[st_code]],EpscorTable[],0)&gt;0,FALSE),IFERROR(FIND("9150",ckCodingTable[[#This Row],[propPRCs]])&gt;0,FALSE))</f>
        <v>0</v>
      </c>
      <c r="P76" s="21" t="b">
        <f>_xlfn.XOR(ckCodingTable[[#This Row],[wmd]]&lt;&gt;"",IFERROR(FIND("9102",ckCodingTable[[#This Row],[propPRCs]])&gt;0,FALSE))</f>
        <v>0</v>
      </c>
      <c r="Q76" t="s">
        <v>1704</v>
      </c>
      <c r="R76" s="22">
        <v>43082.529965277776</v>
      </c>
      <c r="S76" s="108">
        <f>S75+(ckCodingTable[[#This Row],[ILN]]&lt;"M")</f>
        <v>67</v>
      </c>
      <c r="T76" s="21" t="s">
        <v>493</v>
      </c>
      <c r="U76" t="s">
        <v>1334</v>
      </c>
      <c r="V76" s="7" t="str">
        <f>HYPERLINK("https://www.ejacket.nsf.gov/ej/showProposal.do?ID="&amp;ckCodingTable[[#This Row],[prop_id]],"eJ")</f>
        <v>eJ</v>
      </c>
      <c r="W76" t="s">
        <v>478</v>
      </c>
      <c r="X76" t="s">
        <v>1760</v>
      </c>
      <c r="Y76" t="s">
        <v>1761</v>
      </c>
      <c r="Z76" t="s">
        <v>1762</v>
      </c>
      <c r="AA76" t="s">
        <v>1465</v>
      </c>
      <c r="AB76" s="111" t="str">
        <f>HYPERLINK("mailto:"&amp;ckCodingTable[[#This Row],[email]]&amp;"&amp;subject=Your NSF Proposal:  "&amp;ckCodingTable[[#This Row],[Div]]&amp;" "&amp;ckCodingTable[[#This Row],[prop_id]], ckCodingTable[[#This Row],[email]])</f>
        <v>chrismre@cs.stanford.edu</v>
      </c>
      <c r="AC76" s="30">
        <v>43191</v>
      </c>
      <c r="AD76">
        <v>48</v>
      </c>
      <c r="AG76" s="112"/>
      <c r="AI76" s="26"/>
      <c r="AJ76" s="22"/>
      <c r="AN76" s="112"/>
      <c r="AO76" s="112"/>
      <c r="AP76" s="112"/>
      <c r="AQ76" s="112"/>
      <c r="AR76" s="7" t="str">
        <f>HYPERLINK("https://www.ejacket.nsf.gov/ej/showProposal.do?ID="&amp;ckCodingTable[[#This Row],[prop_id]],"eJ")</f>
        <v>eJ</v>
      </c>
      <c r="AS76" t="s">
        <v>172</v>
      </c>
      <c r="AT76" t="s">
        <v>1758</v>
      </c>
      <c r="AU76" t="b">
        <f>IF(ckCodingTable[[#This Row],[ILN]]="N",SUBSTITUTE(AT75," ","")&lt;&gt;SUBSTITUTE(ckCodingTable[[#This Row],[prop_titl_txt]]," ",""), FALSE)</f>
        <v>0</v>
      </c>
      <c r="AV76">
        <v>0</v>
      </c>
      <c r="AW76" s="13">
        <v>552118</v>
      </c>
      <c r="AX76" s="13">
        <v>552118</v>
      </c>
      <c r="AY76" s="13"/>
      <c r="AZ76" s="13"/>
      <c r="BA76" s="13"/>
      <c r="BB76" s="13"/>
      <c r="BC76">
        <v>4</v>
      </c>
      <c r="BD76">
        <v>4</v>
      </c>
      <c r="BE76">
        <v>0.84</v>
      </c>
      <c r="BF76">
        <v>1.8</v>
      </c>
      <c r="BH76">
        <v>0</v>
      </c>
      <c r="BI76">
        <v>0</v>
      </c>
      <c r="BJ76">
        <v>0</v>
      </c>
      <c r="BK76">
        <v>0</v>
      </c>
      <c r="BL76" t="s">
        <v>1763</v>
      </c>
    </row>
    <row r="77" spans="1:64" x14ac:dyDescent="0.4">
      <c r="A77" s="30"/>
      <c r="B77" s="30">
        <v>43005.479861111111</v>
      </c>
      <c r="C77" t="s">
        <v>524</v>
      </c>
      <c r="D77" t="s">
        <v>477</v>
      </c>
      <c r="E77" t="s">
        <v>582</v>
      </c>
      <c r="F77" t="s">
        <v>171</v>
      </c>
      <c r="G77" t="s">
        <v>169</v>
      </c>
      <c r="H77" s="21" t="s">
        <v>94</v>
      </c>
      <c r="I77" s="86">
        <v>1</v>
      </c>
      <c r="J77" s="86">
        <v>0</v>
      </c>
      <c r="K77" t="s">
        <v>525</v>
      </c>
      <c r="L77" t="s">
        <v>654</v>
      </c>
      <c r="M77" t="s">
        <v>231</v>
      </c>
      <c r="N77" t="str">
        <f>IF(SUM(ckCodingTable[[#This Row],[NfmlPIs]:[NnonWhtAsnPIs]])&gt;0,"WMD","")</f>
        <v/>
      </c>
      <c r="O77" t="b">
        <f>_xlfn.XOR(IFERROR(MATCH(ckCodingTable[[#This Row],[st_code]],EpscorTable[],0)&gt;0,FALSE),IFERROR(FIND("9150",ckCodingTable[[#This Row],[propPRCs]])&gt;0,FALSE))</f>
        <v>0</v>
      </c>
      <c r="P77" s="21" t="b">
        <f>_xlfn.XOR(ckCodingTable[[#This Row],[wmd]]&lt;&gt;"",IFERROR(FIND("9102",ckCodingTable[[#This Row],[propPRCs]])&gt;0,FALSE))</f>
        <v>0</v>
      </c>
      <c r="Q77" t="s">
        <v>1704</v>
      </c>
      <c r="R77" s="22">
        <v>43082.530034722222</v>
      </c>
      <c r="S77" s="108">
        <f>S76+(ckCodingTable[[#This Row],[ILN]]&lt;"M")</f>
        <v>68</v>
      </c>
      <c r="T77" s="21" t="s">
        <v>491</v>
      </c>
      <c r="U77" t="s">
        <v>1343</v>
      </c>
      <c r="V77" s="7" t="str">
        <f>HYPERLINK("https://www.ejacket.nsf.gov/ej/showProposal.do?ID="&amp;ckCodingTable[[#This Row],[prop_id]],"eJ")</f>
        <v>eJ</v>
      </c>
      <c r="W77" t="s">
        <v>478</v>
      </c>
      <c r="X77" t="s">
        <v>1343</v>
      </c>
      <c r="Y77" t="s">
        <v>489</v>
      </c>
      <c r="Z77" t="s">
        <v>1566</v>
      </c>
      <c r="AA77" t="s">
        <v>502</v>
      </c>
      <c r="AB77" s="111" t="str">
        <f>HYPERLINK("mailto:"&amp;ckCodingTable[[#This Row],[email]]&amp;"&amp;subject=Your NSF Proposal:  "&amp;ckCodingTable[[#This Row],[Div]]&amp;" "&amp;ckCodingTable[[#This Row],[prop_id]], ckCodingTable[[#This Row],[email]])</f>
        <v>hu.nguyen@neu.edu</v>
      </c>
      <c r="AC77" s="30">
        <v>43344</v>
      </c>
      <c r="AD77">
        <v>48</v>
      </c>
      <c r="AE77">
        <v>1</v>
      </c>
      <c r="AG77" s="112">
        <v>1</v>
      </c>
      <c r="AH77" t="s">
        <v>1563</v>
      </c>
      <c r="AI77" s="26">
        <v>5.5</v>
      </c>
      <c r="AJ77" s="22">
        <v>43081.395138888889</v>
      </c>
      <c r="AL77">
        <v>4</v>
      </c>
      <c r="AN77" s="112">
        <v>4</v>
      </c>
      <c r="AO77" s="112"/>
      <c r="AP77" s="112"/>
      <c r="AQ77" s="112"/>
      <c r="AR77" s="7" t="str">
        <f>HYPERLINK("https://www.ejacket.nsf.gov/ej/showProposal.do?ID="&amp;ckCodingTable[[#This Row],[prop_id]],"eJ")</f>
        <v>eJ</v>
      </c>
      <c r="AS77" t="s">
        <v>172</v>
      </c>
      <c r="AT77" t="s">
        <v>1764</v>
      </c>
      <c r="AU77" t="b">
        <f>IF(ckCodingTable[[#This Row],[ILN]]="N",SUBSTITUTE(AT76," ","")&lt;&gt;SUBSTITUTE(ckCodingTable[[#This Row],[prop_titl_txt]]," ",""), FALSE)</f>
        <v>0</v>
      </c>
      <c r="AV77">
        <v>0</v>
      </c>
      <c r="AW77" s="13">
        <v>574949</v>
      </c>
      <c r="AX77" s="13">
        <v>574949</v>
      </c>
      <c r="AY77" s="13"/>
      <c r="AZ77" s="13">
        <v>12300</v>
      </c>
      <c r="BA77" s="13">
        <v>71475</v>
      </c>
      <c r="BB77" s="13"/>
      <c r="BC77">
        <v>4</v>
      </c>
      <c r="BD77">
        <v>4</v>
      </c>
      <c r="BE77">
        <v>4</v>
      </c>
      <c r="BH77">
        <v>0</v>
      </c>
      <c r="BI77">
        <v>0</v>
      </c>
      <c r="BJ77">
        <v>0</v>
      </c>
      <c r="BK77">
        <v>0</v>
      </c>
      <c r="BL77" t="s">
        <v>1569</v>
      </c>
    </row>
    <row r="78" spans="1:64" x14ac:dyDescent="0.4">
      <c r="A78" s="30"/>
      <c r="B78" s="30">
        <v>43005.434027777781</v>
      </c>
      <c r="C78" t="s">
        <v>524</v>
      </c>
      <c r="D78" t="s">
        <v>477</v>
      </c>
      <c r="E78" t="s">
        <v>582</v>
      </c>
      <c r="F78" t="s">
        <v>171</v>
      </c>
      <c r="G78" t="s">
        <v>169</v>
      </c>
      <c r="H78" s="21" t="s">
        <v>94</v>
      </c>
      <c r="I78" s="86">
        <v>1</v>
      </c>
      <c r="J78" s="86">
        <v>0</v>
      </c>
      <c r="K78" t="s">
        <v>525</v>
      </c>
      <c r="L78" t="s">
        <v>654</v>
      </c>
      <c r="M78" t="s">
        <v>231</v>
      </c>
      <c r="N78" t="str">
        <f>IF(SUM(ckCodingTable[[#This Row],[NfmlPIs]:[NnonWhtAsnPIs]])&gt;0,"WMD","")</f>
        <v>WMD</v>
      </c>
      <c r="O78" t="b">
        <f>_xlfn.XOR(IFERROR(MATCH(ckCodingTable[[#This Row],[st_code]],EpscorTable[],0)&gt;0,FALSE),IFERROR(FIND("9150",ckCodingTable[[#This Row],[propPRCs]])&gt;0,FALSE))</f>
        <v>0</v>
      </c>
      <c r="P78" s="21" t="b">
        <f>_xlfn.XOR(ckCodingTable[[#This Row],[wmd]]&lt;&gt;"",IFERROR(FIND("9102",ckCodingTable[[#This Row],[propPRCs]])&gt;0,FALSE))</f>
        <v>1</v>
      </c>
      <c r="Q78" t="s">
        <v>1704</v>
      </c>
      <c r="R78" s="22">
        <v>43082.530034722222</v>
      </c>
      <c r="S78" s="108">
        <f>S77+(ckCodingTable[[#This Row],[ILN]]&lt;"M")</f>
        <v>68</v>
      </c>
      <c r="T78" s="21" t="s">
        <v>493</v>
      </c>
      <c r="U78" t="s">
        <v>1343</v>
      </c>
      <c r="V78" s="7" t="str">
        <f>HYPERLINK("https://www.ejacket.nsf.gov/ej/showProposal.do?ID="&amp;ckCodingTable[[#This Row],[prop_id]],"eJ")</f>
        <v>eJ</v>
      </c>
      <c r="W78" t="s">
        <v>478</v>
      </c>
      <c r="X78" t="s">
        <v>1765</v>
      </c>
      <c r="Y78" t="s">
        <v>1766</v>
      </c>
      <c r="Z78" t="s">
        <v>1767</v>
      </c>
      <c r="AA78" t="s">
        <v>1728</v>
      </c>
      <c r="AB78" s="111" t="str">
        <f>HYPERLINK("mailto:"&amp;ckCodingTable[[#This Row],[email]]&amp;"&amp;subject=Your NSF Proposal:  "&amp;ckCodingTable[[#This Row],[Div]]&amp;" "&amp;ckCodingTable[[#This Row],[prop_id]], ckCodingTable[[#This Row],[email]])</f>
        <v>minilek@seas.harvard.edu</v>
      </c>
      <c r="AC78" s="30">
        <v>43344</v>
      </c>
      <c r="AD78">
        <v>48</v>
      </c>
      <c r="AG78" s="112"/>
      <c r="AI78" s="26"/>
      <c r="AJ78" s="22"/>
      <c r="AN78" s="112"/>
      <c r="AO78" s="112"/>
      <c r="AP78" s="112"/>
      <c r="AQ78" s="112"/>
      <c r="AR78" s="7" t="str">
        <f>HYPERLINK("https://www.ejacket.nsf.gov/ej/showProposal.do?ID="&amp;ckCodingTable[[#This Row],[prop_id]],"eJ")</f>
        <v>eJ</v>
      </c>
      <c r="AS78" t="s">
        <v>172</v>
      </c>
      <c r="AT78" t="s">
        <v>1764</v>
      </c>
      <c r="AU78" t="b">
        <f>IF(ckCodingTable[[#This Row],[ILN]]="N",SUBSTITUTE(AT77," ","")&lt;&gt;SUBSTITUTE(ckCodingTable[[#This Row],[prop_titl_txt]]," ",""), FALSE)</f>
        <v>0</v>
      </c>
      <c r="AV78">
        <v>0</v>
      </c>
      <c r="AW78" s="13">
        <v>475000</v>
      </c>
      <c r="AX78" s="13">
        <v>475000</v>
      </c>
      <c r="AY78" s="13"/>
      <c r="AZ78" s="13">
        <v>12713</v>
      </c>
      <c r="BA78" s="13"/>
      <c r="BB78" s="13"/>
      <c r="BC78">
        <v>5</v>
      </c>
      <c r="BD78">
        <v>3</v>
      </c>
      <c r="BG78">
        <v>3</v>
      </c>
      <c r="BH78">
        <v>0</v>
      </c>
      <c r="BI78">
        <v>0</v>
      </c>
      <c r="BJ78">
        <v>1</v>
      </c>
      <c r="BK78">
        <v>0</v>
      </c>
      <c r="BL78" t="s">
        <v>1768</v>
      </c>
    </row>
    <row r="79" spans="1:64" x14ac:dyDescent="0.4">
      <c r="A79" s="30"/>
      <c r="B79" s="30">
        <v>43005.582638888889</v>
      </c>
      <c r="C79" t="s">
        <v>524</v>
      </c>
      <c r="D79" t="s">
        <v>477</v>
      </c>
      <c r="E79" t="s">
        <v>582</v>
      </c>
      <c r="F79" t="s">
        <v>171</v>
      </c>
      <c r="G79" t="s">
        <v>169</v>
      </c>
      <c r="H79" s="21" t="s">
        <v>94</v>
      </c>
      <c r="I79" s="86">
        <v>1</v>
      </c>
      <c r="J79" s="86">
        <v>0</v>
      </c>
      <c r="K79" t="s">
        <v>525</v>
      </c>
      <c r="L79" t="s">
        <v>611</v>
      </c>
      <c r="M79" t="s">
        <v>117</v>
      </c>
      <c r="N79" t="str">
        <f>IF(SUM(ckCodingTable[[#This Row],[NfmlPIs]:[NnonWhtAsnPIs]])&gt;0,"WMD","")</f>
        <v/>
      </c>
      <c r="O79" t="b">
        <f>_xlfn.XOR(IFERROR(MATCH(ckCodingTable[[#This Row],[st_code]],EpscorTable[],0)&gt;0,FALSE),IFERROR(FIND("9150",ckCodingTable[[#This Row],[propPRCs]])&gt;0,FALSE))</f>
        <v>0</v>
      </c>
      <c r="P79" s="21" t="b">
        <f>_xlfn.XOR(ckCodingTable[[#This Row],[wmd]]&lt;&gt;"",IFERROR(FIND("9102",ckCodingTable[[#This Row],[propPRCs]])&gt;0,FALSE))</f>
        <v>0</v>
      </c>
      <c r="Q79" t="s">
        <v>1769</v>
      </c>
      <c r="R79" s="22">
        <v>43082.530104166668</v>
      </c>
      <c r="S79" s="108">
        <f>S78+(ckCodingTable[[#This Row],[ILN]]&lt;"M")</f>
        <v>69</v>
      </c>
      <c r="T79" s="21" t="s">
        <v>491</v>
      </c>
      <c r="U79" t="s">
        <v>1351</v>
      </c>
      <c r="V79" s="7" t="str">
        <f>HYPERLINK("https://www.ejacket.nsf.gov/ej/showProposal.do?ID="&amp;ckCodingTable[[#This Row],[prop_id]],"eJ")</f>
        <v>eJ</v>
      </c>
      <c r="W79" t="s">
        <v>478</v>
      </c>
      <c r="X79" t="s">
        <v>1351</v>
      </c>
      <c r="Y79" t="s">
        <v>1352</v>
      </c>
      <c r="Z79" t="s">
        <v>1770</v>
      </c>
      <c r="AA79" t="s">
        <v>1771</v>
      </c>
      <c r="AB79" s="111" t="str">
        <f>HYPERLINK("mailto:"&amp;ckCodingTable[[#This Row],[email]]&amp;"&amp;subject=Your NSF Proposal:  "&amp;ckCodingTable[[#This Row],[Div]]&amp;" "&amp;ckCodingTable[[#This Row],[prop_id]], ckCodingTable[[#This Row],[email]])</f>
        <v>qcheng@ou.edu</v>
      </c>
      <c r="AC79" s="30">
        <v>43282</v>
      </c>
      <c r="AD79">
        <v>36</v>
      </c>
      <c r="AE79">
        <v>1</v>
      </c>
      <c r="AG79" s="112">
        <v>1</v>
      </c>
      <c r="AH79" t="s">
        <v>1772</v>
      </c>
      <c r="AI79" s="26">
        <v>5</v>
      </c>
      <c r="AJ79" s="22">
        <v>43081.617361111108</v>
      </c>
      <c r="AL79">
        <v>4</v>
      </c>
      <c r="AN79" s="112">
        <v>4</v>
      </c>
      <c r="AO79" s="112"/>
      <c r="AP79" s="112"/>
      <c r="AQ79" s="112"/>
      <c r="AR79" s="7" t="str">
        <f>HYPERLINK("https://www.ejacket.nsf.gov/ej/showProposal.do?ID="&amp;ckCodingTable[[#This Row],[prop_id]],"eJ")</f>
        <v>eJ</v>
      </c>
      <c r="AS79" t="s">
        <v>172</v>
      </c>
      <c r="AT79" t="s">
        <v>1773</v>
      </c>
      <c r="AU79" t="b">
        <f>IF(ckCodingTable[[#This Row],[ILN]]="N",SUBSTITUTE(AT78," ","")&lt;&gt;SUBSTITUTE(ckCodingTable[[#This Row],[prop_titl_txt]]," ",""), FALSE)</f>
        <v>0</v>
      </c>
      <c r="AV79">
        <v>0</v>
      </c>
      <c r="AW79" s="13">
        <v>298823</v>
      </c>
      <c r="AX79" s="13">
        <v>298823</v>
      </c>
      <c r="AY79" s="13"/>
      <c r="AZ79" s="13"/>
      <c r="BA79" s="13"/>
      <c r="BB79" s="13"/>
      <c r="BC79">
        <v>3</v>
      </c>
      <c r="BD79">
        <v>3</v>
      </c>
      <c r="BE79">
        <v>3</v>
      </c>
      <c r="BH79">
        <v>0</v>
      </c>
      <c r="BI79">
        <v>0</v>
      </c>
      <c r="BJ79">
        <v>0</v>
      </c>
      <c r="BK79">
        <v>0</v>
      </c>
      <c r="BL79" t="s">
        <v>1774</v>
      </c>
    </row>
    <row r="80" spans="1:64" x14ac:dyDescent="0.4">
      <c r="A80" s="30"/>
      <c r="B80" s="30">
        <v>43005.537499999999</v>
      </c>
      <c r="C80" t="s">
        <v>524</v>
      </c>
      <c r="D80" t="s">
        <v>477</v>
      </c>
      <c r="E80" t="s">
        <v>582</v>
      </c>
      <c r="F80" t="s">
        <v>171</v>
      </c>
      <c r="G80" t="s">
        <v>169</v>
      </c>
      <c r="H80" s="21" t="s">
        <v>94</v>
      </c>
      <c r="I80" s="86">
        <v>1</v>
      </c>
      <c r="J80" s="86">
        <v>0</v>
      </c>
      <c r="K80" t="s">
        <v>525</v>
      </c>
      <c r="L80" t="s">
        <v>611</v>
      </c>
      <c r="M80" t="s">
        <v>230</v>
      </c>
      <c r="N80" t="str">
        <f>IF(SUM(ckCodingTable[[#This Row],[NfmlPIs]:[NnonWhtAsnPIs]])&gt;0,"WMD","")</f>
        <v/>
      </c>
      <c r="O80" t="b">
        <f>_xlfn.XOR(IFERROR(MATCH(ckCodingTable[[#This Row],[st_code]],EpscorTable[],0)&gt;0,FALSE),IFERROR(FIND("9150",ckCodingTable[[#This Row],[propPRCs]])&gt;0,FALSE))</f>
        <v>0</v>
      </c>
      <c r="P80" s="21" t="b">
        <f>_xlfn.XOR(ckCodingTable[[#This Row],[wmd]]&lt;&gt;"",IFERROR(FIND("9102",ckCodingTable[[#This Row],[propPRCs]])&gt;0,FALSE))</f>
        <v>0</v>
      </c>
      <c r="Q80" t="s">
        <v>1722</v>
      </c>
      <c r="R80" s="22">
        <v>43082.530104166668</v>
      </c>
      <c r="S80" s="108">
        <f>S79+(ckCodingTable[[#This Row],[ILN]]&lt;"M")</f>
        <v>69</v>
      </c>
      <c r="T80" s="21" t="s">
        <v>493</v>
      </c>
      <c r="U80" t="s">
        <v>1351</v>
      </c>
      <c r="V80" s="7" t="str">
        <f>HYPERLINK("https://www.ejacket.nsf.gov/ej/showProposal.do?ID="&amp;ckCodingTable[[#This Row],[prop_id]],"eJ")</f>
        <v>eJ</v>
      </c>
      <c r="W80" t="s">
        <v>478</v>
      </c>
      <c r="X80" t="s">
        <v>1775</v>
      </c>
      <c r="Y80" t="s">
        <v>1776</v>
      </c>
      <c r="Z80" t="s">
        <v>1777</v>
      </c>
      <c r="AA80" t="s">
        <v>1709</v>
      </c>
      <c r="AB80" s="111" t="str">
        <f>HYPERLINK("mailto:"&amp;ckCodingTable[[#This Row],[email]]&amp;"&amp;subject=Your NSF Proposal:  "&amp;ckCodingTable[[#This Row],[Div]]&amp;" "&amp;ckCodingTable[[#This Row],[prop_id]], ckCodingTable[[#This Row],[email]])</f>
        <v>dwan@math.uci.edu</v>
      </c>
      <c r="AC80" s="30">
        <v>43282</v>
      </c>
      <c r="AD80">
        <v>36</v>
      </c>
      <c r="AG80" s="112"/>
      <c r="AI80" s="26"/>
      <c r="AJ80" s="22"/>
      <c r="AN80" s="112"/>
      <c r="AO80" s="112"/>
      <c r="AP80" s="112"/>
      <c r="AQ80" s="112"/>
      <c r="AR80" s="7" t="str">
        <f>HYPERLINK("https://www.ejacket.nsf.gov/ej/showProposal.do?ID="&amp;ckCodingTable[[#This Row],[prop_id]],"eJ")</f>
        <v>eJ</v>
      </c>
      <c r="AS80" t="s">
        <v>172</v>
      </c>
      <c r="AT80" t="s">
        <v>1773</v>
      </c>
      <c r="AU80" t="b">
        <f>IF(ckCodingTable[[#This Row],[ILN]]="N",SUBSTITUTE(AT79," ","")&lt;&gt;SUBSTITUTE(ckCodingTable[[#This Row],[prop_titl_txt]]," ",""), FALSE)</f>
        <v>0</v>
      </c>
      <c r="AV80">
        <v>0</v>
      </c>
      <c r="AW80" s="13">
        <v>299950</v>
      </c>
      <c r="AX80" s="13">
        <v>299950</v>
      </c>
      <c r="AY80" s="13"/>
      <c r="AZ80" s="13">
        <v>15455</v>
      </c>
      <c r="BA80" s="13"/>
      <c r="BB80" s="13"/>
      <c r="BC80">
        <v>3</v>
      </c>
      <c r="BD80">
        <v>3</v>
      </c>
      <c r="BE80">
        <v>3</v>
      </c>
      <c r="BH80">
        <v>0</v>
      </c>
      <c r="BI80">
        <v>0</v>
      </c>
      <c r="BJ80">
        <v>0</v>
      </c>
      <c r="BK80">
        <v>0</v>
      </c>
      <c r="BL80" t="s">
        <v>1778</v>
      </c>
    </row>
    <row r="81" spans="1:64" x14ac:dyDescent="0.4">
      <c r="A81" s="30"/>
      <c r="B81" s="30">
        <v>43005.547222222223</v>
      </c>
      <c r="C81" t="s">
        <v>524</v>
      </c>
      <c r="D81" t="s">
        <v>477</v>
      </c>
      <c r="E81" t="s">
        <v>582</v>
      </c>
      <c r="F81" t="s">
        <v>171</v>
      </c>
      <c r="G81" t="s">
        <v>169</v>
      </c>
      <c r="H81" s="21" t="s">
        <v>94</v>
      </c>
      <c r="I81" s="86">
        <v>1</v>
      </c>
      <c r="J81" s="86">
        <v>0</v>
      </c>
      <c r="K81" t="s">
        <v>525</v>
      </c>
      <c r="L81" t="s">
        <v>611</v>
      </c>
      <c r="M81" t="s">
        <v>119</v>
      </c>
      <c r="N81" t="str">
        <f>IF(SUM(ckCodingTable[[#This Row],[NfmlPIs]:[NnonWhtAsnPIs]])&gt;0,"WMD","")</f>
        <v/>
      </c>
      <c r="O81" t="b">
        <f>_xlfn.XOR(IFERROR(MATCH(ckCodingTable[[#This Row],[st_code]],EpscorTable[],0)&gt;0,FALSE),IFERROR(FIND("9150",ckCodingTable[[#This Row],[propPRCs]])&gt;0,FALSE))</f>
        <v>0</v>
      </c>
      <c r="P81" s="21" t="b">
        <f>_xlfn.XOR(ckCodingTable[[#This Row],[wmd]]&lt;&gt;"",IFERROR(FIND("9102",ckCodingTable[[#This Row],[propPRCs]])&gt;0,FALSE))</f>
        <v>0</v>
      </c>
      <c r="Q81" t="s">
        <v>1769</v>
      </c>
      <c r="R81" s="22">
        <v>43082.530104166668</v>
      </c>
      <c r="S81" s="108">
        <f>S80+(ckCodingTable[[#This Row],[ILN]]&lt;"M")</f>
        <v>69</v>
      </c>
      <c r="T81" s="21" t="s">
        <v>493</v>
      </c>
      <c r="U81" t="s">
        <v>1351</v>
      </c>
      <c r="V81" s="7" t="str">
        <f>HYPERLINK("https://www.ejacket.nsf.gov/ej/showProposal.do?ID="&amp;ckCodingTable[[#This Row],[prop_id]],"eJ")</f>
        <v>eJ</v>
      </c>
      <c r="W81" t="s">
        <v>478</v>
      </c>
      <c r="X81" t="s">
        <v>1779</v>
      </c>
      <c r="Y81" t="s">
        <v>1780</v>
      </c>
      <c r="Z81" t="s">
        <v>1781</v>
      </c>
      <c r="AA81" t="s">
        <v>1782</v>
      </c>
      <c r="AB81" s="111" t="str">
        <f>HYPERLINK("mailto:"&amp;ckCodingTable[[#This Row],[email]]&amp;"&amp;subject=Your NSF Proposal:  "&amp;ckCodingTable[[#This Row],[Div]]&amp;" "&amp;ckCodingTable[[#This Row],[prop_id]], ckCodingTable[[#This Row],[email]])</f>
        <v>sgao@clemson.edu</v>
      </c>
      <c r="AC81" s="30">
        <v>43282</v>
      </c>
      <c r="AD81">
        <v>36</v>
      </c>
      <c r="AG81" s="112"/>
      <c r="AI81" s="26"/>
      <c r="AJ81" s="22"/>
      <c r="AN81" s="112"/>
      <c r="AO81" s="112"/>
      <c r="AP81" s="112"/>
      <c r="AQ81" s="112"/>
      <c r="AR81" s="7" t="str">
        <f>HYPERLINK("https://www.ejacket.nsf.gov/ej/showProposal.do?ID="&amp;ckCodingTable[[#This Row],[prop_id]],"eJ")</f>
        <v>eJ</v>
      </c>
      <c r="AS81" t="s">
        <v>172</v>
      </c>
      <c r="AT81" t="s">
        <v>1783</v>
      </c>
      <c r="AU81" t="b">
        <f>IF(ckCodingTable[[#This Row],[ILN]]="N",SUBSTITUTE(AT80," ","")&lt;&gt;SUBSTITUTE(ckCodingTable[[#This Row],[prop_titl_txt]]," ",""), FALSE)</f>
        <v>0</v>
      </c>
      <c r="AV81">
        <v>0</v>
      </c>
      <c r="AW81" s="13">
        <v>299918</v>
      </c>
      <c r="AX81" s="13">
        <v>299918</v>
      </c>
      <c r="AY81" s="13"/>
      <c r="AZ81" s="13">
        <v>13500</v>
      </c>
      <c r="BA81" s="13"/>
      <c r="BB81" s="13"/>
      <c r="BC81">
        <v>3</v>
      </c>
      <c r="BD81">
        <v>3</v>
      </c>
      <c r="BE81">
        <v>3.3</v>
      </c>
      <c r="BH81">
        <v>0</v>
      </c>
      <c r="BI81">
        <v>0</v>
      </c>
      <c r="BJ81">
        <v>0</v>
      </c>
      <c r="BK81">
        <v>0</v>
      </c>
      <c r="BL81" t="s">
        <v>1784</v>
      </c>
    </row>
    <row r="82" spans="1:64" x14ac:dyDescent="0.4">
      <c r="A82" s="30"/>
      <c r="B82" s="30">
        <v>43005.606249999997</v>
      </c>
      <c r="C82" t="s">
        <v>524</v>
      </c>
      <c r="D82" t="s">
        <v>477</v>
      </c>
      <c r="E82" t="s">
        <v>582</v>
      </c>
      <c r="F82" t="s">
        <v>171</v>
      </c>
      <c r="G82" t="s">
        <v>169</v>
      </c>
      <c r="H82" s="21" t="s">
        <v>94</v>
      </c>
      <c r="I82" s="86">
        <v>1</v>
      </c>
      <c r="J82" s="86">
        <v>0</v>
      </c>
      <c r="K82" t="s">
        <v>525</v>
      </c>
      <c r="L82" t="s">
        <v>611</v>
      </c>
      <c r="M82" t="s">
        <v>310</v>
      </c>
      <c r="N82" t="str">
        <f>IF(SUM(ckCodingTable[[#This Row],[NfmlPIs]:[NnonWhtAsnPIs]])&gt;0,"WMD","")</f>
        <v>WMD</v>
      </c>
      <c r="O82" t="b">
        <f>_xlfn.XOR(IFERROR(MATCH(ckCodingTable[[#This Row],[st_code]],EpscorTable[],0)&gt;0,FALSE),IFERROR(FIND("9150",ckCodingTable[[#This Row],[propPRCs]])&gt;0,FALSE))</f>
        <v>0</v>
      </c>
      <c r="P82" s="21" t="b">
        <f>_xlfn.XOR(ckCodingTable[[#This Row],[wmd]]&lt;&gt;"",IFERROR(FIND("9102",ckCodingTable[[#This Row],[propPRCs]])&gt;0,FALSE))</f>
        <v>1</v>
      </c>
      <c r="Q82" t="s">
        <v>1722</v>
      </c>
      <c r="R82" s="22">
        <v>43082.530104166668</v>
      </c>
      <c r="S82" s="108">
        <f>S81+(ckCodingTable[[#This Row],[ILN]]&lt;"M")</f>
        <v>69</v>
      </c>
      <c r="T82" s="21" t="s">
        <v>493</v>
      </c>
      <c r="U82" t="s">
        <v>1351</v>
      </c>
      <c r="V82" s="7" t="str">
        <f>HYPERLINK("https://www.ejacket.nsf.gov/ej/showProposal.do?ID="&amp;ckCodingTable[[#This Row],[prop_id]],"eJ")</f>
        <v>eJ</v>
      </c>
      <c r="W82" t="s">
        <v>478</v>
      </c>
      <c r="X82" t="s">
        <v>1785</v>
      </c>
      <c r="Y82" t="s">
        <v>1786</v>
      </c>
      <c r="Z82" t="s">
        <v>1787</v>
      </c>
      <c r="AA82" t="s">
        <v>1788</v>
      </c>
      <c r="AB82" s="111" t="str">
        <f>HYPERLINK("mailto:"&amp;ckCodingTable[[#This Row],[email]]&amp;"&amp;subject=Your NSF Proposal:  "&amp;ckCodingTable[[#This Row],[Div]]&amp;" "&amp;ckCodingTable[[#This Row],[prop_id]], ckCodingTable[[#This Row],[email]])</f>
        <v>rojas@math.tamu.edu</v>
      </c>
      <c r="AC82" s="30">
        <v>43282</v>
      </c>
      <c r="AD82">
        <v>36</v>
      </c>
      <c r="AG82" s="112"/>
      <c r="AI82" s="26"/>
      <c r="AJ82" s="22"/>
      <c r="AN82" s="112"/>
      <c r="AO82" s="112"/>
      <c r="AP82" s="112"/>
      <c r="AQ82" s="112"/>
      <c r="AR82" s="7" t="str">
        <f>HYPERLINK("https://www.ejacket.nsf.gov/ej/showProposal.do?ID="&amp;ckCodingTable[[#This Row],[prop_id]],"eJ")</f>
        <v>eJ</v>
      </c>
      <c r="AS82" t="s">
        <v>172</v>
      </c>
      <c r="AT82" t="s">
        <v>1773</v>
      </c>
      <c r="AU82" t="b">
        <f>IF(ckCodingTable[[#This Row],[ILN]]="N",SUBSTITUTE(AT81," ","")&lt;&gt;SUBSTITUTE(ckCodingTable[[#This Row],[prop_titl_txt]]," ",""), FALSE)</f>
        <v>0</v>
      </c>
      <c r="AV82">
        <v>0</v>
      </c>
      <c r="AW82" s="13">
        <v>300000</v>
      </c>
      <c r="AX82" s="13">
        <v>300000</v>
      </c>
      <c r="AY82" s="13"/>
      <c r="AZ82" s="13"/>
      <c r="BA82" s="13"/>
      <c r="BB82" s="13"/>
      <c r="BC82">
        <v>6</v>
      </c>
      <c r="BD82">
        <v>3</v>
      </c>
      <c r="BG82">
        <v>4.5</v>
      </c>
      <c r="BH82">
        <v>0</v>
      </c>
      <c r="BI82">
        <v>1</v>
      </c>
      <c r="BJ82">
        <v>0</v>
      </c>
      <c r="BK82">
        <v>0</v>
      </c>
      <c r="BL82" t="s">
        <v>1789</v>
      </c>
    </row>
    <row r="83" spans="1:64" x14ac:dyDescent="0.4">
      <c r="A83" s="30"/>
      <c r="B83" s="30">
        <v>43005.590277777781</v>
      </c>
      <c r="C83" t="s">
        <v>524</v>
      </c>
      <c r="D83" t="s">
        <v>477</v>
      </c>
      <c r="E83" t="s">
        <v>582</v>
      </c>
      <c r="F83" t="s">
        <v>171</v>
      </c>
      <c r="G83" t="s">
        <v>169</v>
      </c>
      <c r="H83" s="21" t="s">
        <v>94</v>
      </c>
      <c r="I83" s="86">
        <v>1</v>
      </c>
      <c r="J83" s="86">
        <v>0</v>
      </c>
      <c r="K83" t="s">
        <v>525</v>
      </c>
      <c r="L83" t="s">
        <v>611</v>
      </c>
      <c r="M83" t="s">
        <v>494</v>
      </c>
      <c r="N83" t="str">
        <f>IF(SUM(ckCodingTable[[#This Row],[NfmlPIs]:[NnonWhtAsnPIs]])&gt;0,"WMD","")</f>
        <v/>
      </c>
      <c r="O83" t="b">
        <f>_xlfn.XOR(IFERROR(MATCH(ckCodingTable[[#This Row],[st_code]],EpscorTable[],0)&gt;0,FALSE),IFERROR(FIND("9150",ckCodingTable[[#This Row],[propPRCs]])&gt;0,FALSE))</f>
        <v>0</v>
      </c>
      <c r="P83" s="21" t="b">
        <f>_xlfn.XOR(ckCodingTable[[#This Row],[wmd]]&lt;&gt;"",IFERROR(FIND("9102",ckCodingTable[[#This Row],[propPRCs]])&gt;0,FALSE))</f>
        <v>0</v>
      </c>
      <c r="Q83" t="s">
        <v>1790</v>
      </c>
      <c r="R83" s="22">
        <v>43082.530173611114</v>
      </c>
      <c r="S83" s="108">
        <f>S82+(ckCodingTable[[#This Row],[ILN]]&lt;"M")</f>
        <v>70</v>
      </c>
      <c r="T83" s="21" t="s">
        <v>491</v>
      </c>
      <c r="U83" t="s">
        <v>1360</v>
      </c>
      <c r="V83" s="7" t="str">
        <f>HYPERLINK("https://www.ejacket.nsf.gov/ej/showProposal.do?ID="&amp;ckCodingTable[[#This Row],[prop_id]],"eJ")</f>
        <v>eJ</v>
      </c>
      <c r="W83" t="s">
        <v>478</v>
      </c>
      <c r="X83" t="s">
        <v>1360</v>
      </c>
      <c r="Y83" t="s">
        <v>1361</v>
      </c>
      <c r="Z83" t="s">
        <v>528</v>
      </c>
      <c r="AA83" t="s">
        <v>495</v>
      </c>
      <c r="AB83" s="111" t="str">
        <f>HYPERLINK("mailto:"&amp;ckCodingTable[[#This Row],[email]]&amp;"&amp;subject=Your NSF Proposal:  "&amp;ckCodingTable[[#This Row],[Div]]&amp;" "&amp;ckCodingTable[[#This Row],[prop_id]], ckCodingTable[[#This Row],[email]])</f>
        <v>dgleich@purdue.edu</v>
      </c>
      <c r="AC83" s="30">
        <v>43327</v>
      </c>
      <c r="AD83">
        <v>48</v>
      </c>
      <c r="AE83">
        <v>1</v>
      </c>
      <c r="AG83" s="112">
        <v>1</v>
      </c>
      <c r="AH83" t="s">
        <v>531</v>
      </c>
      <c r="AI83" s="26">
        <v>5.75</v>
      </c>
      <c r="AJ83" s="22">
        <v>43080.352777777778</v>
      </c>
      <c r="AK83" s="21">
        <v>1</v>
      </c>
      <c r="AL83">
        <v>4</v>
      </c>
      <c r="AN83" s="112">
        <v>4</v>
      </c>
      <c r="AO83" s="112"/>
      <c r="AP83" s="112"/>
      <c r="AQ83" s="112"/>
      <c r="AR83" s="7" t="str">
        <f>HYPERLINK("https://www.ejacket.nsf.gov/ej/showProposal.do?ID="&amp;ckCodingTable[[#This Row],[prop_id]],"eJ")</f>
        <v>eJ</v>
      </c>
      <c r="AS83" t="s">
        <v>172</v>
      </c>
      <c r="AT83" t="s">
        <v>1791</v>
      </c>
      <c r="AU83" t="b">
        <f>IF(ckCodingTable[[#This Row],[ILN]]="N",SUBSTITUTE(AT82," ","")&lt;&gt;SUBSTITUTE(ckCodingTable[[#This Row],[prop_titl_txt]]," ",""), FALSE)</f>
        <v>0</v>
      </c>
      <c r="AV83">
        <v>0</v>
      </c>
      <c r="AW83" s="13">
        <v>508040</v>
      </c>
      <c r="AX83" s="13">
        <v>508040</v>
      </c>
      <c r="AY83" s="13"/>
      <c r="AZ83" s="13">
        <v>20000</v>
      </c>
      <c r="BA83" s="13"/>
      <c r="BB83" s="13"/>
      <c r="BC83">
        <v>4</v>
      </c>
      <c r="BD83">
        <v>4</v>
      </c>
      <c r="BE83">
        <v>4</v>
      </c>
      <c r="BH83">
        <v>0</v>
      </c>
      <c r="BI83">
        <v>0</v>
      </c>
      <c r="BJ83">
        <v>0</v>
      </c>
      <c r="BK83">
        <v>0</v>
      </c>
      <c r="BL83" t="s">
        <v>1792</v>
      </c>
    </row>
    <row r="84" spans="1:64" x14ac:dyDescent="0.4">
      <c r="A84" s="30"/>
      <c r="B84" s="30">
        <v>43005.378472222219</v>
      </c>
      <c r="C84" t="s">
        <v>524</v>
      </c>
      <c r="D84" t="s">
        <v>477</v>
      </c>
      <c r="E84" t="s">
        <v>582</v>
      </c>
      <c r="F84" t="s">
        <v>171</v>
      </c>
      <c r="G84" t="s">
        <v>169</v>
      </c>
      <c r="H84" s="21" t="s">
        <v>94</v>
      </c>
      <c r="I84" s="86">
        <v>1</v>
      </c>
      <c r="J84" s="86">
        <v>0</v>
      </c>
      <c r="K84" t="s">
        <v>525</v>
      </c>
      <c r="L84" t="s">
        <v>611</v>
      </c>
      <c r="M84" t="s">
        <v>1470</v>
      </c>
      <c r="N84" t="str">
        <f>IF(SUM(ckCodingTable[[#This Row],[NfmlPIs]:[NnonWhtAsnPIs]])&gt;0,"WMD","")</f>
        <v/>
      </c>
      <c r="O84" t="b">
        <f>_xlfn.XOR(IFERROR(MATCH(ckCodingTable[[#This Row],[st_code]],EpscorTable[],0)&gt;0,FALSE),IFERROR(FIND("9150",ckCodingTable[[#This Row],[propPRCs]])&gt;0,FALSE))</f>
        <v>0</v>
      </c>
      <c r="P84" s="21" t="b">
        <f>_xlfn.XOR(ckCodingTable[[#This Row],[wmd]]&lt;&gt;"",IFERROR(FIND("9102",ckCodingTable[[#This Row],[propPRCs]])&gt;0,FALSE))</f>
        <v>0</v>
      </c>
      <c r="Q84" t="s">
        <v>1790</v>
      </c>
      <c r="R84" s="22">
        <v>43082.530173611114</v>
      </c>
      <c r="S84" s="108">
        <f>S83+(ckCodingTable[[#This Row],[ILN]]&lt;"M")</f>
        <v>70</v>
      </c>
      <c r="T84" s="21" t="s">
        <v>493</v>
      </c>
      <c r="U84" t="s">
        <v>1360</v>
      </c>
      <c r="V84" s="7" t="str">
        <f>HYPERLINK("https://www.ejacket.nsf.gov/ej/showProposal.do?ID="&amp;ckCodingTable[[#This Row],[prop_id]],"eJ")</f>
        <v>eJ</v>
      </c>
      <c r="W84" t="s">
        <v>478</v>
      </c>
      <c r="X84" t="s">
        <v>1793</v>
      </c>
      <c r="Y84" t="s">
        <v>1794</v>
      </c>
      <c r="Z84" t="s">
        <v>1795</v>
      </c>
      <c r="AA84" t="s">
        <v>1754</v>
      </c>
      <c r="AB84" s="111" t="str">
        <f>HYPERLINK("mailto:"&amp;ckCodingTable[[#This Row],[email]]&amp;"&amp;subject=Your NSF Proposal:  "&amp;ckCodingTable[[#This Row],[Div]]&amp;" "&amp;ckCodingTable[[#This Row],[prop_id]], ckCodingTable[[#This Row],[email]])</f>
        <v>arb@cs.cornell.edu</v>
      </c>
      <c r="AC84" s="30">
        <v>43327</v>
      </c>
      <c r="AD84">
        <v>48</v>
      </c>
      <c r="AG84" s="112"/>
      <c r="AI84" s="26"/>
      <c r="AJ84" s="22"/>
      <c r="AN84" s="112"/>
      <c r="AO84" s="112"/>
      <c r="AP84" s="112"/>
      <c r="AQ84" s="112"/>
      <c r="AR84" s="7" t="str">
        <f>HYPERLINK("https://www.ejacket.nsf.gov/ej/showProposal.do?ID="&amp;ckCodingTable[[#This Row],[prop_id]],"eJ")</f>
        <v>eJ</v>
      </c>
      <c r="AS84" t="s">
        <v>172</v>
      </c>
      <c r="AT84" t="s">
        <v>1791</v>
      </c>
      <c r="AU84" t="b">
        <f>IF(ckCodingTable[[#This Row],[ILN]]="N",SUBSTITUTE(AT83," ","")&lt;&gt;SUBSTITUTE(ckCodingTable[[#This Row],[prop_titl_txt]]," ",""), FALSE)</f>
        <v>0</v>
      </c>
      <c r="AV84">
        <v>0</v>
      </c>
      <c r="AW84" s="13">
        <v>591393</v>
      </c>
      <c r="AX84" s="13">
        <v>591393</v>
      </c>
      <c r="AY84" s="13"/>
      <c r="AZ84" s="13">
        <v>23636</v>
      </c>
      <c r="BA84" s="13"/>
      <c r="BB84" s="13"/>
      <c r="BC84">
        <v>4</v>
      </c>
      <c r="BD84">
        <v>4</v>
      </c>
      <c r="BE84">
        <v>4</v>
      </c>
      <c r="BH84">
        <v>0</v>
      </c>
      <c r="BI84">
        <v>0</v>
      </c>
      <c r="BJ84">
        <v>0</v>
      </c>
      <c r="BK84">
        <v>0</v>
      </c>
      <c r="BL84" t="s">
        <v>1796</v>
      </c>
    </row>
    <row r="85" spans="1:64" x14ac:dyDescent="0.4">
      <c r="A85" s="30"/>
      <c r="B85" s="30">
        <v>43005.654861111114</v>
      </c>
      <c r="C85" t="s">
        <v>524</v>
      </c>
      <c r="D85" t="s">
        <v>477</v>
      </c>
      <c r="E85" t="s">
        <v>582</v>
      </c>
      <c r="F85" t="s">
        <v>171</v>
      </c>
      <c r="G85" t="s">
        <v>169</v>
      </c>
      <c r="H85" s="21" t="s">
        <v>94</v>
      </c>
      <c r="I85" s="86">
        <v>1</v>
      </c>
      <c r="J85" s="86">
        <v>0</v>
      </c>
      <c r="K85" t="s">
        <v>525</v>
      </c>
      <c r="L85" t="s">
        <v>611</v>
      </c>
      <c r="M85" t="s">
        <v>310</v>
      </c>
      <c r="N85" t="str">
        <f>IF(SUM(ckCodingTable[[#This Row],[NfmlPIs]:[NnonWhtAsnPIs]])&gt;0,"WMD","")</f>
        <v/>
      </c>
      <c r="O85" t="b">
        <f>_xlfn.XOR(IFERROR(MATCH(ckCodingTable[[#This Row],[st_code]],EpscorTable[],0)&gt;0,FALSE),IFERROR(FIND("9150",ckCodingTable[[#This Row],[propPRCs]])&gt;0,FALSE))</f>
        <v>0</v>
      </c>
      <c r="P85" s="21" t="b">
        <f>_xlfn.XOR(ckCodingTable[[#This Row],[wmd]]&lt;&gt;"",IFERROR(FIND("9102",ckCodingTable[[#This Row],[propPRCs]])&gt;0,FALSE))</f>
        <v>0</v>
      </c>
      <c r="Q85" t="s">
        <v>1797</v>
      </c>
      <c r="R85" s="22">
        <v>43082.530243055553</v>
      </c>
      <c r="S85" s="108">
        <f>S84+(ckCodingTable[[#This Row],[ILN]]&lt;"M")</f>
        <v>71</v>
      </c>
      <c r="T85" s="21" t="s">
        <v>491</v>
      </c>
      <c r="U85" t="s">
        <v>1372</v>
      </c>
      <c r="V85" s="7" t="str">
        <f>HYPERLINK("https://www.ejacket.nsf.gov/ej/showProposal.do?ID="&amp;ckCodingTable[[#This Row],[prop_id]],"eJ")</f>
        <v>eJ</v>
      </c>
      <c r="W85" t="s">
        <v>478</v>
      </c>
      <c r="X85" t="s">
        <v>1372</v>
      </c>
      <c r="Y85" t="s">
        <v>750</v>
      </c>
      <c r="Z85" t="s">
        <v>1798</v>
      </c>
      <c r="AA85" t="s">
        <v>1701</v>
      </c>
      <c r="AB85" s="111" t="str">
        <f>HYPERLINK("mailto:"&amp;ckCodingTable[[#This Row],[email]]&amp;"&amp;subject=Your NSF Proposal:  "&amp;ckCodingTable[[#This Row],[Div]]&amp;" "&amp;ckCodingTable[[#This Row],[prop_id]], ckCodingTable[[#This Row],[email]])</f>
        <v>gchen16@uh.edu</v>
      </c>
      <c r="AC85" s="30">
        <v>43221</v>
      </c>
      <c r="AD85">
        <v>48</v>
      </c>
      <c r="AE85">
        <v>1</v>
      </c>
      <c r="AG85" s="112">
        <v>1</v>
      </c>
      <c r="AH85" t="s">
        <v>1799</v>
      </c>
      <c r="AI85" s="26">
        <v>4.25</v>
      </c>
      <c r="AJ85" s="22">
        <v>43081.45416666667</v>
      </c>
      <c r="AL85">
        <v>4</v>
      </c>
      <c r="AN85" s="112">
        <v>4</v>
      </c>
      <c r="AO85" s="112"/>
      <c r="AP85" s="112"/>
      <c r="AQ85" s="112"/>
      <c r="AR85" s="7" t="str">
        <f>HYPERLINK("https://www.ejacket.nsf.gov/ej/showProposal.do?ID="&amp;ckCodingTable[[#This Row],[prop_id]],"eJ")</f>
        <v>eJ</v>
      </c>
      <c r="AS85" t="s">
        <v>172</v>
      </c>
      <c r="AT85" t="s">
        <v>1800</v>
      </c>
      <c r="AU85" t="b">
        <f>IF(ckCodingTable[[#This Row],[ILN]]="N",SUBSTITUTE(AT84," ","")&lt;&gt;SUBSTITUTE(ckCodingTable[[#This Row],[prop_titl_txt]]," ",""), FALSE)</f>
        <v>0</v>
      </c>
      <c r="AV85">
        <v>0</v>
      </c>
      <c r="AW85" s="13">
        <v>599997</v>
      </c>
      <c r="AX85" s="13">
        <v>599997</v>
      </c>
      <c r="AY85" s="13"/>
      <c r="AZ85" s="13"/>
      <c r="BA85" s="13"/>
      <c r="BB85" s="13"/>
      <c r="BC85">
        <v>10</v>
      </c>
      <c r="BD85">
        <v>6</v>
      </c>
      <c r="BE85">
        <v>6</v>
      </c>
      <c r="BH85">
        <v>0</v>
      </c>
      <c r="BI85">
        <v>0</v>
      </c>
      <c r="BJ85">
        <v>0</v>
      </c>
      <c r="BK85">
        <v>0</v>
      </c>
      <c r="BL85" t="s">
        <v>1801</v>
      </c>
    </row>
    <row r="86" spans="1:64" x14ac:dyDescent="0.4">
      <c r="A86" s="30"/>
      <c r="B86" s="30">
        <v>43005.677777777775</v>
      </c>
      <c r="C86" t="s">
        <v>524</v>
      </c>
      <c r="D86" t="s">
        <v>477</v>
      </c>
      <c r="E86" t="s">
        <v>582</v>
      </c>
      <c r="F86" t="s">
        <v>171</v>
      </c>
      <c r="G86" t="s">
        <v>169</v>
      </c>
      <c r="H86" s="21" t="s">
        <v>94</v>
      </c>
      <c r="I86" s="86">
        <v>1</v>
      </c>
      <c r="J86" s="86">
        <v>0</v>
      </c>
      <c r="K86" t="s">
        <v>525</v>
      </c>
      <c r="L86" t="s">
        <v>611</v>
      </c>
      <c r="M86" t="s">
        <v>1598</v>
      </c>
      <c r="N86" t="str">
        <f>IF(SUM(ckCodingTable[[#This Row],[NfmlPIs]:[NnonWhtAsnPIs]])&gt;0,"WMD","")</f>
        <v>WMD</v>
      </c>
      <c r="O86" t="b">
        <f>_xlfn.XOR(IFERROR(MATCH(ckCodingTable[[#This Row],[st_code]],EpscorTable[],0)&gt;0,FALSE),IFERROR(FIND("9150",ckCodingTable[[#This Row],[propPRCs]])&gt;0,FALSE))</f>
        <v>0</v>
      </c>
      <c r="P86" s="21" t="b">
        <f>_xlfn.XOR(ckCodingTable[[#This Row],[wmd]]&lt;&gt;"",IFERROR(FIND("9102",ckCodingTable[[#This Row],[propPRCs]])&gt;0,FALSE))</f>
        <v>1</v>
      </c>
      <c r="Q86" t="s">
        <v>1797</v>
      </c>
      <c r="R86" s="22">
        <v>43082.530243055553</v>
      </c>
      <c r="S86" s="108">
        <f>S85+(ckCodingTable[[#This Row],[ILN]]&lt;"M")</f>
        <v>71</v>
      </c>
      <c r="T86" s="21" t="s">
        <v>493</v>
      </c>
      <c r="U86" t="s">
        <v>1372</v>
      </c>
      <c r="V86" s="7" t="str">
        <f>HYPERLINK("https://www.ejacket.nsf.gov/ej/showProposal.do?ID="&amp;ckCodingTable[[#This Row],[prop_id]],"eJ")</f>
        <v>eJ</v>
      </c>
      <c r="W86" t="s">
        <v>478</v>
      </c>
      <c r="X86" t="s">
        <v>1802</v>
      </c>
      <c r="Y86" t="s">
        <v>488</v>
      </c>
      <c r="Z86" t="s">
        <v>1803</v>
      </c>
      <c r="AA86" t="s">
        <v>1600</v>
      </c>
      <c r="AB86" s="111" t="str">
        <f>HYPERLINK("mailto:"&amp;ckCodingTable[[#This Row],[email]]&amp;"&amp;subject=Your NSF Proposal:  "&amp;ckCodingTable[[#This Row],[Div]]&amp;" "&amp;ckCodingTable[[#This Row],[prop_id]], ckCodingTable[[#This Row],[email]])</f>
        <v>zhange@eecs.oregonstate.edu</v>
      </c>
      <c r="AC86" s="30">
        <v>43221</v>
      </c>
      <c r="AD86">
        <v>48</v>
      </c>
      <c r="AG86" s="112"/>
      <c r="AI86" s="26"/>
      <c r="AJ86" s="22"/>
      <c r="AN86" s="112"/>
      <c r="AO86" s="112"/>
      <c r="AP86" s="112"/>
      <c r="AQ86" s="112"/>
      <c r="AR86" s="7" t="str">
        <f>HYPERLINK("https://www.ejacket.nsf.gov/ej/showProposal.do?ID="&amp;ckCodingTable[[#This Row],[prop_id]],"eJ")</f>
        <v>eJ</v>
      </c>
      <c r="AS86" t="s">
        <v>172</v>
      </c>
      <c r="AT86" t="s">
        <v>1804</v>
      </c>
      <c r="AU86" t="b">
        <f>IF(ckCodingTable[[#This Row],[ILN]]="N",SUBSTITUTE(AT85," ","")&lt;&gt;SUBSTITUTE(ckCodingTable[[#This Row],[prop_titl_txt]]," ",""), FALSE)</f>
        <v>0</v>
      </c>
      <c r="AV86">
        <v>0</v>
      </c>
      <c r="AW86" s="13">
        <v>600000</v>
      </c>
      <c r="AX86" s="13">
        <v>600000</v>
      </c>
      <c r="AY86" s="13"/>
      <c r="AZ86" s="13">
        <v>10548</v>
      </c>
      <c r="BA86" s="13"/>
      <c r="BB86" s="13">
        <v>7000</v>
      </c>
      <c r="BC86">
        <v>6</v>
      </c>
      <c r="BD86">
        <v>8</v>
      </c>
      <c r="BE86">
        <v>6</v>
      </c>
      <c r="BH86">
        <v>2</v>
      </c>
      <c r="BI86">
        <v>0</v>
      </c>
      <c r="BJ86">
        <v>0</v>
      </c>
      <c r="BK86">
        <v>0</v>
      </c>
      <c r="BL86" t="s">
        <v>1805</v>
      </c>
    </row>
    <row r="87" spans="1:64" x14ac:dyDescent="0.4">
      <c r="A87" s="30"/>
      <c r="B87" s="30">
        <v>43005.654861111114</v>
      </c>
      <c r="C87" t="s">
        <v>524</v>
      </c>
      <c r="D87" t="s">
        <v>477</v>
      </c>
      <c r="E87" t="s">
        <v>582</v>
      </c>
      <c r="F87" t="s">
        <v>171</v>
      </c>
      <c r="G87" t="s">
        <v>169</v>
      </c>
      <c r="H87" s="21" t="s">
        <v>94</v>
      </c>
      <c r="I87" s="86">
        <v>1</v>
      </c>
      <c r="J87" s="86">
        <v>0</v>
      </c>
      <c r="K87" t="s">
        <v>525</v>
      </c>
      <c r="L87" t="s">
        <v>654</v>
      </c>
      <c r="M87" t="s">
        <v>496</v>
      </c>
      <c r="N87" t="str">
        <f>IF(SUM(ckCodingTable[[#This Row],[NfmlPIs]:[NnonWhtAsnPIs]])&gt;0,"WMD","")</f>
        <v>WMD</v>
      </c>
      <c r="O87" t="b">
        <f>_xlfn.XOR(IFERROR(MATCH(ckCodingTable[[#This Row],[st_code]],EpscorTable[],0)&gt;0,FALSE),IFERROR(FIND("9150",ckCodingTable[[#This Row],[propPRCs]])&gt;0,FALSE))</f>
        <v>0</v>
      </c>
      <c r="P87" s="21" t="b">
        <f>_xlfn.XOR(ckCodingTable[[#This Row],[wmd]]&lt;&gt;"",IFERROR(FIND("9102",ckCodingTable[[#This Row],[propPRCs]])&gt;0,FALSE))</f>
        <v>1</v>
      </c>
      <c r="Q87" t="s">
        <v>1806</v>
      </c>
      <c r="S87" s="108">
        <f>S86+(ckCodingTable[[#This Row],[ILN]]&lt;"M")</f>
        <v>72</v>
      </c>
      <c r="T87" s="21" t="s">
        <v>95</v>
      </c>
      <c r="U87" t="s">
        <v>1379</v>
      </c>
      <c r="V87" s="7" t="str">
        <f>HYPERLINK("https://www.ejacket.nsf.gov/ej/showProposal.do?ID="&amp;ckCodingTable[[#This Row],[prop_id]],"eJ")</f>
        <v>eJ</v>
      </c>
      <c r="W87" t="s">
        <v>478</v>
      </c>
      <c r="X87" t="s">
        <v>1379</v>
      </c>
      <c r="Y87" t="s">
        <v>1380</v>
      </c>
      <c r="Z87" t="s">
        <v>528</v>
      </c>
      <c r="AA87" t="s">
        <v>497</v>
      </c>
      <c r="AB87" s="111" t="str">
        <f>HYPERLINK("mailto:"&amp;ckCodingTable[[#This Row],[email]]&amp;"&amp;subject=Your NSF Proposal:  "&amp;ckCodingTable[[#This Row],[Div]]&amp;" "&amp;ckCodingTable[[#This Row],[prop_id]], ckCodingTable[[#This Row],[email]])</f>
        <v>dwoodruf@andrew.cmu.edu</v>
      </c>
      <c r="AC87" s="30">
        <v>43252</v>
      </c>
      <c r="AD87">
        <v>48</v>
      </c>
      <c r="AE87">
        <v>1</v>
      </c>
      <c r="AG87" s="112">
        <v>1</v>
      </c>
      <c r="AH87" t="s">
        <v>1450</v>
      </c>
      <c r="AI87" s="26">
        <v>7</v>
      </c>
      <c r="AJ87" s="22">
        <v>43081.438194444447</v>
      </c>
      <c r="AK87" s="21">
        <v>1</v>
      </c>
      <c r="AL87">
        <v>4</v>
      </c>
      <c r="AN87" s="112">
        <v>4</v>
      </c>
      <c r="AO87" s="112"/>
      <c r="AP87" s="112"/>
      <c r="AQ87" s="112"/>
      <c r="AR87" s="7" t="str">
        <f>HYPERLINK("https://www.ejacket.nsf.gov/ej/showProposal.do?ID="&amp;ckCodingTable[[#This Row],[prop_id]],"eJ")</f>
        <v>eJ</v>
      </c>
      <c r="AS87" t="s">
        <v>172</v>
      </c>
      <c r="AT87" t="s">
        <v>1807</v>
      </c>
      <c r="AU87" t="b">
        <f>IF(ckCodingTable[[#This Row],[ILN]]="N",SUBSTITUTE(AT86," ","")&lt;&gt;SUBSTITUTE(ckCodingTable[[#This Row],[prop_titl_txt]]," ",""), FALSE)</f>
        <v>0</v>
      </c>
      <c r="AV87">
        <v>0</v>
      </c>
      <c r="AW87" s="13">
        <v>1191636</v>
      </c>
      <c r="AX87" s="13">
        <v>1191636</v>
      </c>
      <c r="AY87" s="13"/>
      <c r="AZ87" s="13">
        <v>12777</v>
      </c>
      <c r="BA87" s="13"/>
      <c r="BB87" s="13"/>
      <c r="BC87">
        <v>8</v>
      </c>
      <c r="BD87">
        <v>8</v>
      </c>
      <c r="BE87">
        <v>8</v>
      </c>
      <c r="BH87">
        <v>1</v>
      </c>
      <c r="BI87">
        <v>0</v>
      </c>
      <c r="BJ87">
        <v>0</v>
      </c>
      <c r="BK87">
        <v>0</v>
      </c>
      <c r="BL87" t="s">
        <v>1808</v>
      </c>
    </row>
    <row r="88" spans="1:64" x14ac:dyDescent="0.4">
      <c r="A88" s="30"/>
      <c r="B88" s="30">
        <v>43005.67291666667</v>
      </c>
      <c r="C88" t="s">
        <v>524</v>
      </c>
      <c r="D88" t="s">
        <v>477</v>
      </c>
      <c r="E88" t="s">
        <v>582</v>
      </c>
      <c r="F88" t="s">
        <v>171</v>
      </c>
      <c r="G88" t="s">
        <v>169</v>
      </c>
      <c r="H88" s="21" t="s">
        <v>94</v>
      </c>
      <c r="I88" s="86">
        <v>1</v>
      </c>
      <c r="J88" s="86">
        <v>0</v>
      </c>
      <c r="K88" t="s">
        <v>525</v>
      </c>
      <c r="L88" t="s">
        <v>611</v>
      </c>
      <c r="M88" t="s">
        <v>231</v>
      </c>
      <c r="N88" t="str">
        <f>IF(SUM(ckCodingTable[[#This Row],[NfmlPIs]:[NnonWhtAsnPIs]])&gt;0,"WMD","")</f>
        <v/>
      </c>
      <c r="O88" t="b">
        <f>_xlfn.XOR(IFERROR(MATCH(ckCodingTable[[#This Row],[st_code]],EpscorTable[],0)&gt;0,FALSE),IFERROR(FIND("9150",ckCodingTable[[#This Row],[propPRCs]])&gt;0,FALSE))</f>
        <v>0</v>
      </c>
      <c r="P88" s="21" t="b">
        <f>_xlfn.XOR(ckCodingTable[[#This Row],[wmd]]&lt;&gt;"",IFERROR(FIND("9102",ckCodingTable[[#This Row],[propPRCs]])&gt;0,FALSE))</f>
        <v>0</v>
      </c>
      <c r="Q88" t="s">
        <v>1809</v>
      </c>
      <c r="S88" s="108">
        <f>S87+(ckCodingTable[[#This Row],[ILN]]&lt;"M")</f>
        <v>73</v>
      </c>
      <c r="T88" s="21" t="s">
        <v>491</v>
      </c>
      <c r="U88" t="s">
        <v>1387</v>
      </c>
      <c r="V88" s="7" t="str">
        <f>HYPERLINK("https://www.ejacket.nsf.gov/ej/showProposal.do?ID="&amp;ckCodingTable[[#This Row],[prop_id]],"eJ")</f>
        <v>eJ</v>
      </c>
      <c r="W88" t="s">
        <v>478</v>
      </c>
      <c r="X88" t="s">
        <v>1387</v>
      </c>
      <c r="Y88" t="s">
        <v>1388</v>
      </c>
      <c r="Z88" t="s">
        <v>1810</v>
      </c>
      <c r="AA88" t="s">
        <v>1487</v>
      </c>
      <c r="AB88" s="111" t="str">
        <f>HYPERLINK("mailto:"&amp;ckCodingTable[[#This Row],[email]]&amp;"&amp;subject=Your NSF Proposal:  "&amp;ckCodingTable[[#This Row],[Div]]&amp;" "&amp;ckCodingTable[[#This Row],[prop_id]], ckCodingTable[[#This Row],[email]])</f>
        <v>edemaine@mit.edu</v>
      </c>
      <c r="AC88" s="30">
        <v>43252</v>
      </c>
      <c r="AD88">
        <v>48</v>
      </c>
      <c r="AE88">
        <v>1</v>
      </c>
      <c r="AG88" s="112">
        <v>1</v>
      </c>
      <c r="AH88" t="s">
        <v>1493</v>
      </c>
      <c r="AI88" s="26">
        <v>6.75</v>
      </c>
      <c r="AJ88" s="22">
        <v>43080.599305555559</v>
      </c>
      <c r="AL88">
        <v>4</v>
      </c>
      <c r="AN88" s="112">
        <v>4</v>
      </c>
      <c r="AO88" s="112"/>
      <c r="AP88" s="112"/>
      <c r="AQ88" s="112"/>
      <c r="AR88" s="7" t="str">
        <f>HYPERLINK("https://www.ejacket.nsf.gov/ej/showProposal.do?ID="&amp;ckCodingTable[[#This Row],[prop_id]],"eJ")</f>
        <v>eJ</v>
      </c>
      <c r="AS88" t="s">
        <v>172</v>
      </c>
      <c r="AT88" t="s">
        <v>1811</v>
      </c>
      <c r="AU88" t="b">
        <f>IF(ckCodingTable[[#This Row],[ILN]]="N",SUBSTITUTE(AT87," ","")&lt;&gt;SUBSTITUTE(ckCodingTable[[#This Row],[prop_titl_txt]]," ",""), FALSE)</f>
        <v>0</v>
      </c>
      <c r="AV88">
        <v>0</v>
      </c>
      <c r="AW88" s="13">
        <v>600000</v>
      </c>
      <c r="AX88" s="13">
        <v>600000</v>
      </c>
      <c r="AY88" s="13"/>
      <c r="AZ88" s="13"/>
      <c r="BA88" s="13"/>
      <c r="BB88" s="13"/>
      <c r="BC88">
        <v>8</v>
      </c>
      <c r="BD88">
        <v>4</v>
      </c>
      <c r="BE88">
        <v>2</v>
      </c>
      <c r="BH88">
        <v>0</v>
      </c>
      <c r="BI88">
        <v>0</v>
      </c>
      <c r="BJ88">
        <v>0</v>
      </c>
      <c r="BK88">
        <v>0</v>
      </c>
      <c r="BL88" t="s">
        <v>1812</v>
      </c>
    </row>
    <row r="89" spans="1:64" x14ac:dyDescent="0.4">
      <c r="A89" s="30"/>
      <c r="B89" s="30">
        <v>43005.448611111111</v>
      </c>
      <c r="C89" t="s">
        <v>524</v>
      </c>
      <c r="D89" t="s">
        <v>477</v>
      </c>
      <c r="E89" t="s">
        <v>582</v>
      </c>
      <c r="F89" t="s">
        <v>171</v>
      </c>
      <c r="G89" t="s">
        <v>169</v>
      </c>
      <c r="H89" s="21" t="s">
        <v>94</v>
      </c>
      <c r="I89" s="86">
        <v>1</v>
      </c>
      <c r="J89" s="86">
        <v>0</v>
      </c>
      <c r="K89" t="s">
        <v>525</v>
      </c>
      <c r="L89" t="s">
        <v>611</v>
      </c>
      <c r="M89" t="s">
        <v>490</v>
      </c>
      <c r="N89" t="str">
        <f>IF(SUM(ckCodingTable[[#This Row],[NfmlPIs]:[NnonWhtAsnPIs]])&gt;0,"WMD","")</f>
        <v/>
      </c>
      <c r="O89" t="b">
        <f>_xlfn.XOR(IFERROR(MATCH(ckCodingTable[[#This Row],[st_code]],EpscorTable[],0)&gt;0,FALSE),IFERROR(FIND("9150",ckCodingTable[[#This Row],[propPRCs]])&gt;0,FALSE))</f>
        <v>0</v>
      </c>
      <c r="P89" s="21" t="b">
        <f>_xlfn.XOR(ckCodingTable[[#This Row],[wmd]]&lt;&gt;"",IFERROR(FIND("9102",ckCodingTable[[#This Row],[propPRCs]])&gt;0,FALSE))</f>
        <v>0</v>
      </c>
      <c r="Q89" t="s">
        <v>1809</v>
      </c>
      <c r="S89" s="108">
        <f>S88+(ckCodingTable[[#This Row],[ILN]]&lt;"M")</f>
        <v>73</v>
      </c>
      <c r="T89" s="21" t="s">
        <v>493</v>
      </c>
      <c r="U89" t="s">
        <v>1387</v>
      </c>
      <c r="V89" s="7" t="str">
        <f>HYPERLINK("https://www.ejacket.nsf.gov/ej/showProposal.do?ID="&amp;ckCodingTable[[#This Row],[prop_id]],"eJ")</f>
        <v>eJ</v>
      </c>
      <c r="W89" t="s">
        <v>478</v>
      </c>
      <c r="X89" t="s">
        <v>1813</v>
      </c>
      <c r="Y89" t="s">
        <v>1814</v>
      </c>
      <c r="Z89" t="s">
        <v>1815</v>
      </c>
      <c r="AA89" t="s">
        <v>500</v>
      </c>
      <c r="AB89" s="111" t="str">
        <f>HYPERLINK("mailto:"&amp;ckCodingTable[[#This Row],[email]]&amp;"&amp;subject=Your NSF Proposal:  "&amp;ckCodingTable[[#This Row],[Div]]&amp;" "&amp;ckCodingTable[[#This Row],[prop_id]], ckCodingTable[[#This Row],[email]])</f>
        <v>hajiagha@cs.umd.edu</v>
      </c>
      <c r="AC89" s="30">
        <v>43252</v>
      </c>
      <c r="AD89">
        <v>48</v>
      </c>
      <c r="AG89" s="112"/>
      <c r="AI89" s="26"/>
      <c r="AJ89" s="22"/>
      <c r="AN89" s="112"/>
      <c r="AO89" s="112"/>
      <c r="AP89" s="112"/>
      <c r="AQ89" s="112"/>
      <c r="AR89" s="7" t="str">
        <f>HYPERLINK("https://www.ejacket.nsf.gov/ej/showProposal.do?ID="&amp;ckCodingTable[[#This Row],[prop_id]],"eJ")</f>
        <v>eJ</v>
      </c>
      <c r="AS89" t="s">
        <v>172</v>
      </c>
      <c r="AT89" t="s">
        <v>1811</v>
      </c>
      <c r="AU89" t="b">
        <f>IF(ckCodingTable[[#This Row],[ILN]]="N",SUBSTITUTE(AT88," ","")&lt;&gt;SUBSTITUTE(ckCodingTable[[#This Row],[prop_titl_txt]]," ",""), FALSE)</f>
        <v>0</v>
      </c>
      <c r="AV89">
        <v>0</v>
      </c>
      <c r="AW89" s="13">
        <v>600000</v>
      </c>
      <c r="AX89" s="13">
        <v>600000</v>
      </c>
      <c r="AY89" s="13"/>
      <c r="AZ89" s="13">
        <v>12000</v>
      </c>
      <c r="BA89" s="13"/>
      <c r="BB89" s="13"/>
      <c r="BC89">
        <v>8</v>
      </c>
      <c r="BD89">
        <v>4</v>
      </c>
      <c r="BG89">
        <v>4</v>
      </c>
      <c r="BH89">
        <v>0</v>
      </c>
      <c r="BI89">
        <v>0</v>
      </c>
      <c r="BJ89">
        <v>0</v>
      </c>
      <c r="BK89">
        <v>0</v>
      </c>
      <c r="BL89" t="s">
        <v>1816</v>
      </c>
    </row>
    <row r="90" spans="1:64" x14ac:dyDescent="0.4">
      <c r="A90" s="30"/>
      <c r="B90" s="30">
        <v>43005.686805555553</v>
      </c>
      <c r="C90" t="s">
        <v>524</v>
      </c>
      <c r="D90" t="s">
        <v>477</v>
      </c>
      <c r="E90" t="s">
        <v>582</v>
      </c>
      <c r="F90" t="s">
        <v>171</v>
      </c>
      <c r="G90" t="s">
        <v>169</v>
      </c>
      <c r="H90" s="21" t="s">
        <v>94</v>
      </c>
      <c r="I90" s="86">
        <v>1</v>
      </c>
      <c r="J90" s="86">
        <v>0</v>
      </c>
      <c r="K90" t="s">
        <v>525</v>
      </c>
      <c r="L90" t="s">
        <v>654</v>
      </c>
      <c r="M90" t="s">
        <v>1470</v>
      </c>
      <c r="N90" t="str">
        <f>IF(SUM(ckCodingTable[[#This Row],[NfmlPIs]:[NnonWhtAsnPIs]])&gt;0,"WMD","")</f>
        <v/>
      </c>
      <c r="O90" t="b">
        <f>_xlfn.XOR(IFERROR(MATCH(ckCodingTable[[#This Row],[st_code]],EpscorTable[],0)&gt;0,FALSE),IFERROR(FIND("9150",ckCodingTable[[#This Row],[propPRCs]])&gt;0,FALSE))</f>
        <v>0</v>
      </c>
      <c r="P90" s="21" t="b">
        <f>_xlfn.XOR(ckCodingTable[[#This Row],[wmd]]&lt;&gt;"",IFERROR(FIND("9102",ckCodingTable[[#This Row],[propPRCs]])&gt;0,FALSE))</f>
        <v>0</v>
      </c>
      <c r="Q90" t="s">
        <v>1817</v>
      </c>
      <c r="S90" s="108">
        <f>S89+(ckCodingTable[[#This Row],[ILN]]&lt;"M")</f>
        <v>74</v>
      </c>
      <c r="T90" s="21" t="s">
        <v>95</v>
      </c>
      <c r="U90" t="s">
        <v>1395</v>
      </c>
      <c r="V90" s="7" t="str">
        <f>HYPERLINK("https://www.ejacket.nsf.gov/ej/showProposal.do?ID="&amp;ckCodingTable[[#This Row],[prop_id]],"eJ")</f>
        <v>eJ</v>
      </c>
      <c r="W90" t="s">
        <v>478</v>
      </c>
      <c r="X90" t="s">
        <v>1395</v>
      </c>
      <c r="Y90" t="s">
        <v>1396</v>
      </c>
      <c r="Z90" t="s">
        <v>1818</v>
      </c>
      <c r="AA90" t="s">
        <v>1472</v>
      </c>
      <c r="AB90" s="111" t="str">
        <f>HYPERLINK("mailto:"&amp;ckCodingTable[[#This Row],[email]]&amp;"&amp;subject=Your NSF Proposal:  "&amp;ckCodingTable[[#This Row],[Div]]&amp;" "&amp;ckCodingTable[[#This Row],[prop_id]], ckCodingTable[[#This Row],[email]])</f>
        <v>christos@cs.berkeley.edu</v>
      </c>
      <c r="AC90" s="30">
        <v>43221</v>
      </c>
      <c r="AD90">
        <v>48</v>
      </c>
      <c r="AE90">
        <v>1</v>
      </c>
      <c r="AG90" s="112">
        <v>1</v>
      </c>
      <c r="AH90" t="s">
        <v>1819</v>
      </c>
      <c r="AI90" s="26">
        <v>8.5</v>
      </c>
      <c r="AJ90" s="22">
        <v>43080.079861111109</v>
      </c>
      <c r="AK90" s="21">
        <v>1</v>
      </c>
      <c r="AL90">
        <v>4</v>
      </c>
      <c r="AN90" s="112">
        <v>4</v>
      </c>
      <c r="AO90" s="112"/>
      <c r="AP90" s="112"/>
      <c r="AQ90" s="112"/>
      <c r="AR90" s="7" t="str">
        <f>HYPERLINK("https://www.ejacket.nsf.gov/ej/showProposal.do?ID="&amp;ckCodingTable[[#This Row],[prop_id]],"eJ")</f>
        <v>eJ</v>
      </c>
      <c r="AS90" t="s">
        <v>172</v>
      </c>
      <c r="AT90" t="s">
        <v>1820</v>
      </c>
      <c r="AU90" t="b">
        <f>IF(ckCodingTable[[#This Row],[ILN]]="N",SUBSTITUTE(AT89," ","")&lt;&gt;SUBSTITUTE(ckCodingTable[[#This Row],[prop_titl_txt]]," ",""), FALSE)</f>
        <v>0</v>
      </c>
      <c r="AV90">
        <v>0</v>
      </c>
      <c r="AW90" s="13">
        <v>1200000</v>
      </c>
      <c r="AX90" s="13">
        <v>1200000</v>
      </c>
      <c r="AY90" s="13"/>
      <c r="AZ90" s="13"/>
      <c r="BA90" s="13"/>
      <c r="BB90" s="13"/>
      <c r="BC90">
        <v>8</v>
      </c>
      <c r="BD90">
        <v>8</v>
      </c>
      <c r="BG90">
        <v>10.1</v>
      </c>
      <c r="BH90">
        <v>0</v>
      </c>
      <c r="BI90">
        <v>0</v>
      </c>
      <c r="BJ90">
        <v>0</v>
      </c>
      <c r="BK90">
        <v>0</v>
      </c>
      <c r="BL90" t="s">
        <v>1821</v>
      </c>
    </row>
    <row r="91" spans="1:64" x14ac:dyDescent="0.4">
      <c r="A91" s="30"/>
      <c r="B91" s="30">
        <v>43005.713194444441</v>
      </c>
      <c r="C91" t="s">
        <v>524</v>
      </c>
      <c r="D91" t="s">
        <v>477</v>
      </c>
      <c r="E91" t="s">
        <v>582</v>
      </c>
      <c r="F91" t="s">
        <v>171</v>
      </c>
      <c r="G91" t="s">
        <v>169</v>
      </c>
      <c r="H91" s="21" t="s">
        <v>94</v>
      </c>
      <c r="I91" s="86">
        <v>1</v>
      </c>
      <c r="J91" s="86">
        <v>0</v>
      </c>
      <c r="K91" t="s">
        <v>525</v>
      </c>
      <c r="L91" t="s">
        <v>654</v>
      </c>
      <c r="M91" t="s">
        <v>306</v>
      </c>
      <c r="N91" t="str">
        <f>IF(SUM(ckCodingTable[[#This Row],[NfmlPIs]:[NnonWhtAsnPIs]])&gt;0,"WMD","")</f>
        <v/>
      </c>
      <c r="O91" t="b">
        <f>_xlfn.XOR(IFERROR(MATCH(ckCodingTable[[#This Row],[st_code]],EpscorTable[],0)&gt;0,FALSE),IFERROR(FIND("9150",ckCodingTable[[#This Row],[propPRCs]])&gt;0,FALSE))</f>
        <v>0</v>
      </c>
      <c r="P91" s="21" t="b">
        <f>_xlfn.XOR(ckCodingTable[[#This Row],[wmd]]&lt;&gt;"",IFERROR(FIND("9102",ckCodingTable[[#This Row],[propPRCs]])&gt;0,FALSE))</f>
        <v>0</v>
      </c>
      <c r="Q91" t="s">
        <v>1704</v>
      </c>
      <c r="S91" s="108">
        <f>S90+(ckCodingTable[[#This Row],[ILN]]&lt;"M")</f>
        <v>75</v>
      </c>
      <c r="T91" s="21" t="s">
        <v>491</v>
      </c>
      <c r="U91" t="s">
        <v>1403</v>
      </c>
      <c r="V91" s="7" t="str">
        <f>HYPERLINK("https://www.ejacket.nsf.gov/ej/showProposal.do?ID="&amp;ckCodingTable[[#This Row],[prop_id]],"eJ")</f>
        <v>eJ</v>
      </c>
      <c r="W91" t="s">
        <v>478</v>
      </c>
      <c r="X91" t="s">
        <v>1403</v>
      </c>
      <c r="Y91" t="s">
        <v>1404</v>
      </c>
      <c r="Z91" t="s">
        <v>1822</v>
      </c>
      <c r="AA91" t="s">
        <v>1823</v>
      </c>
      <c r="AB91" s="111" t="str">
        <f>HYPERLINK("mailto:"&amp;ckCodingTable[[#This Row],[email]]&amp;"&amp;subject=Your NSF Proposal:  "&amp;ckCodingTable[[#This Row],[Div]]&amp;" "&amp;ckCodingTable[[#This Row],[prop_id]], ckCodingTable[[#This Row],[email]])</f>
        <v>nati@ttic.edu</v>
      </c>
      <c r="AC91" s="30">
        <v>43313</v>
      </c>
      <c r="AD91">
        <v>36</v>
      </c>
      <c r="AE91">
        <v>1</v>
      </c>
      <c r="AG91" s="112">
        <v>1</v>
      </c>
      <c r="AH91" t="s">
        <v>1731</v>
      </c>
      <c r="AI91" s="26">
        <v>8</v>
      </c>
      <c r="AJ91" s="22">
        <v>43080.379861111112</v>
      </c>
      <c r="AK91" s="21">
        <v>1</v>
      </c>
      <c r="AL91">
        <v>4</v>
      </c>
      <c r="AN91" s="112">
        <v>4</v>
      </c>
      <c r="AO91" s="112"/>
      <c r="AP91" s="112"/>
      <c r="AQ91" s="112"/>
      <c r="AR91" s="7" t="str">
        <f>HYPERLINK("https://www.ejacket.nsf.gov/ej/showProposal.do?ID="&amp;ckCodingTable[[#This Row],[prop_id]],"eJ")</f>
        <v>eJ</v>
      </c>
      <c r="AS91" t="s">
        <v>172</v>
      </c>
      <c r="AT91" t="s">
        <v>1824</v>
      </c>
      <c r="AU91" t="b">
        <f>IF(ckCodingTable[[#This Row],[ILN]]="N",SUBSTITUTE(AT90," ","")&lt;&gt;SUBSTITUTE(ckCodingTable[[#This Row],[prop_titl_txt]]," ",""), FALSE)</f>
        <v>0</v>
      </c>
      <c r="AV91">
        <v>0</v>
      </c>
      <c r="AW91" s="13">
        <v>541101</v>
      </c>
      <c r="AX91" s="13">
        <v>541101</v>
      </c>
      <c r="AY91" s="13"/>
      <c r="AZ91" s="13">
        <v>24727</v>
      </c>
      <c r="BA91" s="13">
        <v>92000</v>
      </c>
      <c r="BB91" s="13"/>
      <c r="BC91">
        <v>3</v>
      </c>
      <c r="BD91">
        <v>6</v>
      </c>
      <c r="BE91">
        <v>5</v>
      </c>
      <c r="BH91">
        <v>0</v>
      </c>
      <c r="BI91">
        <v>0</v>
      </c>
      <c r="BJ91">
        <v>0</v>
      </c>
      <c r="BK91">
        <v>0</v>
      </c>
      <c r="BL91" t="s">
        <v>1825</v>
      </c>
    </row>
    <row r="92" spans="1:64" x14ac:dyDescent="0.4">
      <c r="A92" s="30"/>
      <c r="B92" s="30">
        <v>43005.481944444444</v>
      </c>
      <c r="C92" t="s">
        <v>524</v>
      </c>
      <c r="D92" t="s">
        <v>477</v>
      </c>
      <c r="E92" t="s">
        <v>582</v>
      </c>
      <c r="F92" t="s">
        <v>171</v>
      </c>
      <c r="G92" t="s">
        <v>169</v>
      </c>
      <c r="H92" s="21" t="s">
        <v>94</v>
      </c>
      <c r="I92" s="86">
        <v>1</v>
      </c>
      <c r="J92" s="86">
        <v>0</v>
      </c>
      <c r="K92" t="s">
        <v>525</v>
      </c>
      <c r="L92" t="s">
        <v>654</v>
      </c>
      <c r="M92" t="s">
        <v>496</v>
      </c>
      <c r="N92" t="str">
        <f>IF(SUM(ckCodingTable[[#This Row],[NfmlPIs]:[NnonWhtAsnPIs]])&gt;0,"WMD","")</f>
        <v/>
      </c>
      <c r="O92" t="b">
        <f>_xlfn.XOR(IFERROR(MATCH(ckCodingTable[[#This Row],[st_code]],EpscorTable[],0)&gt;0,FALSE),IFERROR(FIND("9150",ckCodingTable[[#This Row],[propPRCs]])&gt;0,FALSE))</f>
        <v>0</v>
      </c>
      <c r="P92" s="21" t="b">
        <f>_xlfn.XOR(ckCodingTable[[#This Row],[wmd]]&lt;&gt;"",IFERROR(FIND("9102",ckCodingTable[[#This Row],[propPRCs]])&gt;0,FALSE))</f>
        <v>0</v>
      </c>
      <c r="Q92" t="s">
        <v>1704</v>
      </c>
      <c r="S92" s="108">
        <f>S91+(ckCodingTable[[#This Row],[ILN]]&lt;"M")</f>
        <v>75</v>
      </c>
      <c r="T92" s="21" t="s">
        <v>493</v>
      </c>
      <c r="U92" t="s">
        <v>1403</v>
      </c>
      <c r="V92" s="7" t="str">
        <f>HYPERLINK("https://www.ejacket.nsf.gov/ej/showProposal.do?ID="&amp;ckCodingTable[[#This Row],[prop_id]],"eJ")</f>
        <v>eJ</v>
      </c>
      <c r="W92" t="s">
        <v>478</v>
      </c>
      <c r="X92" t="s">
        <v>1826</v>
      </c>
      <c r="Y92" t="s">
        <v>1827</v>
      </c>
      <c r="Z92" t="s">
        <v>1828</v>
      </c>
      <c r="AA92" t="s">
        <v>497</v>
      </c>
      <c r="AB92" s="111" t="str">
        <f>HYPERLINK("mailto:"&amp;ckCodingTable[[#This Row],[email]]&amp;"&amp;subject=Your NSF Proposal:  "&amp;ckCodingTable[[#This Row],[Div]]&amp;" "&amp;ckCodingTable[[#This Row],[prop_id]], ckCodingTable[[#This Row],[email]])</f>
        <v>rsalakhu@cs.cmu.edu</v>
      </c>
      <c r="AC92" s="30">
        <v>43313</v>
      </c>
      <c r="AD92">
        <v>36</v>
      </c>
      <c r="AG92" s="112"/>
      <c r="AI92" s="26"/>
      <c r="AJ92" s="22"/>
      <c r="AN92" s="112"/>
      <c r="AO92" s="112"/>
      <c r="AP92" s="112"/>
      <c r="AQ92" s="112"/>
      <c r="AR92" s="7" t="str">
        <f>HYPERLINK("https://www.ejacket.nsf.gov/ej/showProposal.do?ID="&amp;ckCodingTable[[#This Row],[prop_id]],"eJ")</f>
        <v>eJ</v>
      </c>
      <c r="AS92" t="s">
        <v>172</v>
      </c>
      <c r="AT92" t="s">
        <v>1824</v>
      </c>
      <c r="AU92" t="b">
        <f>IF(ckCodingTable[[#This Row],[ILN]]="N",SUBSTITUTE(AT91," ","")&lt;&gt;SUBSTITUTE(ckCodingTable[[#This Row],[prop_titl_txt]]," ",""), FALSE)</f>
        <v>0</v>
      </c>
      <c r="AV92">
        <v>0</v>
      </c>
      <c r="AW92" s="13">
        <v>329074</v>
      </c>
      <c r="AX92" s="13">
        <v>329074</v>
      </c>
      <c r="AY92" s="13"/>
      <c r="AZ92" s="13">
        <v>16345</v>
      </c>
      <c r="BA92" s="13"/>
      <c r="BB92" s="13"/>
      <c r="BC92">
        <v>3</v>
      </c>
      <c r="BD92">
        <v>3</v>
      </c>
      <c r="BE92">
        <v>2.1</v>
      </c>
      <c r="BH92">
        <v>0</v>
      </c>
      <c r="BI92">
        <v>0</v>
      </c>
      <c r="BJ92">
        <v>0</v>
      </c>
      <c r="BK92">
        <v>0</v>
      </c>
      <c r="BL92" t="s">
        <v>1829</v>
      </c>
    </row>
    <row r="93" spans="1:64" x14ac:dyDescent="0.4">
      <c r="A93" s="30"/>
      <c r="B93" s="30">
        <v>43005.713888888888</v>
      </c>
      <c r="C93" t="s">
        <v>524</v>
      </c>
      <c r="D93" t="s">
        <v>477</v>
      </c>
      <c r="E93" t="s">
        <v>582</v>
      </c>
      <c r="F93" t="s">
        <v>171</v>
      </c>
      <c r="G93" t="s">
        <v>169</v>
      </c>
      <c r="H93" s="21" t="s">
        <v>94</v>
      </c>
      <c r="I93" s="86">
        <v>1</v>
      </c>
      <c r="J93" s="86">
        <v>0</v>
      </c>
      <c r="K93" t="s">
        <v>525</v>
      </c>
      <c r="L93" t="s">
        <v>654</v>
      </c>
      <c r="M93" t="s">
        <v>230</v>
      </c>
      <c r="N93" t="str">
        <f>IF(SUM(ckCodingTable[[#This Row],[NfmlPIs]:[NnonWhtAsnPIs]])&gt;0,"WMD","")</f>
        <v/>
      </c>
      <c r="O93" t="b">
        <f>_xlfn.XOR(IFERROR(MATCH(ckCodingTable[[#This Row],[st_code]],EpscorTable[],0)&gt;0,FALSE),IFERROR(FIND("9150",ckCodingTable[[#This Row],[propPRCs]])&gt;0,FALSE))</f>
        <v>0</v>
      </c>
      <c r="P93" s="21" t="b">
        <f>_xlfn.XOR(ckCodingTable[[#This Row],[wmd]]&lt;&gt;"",IFERROR(FIND("9102",ckCodingTable[[#This Row],[propPRCs]])&gt;0,FALSE))</f>
        <v>0</v>
      </c>
      <c r="Q93" t="s">
        <v>1704</v>
      </c>
      <c r="S93" s="108">
        <f>S92+(ckCodingTable[[#This Row],[ILN]]&lt;"M")</f>
        <v>75</v>
      </c>
      <c r="T93" s="21" t="s">
        <v>493</v>
      </c>
      <c r="U93" t="s">
        <v>1403</v>
      </c>
      <c r="V93" s="7" t="str">
        <f>HYPERLINK("https://www.ejacket.nsf.gov/ej/showProposal.do?ID="&amp;ckCodingTable[[#This Row],[prop_id]],"eJ")</f>
        <v>eJ</v>
      </c>
      <c r="W93" t="s">
        <v>478</v>
      </c>
      <c r="X93" t="s">
        <v>1830</v>
      </c>
      <c r="Y93" t="s">
        <v>937</v>
      </c>
      <c r="Z93" t="s">
        <v>1554</v>
      </c>
      <c r="AA93" t="s">
        <v>501</v>
      </c>
      <c r="AB93" s="111" t="str">
        <f>HYPERLINK("mailto:"&amp;ckCodingTable[[#This Row],[email]]&amp;"&amp;subject=Your NSF Proposal:  "&amp;ckCodingTable[[#This Row],[Div]]&amp;" "&amp;ckCodingTable[[#This Row],[prop_id]], ckCodingTable[[#This Row],[email]])</f>
        <v xml:space="preserve"> hardt@eecs.berkeley.edu</v>
      </c>
      <c r="AC93" s="30">
        <v>43313</v>
      </c>
      <c r="AD93">
        <v>36</v>
      </c>
      <c r="AG93" s="112"/>
      <c r="AI93" s="26"/>
      <c r="AJ93" s="22"/>
      <c r="AN93" s="112"/>
      <c r="AO93" s="112"/>
      <c r="AP93" s="112"/>
      <c r="AQ93" s="112"/>
      <c r="AR93" s="7" t="str">
        <f>HYPERLINK("https://www.ejacket.nsf.gov/ej/showProposal.do?ID="&amp;ckCodingTable[[#This Row],[prop_id]],"eJ")</f>
        <v>eJ</v>
      </c>
      <c r="AS93" t="s">
        <v>172</v>
      </c>
      <c r="AT93" t="s">
        <v>1824</v>
      </c>
      <c r="AU93" t="b">
        <f>IF(ckCodingTable[[#This Row],[ILN]]="N",SUBSTITUTE(AT92," ","")&lt;&gt;SUBSTITUTE(ckCodingTable[[#This Row],[prop_titl_txt]]," ",""), FALSE)</f>
        <v>0</v>
      </c>
      <c r="AV93">
        <v>0</v>
      </c>
      <c r="AW93" s="13">
        <v>328204</v>
      </c>
      <c r="AX93" s="13">
        <v>328204</v>
      </c>
      <c r="AY93" s="13"/>
      <c r="AZ93" s="13"/>
      <c r="BA93" s="13"/>
      <c r="BB93" s="13"/>
      <c r="BC93">
        <v>3</v>
      </c>
      <c r="BD93">
        <v>3</v>
      </c>
      <c r="BE93">
        <v>1.5</v>
      </c>
      <c r="BH93">
        <v>0</v>
      </c>
      <c r="BI93">
        <v>0</v>
      </c>
      <c r="BJ93">
        <v>0</v>
      </c>
      <c r="BK93">
        <v>0</v>
      </c>
      <c r="BL93" t="s">
        <v>1557</v>
      </c>
    </row>
    <row r="94" spans="1:64" x14ac:dyDescent="0.4">
      <c r="A94" s="30"/>
      <c r="B94" s="30">
        <v>43005.740277777775</v>
      </c>
      <c r="C94" t="s">
        <v>1831</v>
      </c>
      <c r="D94" t="s">
        <v>1622</v>
      </c>
      <c r="E94" t="s">
        <v>580</v>
      </c>
      <c r="F94" t="s">
        <v>171</v>
      </c>
      <c r="G94" t="s">
        <v>169</v>
      </c>
      <c r="H94" s="21" t="s">
        <v>94</v>
      </c>
      <c r="I94" s="86">
        <v>1</v>
      </c>
      <c r="J94" s="86">
        <v>0</v>
      </c>
      <c r="K94" t="s">
        <v>1832</v>
      </c>
      <c r="L94" t="s">
        <v>1166</v>
      </c>
      <c r="M94" t="s">
        <v>230</v>
      </c>
      <c r="N94" t="str">
        <f>IF(SUM(ckCodingTable[[#This Row],[NfmlPIs]:[NnonWhtAsnPIs]])&gt;0,"WMD","")</f>
        <v/>
      </c>
      <c r="O94" t="b">
        <f>_xlfn.XOR(IFERROR(MATCH(ckCodingTable[[#This Row],[st_code]],EpscorTable[],0)&gt;0,FALSE),IFERROR(FIND("9150",ckCodingTable[[#This Row],[propPRCs]])&gt;0,FALSE))</f>
        <v>0</v>
      </c>
      <c r="P94" s="21" t="b">
        <f>_xlfn.XOR(ckCodingTable[[#This Row],[wmd]]&lt;&gt;"",IFERROR(FIND("9102",ckCodingTable[[#This Row],[propPRCs]])&gt;0,FALSE))</f>
        <v>0</v>
      </c>
      <c r="Q94" t="s">
        <v>1833</v>
      </c>
      <c r="S94" s="108">
        <f>S93+(ckCodingTable[[#This Row],[ILN]]&lt;"M")</f>
        <v>76</v>
      </c>
      <c r="T94" s="21" t="s">
        <v>95</v>
      </c>
      <c r="U94" t="s">
        <v>1411</v>
      </c>
      <c r="V94" s="7" t="str">
        <f>HYPERLINK("https://www.ejacket.nsf.gov/ej/showProposal.do?ID="&amp;ckCodingTable[[#This Row],[prop_id]],"eJ")</f>
        <v>eJ</v>
      </c>
      <c r="W94" t="s">
        <v>1625</v>
      </c>
      <c r="X94" t="s">
        <v>1411</v>
      </c>
      <c r="Y94" t="s">
        <v>1412</v>
      </c>
      <c r="Z94" t="s">
        <v>1524</v>
      </c>
      <c r="AA94" t="s">
        <v>1834</v>
      </c>
      <c r="AB94" s="111" t="str">
        <f>HYPERLINK("mailto:"&amp;ckCodingTable[[#This Row],[email]]&amp;"&amp;subject=Your NSF Proposal:  "&amp;ckCodingTable[[#This Row],[Div]]&amp;" "&amp;ckCodingTable[[#This Row],[prop_id]], ckCodingTable[[#This Row],[email]])</f>
        <v>mmahoney@icsi.berkeley.edu</v>
      </c>
      <c r="AC94" s="30">
        <v>43160</v>
      </c>
      <c r="AD94">
        <v>48</v>
      </c>
      <c r="AE94">
        <v>1</v>
      </c>
      <c r="AG94" s="112">
        <v>1</v>
      </c>
      <c r="AH94" t="s">
        <v>1835</v>
      </c>
      <c r="AI94" s="26">
        <v>5.25</v>
      </c>
      <c r="AJ94" s="22">
        <v>43081.304861111108</v>
      </c>
      <c r="AK94" s="21">
        <v>1</v>
      </c>
      <c r="AL94">
        <v>4</v>
      </c>
      <c r="AN94" s="112">
        <v>4</v>
      </c>
      <c r="AO94" s="112"/>
      <c r="AP94" s="112"/>
      <c r="AQ94" s="112"/>
      <c r="AR94" s="7" t="str">
        <f>HYPERLINK("https://www.ejacket.nsf.gov/ej/showProposal.do?ID="&amp;ckCodingTable[[#This Row],[prop_id]],"eJ")</f>
        <v>eJ</v>
      </c>
      <c r="AS94" t="s">
        <v>172</v>
      </c>
      <c r="AT94" t="s">
        <v>1836</v>
      </c>
      <c r="AU94" t="b">
        <f>IF(ckCodingTable[[#This Row],[ILN]]="N",SUBSTITUTE(AT93," ","")&lt;&gt;SUBSTITUTE(ckCodingTable[[#This Row],[prop_titl_txt]]," ",""), FALSE)</f>
        <v>0</v>
      </c>
      <c r="AV94">
        <v>0</v>
      </c>
      <c r="AW94" s="13">
        <v>1200000</v>
      </c>
      <c r="AX94" s="13">
        <v>1200000</v>
      </c>
      <c r="AY94" s="13"/>
      <c r="AZ94" s="13">
        <v>48000</v>
      </c>
      <c r="BA94" s="13"/>
      <c r="BB94" s="13"/>
      <c r="BC94">
        <v>16</v>
      </c>
      <c r="BD94">
        <v>4</v>
      </c>
      <c r="BG94">
        <v>4</v>
      </c>
      <c r="BH94">
        <v>0</v>
      </c>
      <c r="BI94">
        <v>0</v>
      </c>
      <c r="BJ94">
        <v>0</v>
      </c>
      <c r="BK94">
        <v>0</v>
      </c>
      <c r="BL94" t="s">
        <v>1837</v>
      </c>
    </row>
    <row r="95" spans="1:64" x14ac:dyDescent="0.4">
      <c r="A95" s="30"/>
      <c r="B95" s="30">
        <v>43005.743750000001</v>
      </c>
      <c r="C95" t="s">
        <v>524</v>
      </c>
      <c r="D95" t="s">
        <v>477</v>
      </c>
      <c r="E95" t="s">
        <v>582</v>
      </c>
      <c r="F95" t="s">
        <v>171</v>
      </c>
      <c r="G95" t="s">
        <v>169</v>
      </c>
      <c r="H95" s="21" t="s">
        <v>94</v>
      </c>
      <c r="I95" s="86">
        <v>1</v>
      </c>
      <c r="J95" s="86">
        <v>0</v>
      </c>
      <c r="K95" t="s">
        <v>525</v>
      </c>
      <c r="L95" t="s">
        <v>611</v>
      </c>
      <c r="M95" t="s">
        <v>306</v>
      </c>
      <c r="N95" t="str">
        <f>IF(SUM(ckCodingTable[[#This Row],[NfmlPIs]:[NnonWhtAsnPIs]])&gt;0,"WMD","")</f>
        <v/>
      </c>
      <c r="O95" t="b">
        <f>_xlfn.XOR(IFERROR(MATCH(ckCodingTable[[#This Row],[st_code]],EpscorTable[],0)&gt;0,FALSE),IFERROR(FIND("9150",ckCodingTable[[#This Row],[propPRCs]])&gt;0,FALSE))</f>
        <v>0</v>
      </c>
      <c r="P95" s="21" t="b">
        <f>_xlfn.XOR(ckCodingTable[[#This Row],[wmd]]&lt;&gt;"",IFERROR(FIND("9102",ckCodingTable[[#This Row],[propPRCs]])&gt;0,FALSE))</f>
        <v>0</v>
      </c>
      <c r="Q95" t="s">
        <v>1704</v>
      </c>
      <c r="R95" s="22">
        <v>43082.530312499999</v>
      </c>
      <c r="S95" s="108">
        <f>S94+(ckCodingTable[[#This Row],[ILN]]&lt;"M")</f>
        <v>77</v>
      </c>
      <c r="T95" s="21" t="s">
        <v>491</v>
      </c>
      <c r="U95" t="s">
        <v>1420</v>
      </c>
      <c r="V95" s="7" t="str">
        <f>HYPERLINK("https://www.ejacket.nsf.gov/ej/showProposal.do?ID="&amp;ckCodingTable[[#This Row],[prop_id]],"eJ")</f>
        <v>eJ</v>
      </c>
      <c r="W95" t="s">
        <v>478</v>
      </c>
      <c r="X95" t="s">
        <v>1420</v>
      </c>
      <c r="Y95" t="s">
        <v>1421</v>
      </c>
      <c r="Z95" t="s">
        <v>1838</v>
      </c>
      <c r="AA95" t="s">
        <v>1839</v>
      </c>
      <c r="AB95" s="111" t="str">
        <f>HYPERLINK("mailto:"&amp;ckCodingTable[[#This Row],[email]]&amp;"&amp;subject=Your NSF Proposal:  "&amp;ckCodingTable[[#This Row],[Div]]&amp;" "&amp;ckCodingTable[[#This Row],[prop_id]], ckCodingTable[[#This Row],[email]])</f>
        <v>wbwu@galton.uchicago.edu</v>
      </c>
      <c r="AC95" s="30">
        <v>43282</v>
      </c>
      <c r="AD95">
        <v>48</v>
      </c>
      <c r="AE95">
        <v>1</v>
      </c>
      <c r="AG95" s="112">
        <v>1</v>
      </c>
      <c r="AH95" t="s">
        <v>1840</v>
      </c>
      <c r="AI95" s="26">
        <v>4</v>
      </c>
      <c r="AJ95" s="22">
        <v>43081.243055555555</v>
      </c>
      <c r="AL95">
        <v>4</v>
      </c>
      <c r="AN95" s="112">
        <v>4</v>
      </c>
      <c r="AO95" s="112"/>
      <c r="AP95" s="112"/>
      <c r="AQ95" s="112"/>
      <c r="AR95" s="7" t="str">
        <f>HYPERLINK("https://www.ejacket.nsf.gov/ej/showProposal.do?ID="&amp;ckCodingTable[[#This Row],[prop_id]],"eJ")</f>
        <v>eJ</v>
      </c>
      <c r="AS95" t="s">
        <v>172</v>
      </c>
      <c r="AT95" t="s">
        <v>1841</v>
      </c>
      <c r="AU95" t="b">
        <f>IF(ckCodingTable[[#This Row],[ILN]]="N",SUBSTITUTE(AT94," ","")&lt;&gt;SUBSTITUTE(ckCodingTable[[#This Row],[prop_titl_txt]]," ",""), FALSE)</f>
        <v>0</v>
      </c>
      <c r="AV95">
        <v>0</v>
      </c>
      <c r="AW95" s="13">
        <v>399414</v>
      </c>
      <c r="AX95" s="13">
        <v>399414</v>
      </c>
      <c r="AY95" s="13"/>
      <c r="AZ95" s="13">
        <v>12551</v>
      </c>
      <c r="BA95" s="13"/>
      <c r="BB95" s="13"/>
      <c r="BC95">
        <v>8</v>
      </c>
      <c r="BD95">
        <v>4</v>
      </c>
      <c r="BE95">
        <v>6.5</v>
      </c>
      <c r="BH95">
        <v>0</v>
      </c>
      <c r="BI95">
        <v>0</v>
      </c>
      <c r="BJ95">
        <v>0</v>
      </c>
      <c r="BK95">
        <v>0</v>
      </c>
      <c r="BL95" t="s">
        <v>1842</v>
      </c>
    </row>
    <row r="96" spans="1:64" x14ac:dyDescent="0.4">
      <c r="A96" s="30"/>
      <c r="B96" s="30">
        <v>43005.654166666667</v>
      </c>
      <c r="C96" t="s">
        <v>524</v>
      </c>
      <c r="D96" t="s">
        <v>477</v>
      </c>
      <c r="E96" t="s">
        <v>582</v>
      </c>
      <c r="F96" t="s">
        <v>171</v>
      </c>
      <c r="G96" t="s">
        <v>169</v>
      </c>
      <c r="H96" s="21" t="s">
        <v>94</v>
      </c>
      <c r="I96" s="86">
        <v>1</v>
      </c>
      <c r="J96" s="86">
        <v>0</v>
      </c>
      <c r="K96" t="s">
        <v>525</v>
      </c>
      <c r="L96" t="s">
        <v>611</v>
      </c>
      <c r="M96" t="s">
        <v>498</v>
      </c>
      <c r="N96" t="str">
        <f>IF(SUM(ckCodingTable[[#This Row],[NfmlPIs]:[NnonWhtAsnPIs]])&gt;0,"WMD","")</f>
        <v>WMD</v>
      </c>
      <c r="O96" t="b">
        <f>_xlfn.XOR(IFERROR(MATCH(ckCodingTable[[#This Row],[st_code]],EpscorTable[],0)&gt;0,FALSE),IFERROR(FIND("9150",ckCodingTable[[#This Row],[propPRCs]])&gt;0,FALSE))</f>
        <v>0</v>
      </c>
      <c r="P96" s="21" t="b">
        <f>_xlfn.XOR(ckCodingTable[[#This Row],[wmd]]&lt;&gt;"",IFERROR(FIND("9102",ckCodingTable[[#This Row],[propPRCs]])&gt;0,FALSE))</f>
        <v>1</v>
      </c>
      <c r="Q96" t="s">
        <v>1704</v>
      </c>
      <c r="R96" s="22">
        <v>43082.530312499999</v>
      </c>
      <c r="S96" s="108">
        <f>S95+(ckCodingTable[[#This Row],[ILN]]&lt;"M")</f>
        <v>77</v>
      </c>
      <c r="T96" s="21" t="s">
        <v>493</v>
      </c>
      <c r="U96" t="s">
        <v>1420</v>
      </c>
      <c r="V96" s="7" t="str">
        <f>HYPERLINK("https://www.ejacket.nsf.gov/ej/showProposal.do?ID="&amp;ckCodingTable[[#This Row],[prop_id]],"eJ")</f>
        <v>eJ</v>
      </c>
      <c r="W96" t="s">
        <v>478</v>
      </c>
      <c r="X96" t="s">
        <v>1843</v>
      </c>
      <c r="Y96" t="s">
        <v>1352</v>
      </c>
      <c r="Z96" t="s">
        <v>1844</v>
      </c>
      <c r="AA96" t="s">
        <v>1845</v>
      </c>
      <c r="AB96" s="111" t="str">
        <f>HYPERLINK("mailto:"&amp;ckCodingTable[[#This Row],[email]]&amp;"&amp;subject=Your NSF Proposal:  "&amp;ckCodingTable[[#This Row],[Div]]&amp;" "&amp;ckCodingTable[[#This Row],[prop_id]], ckCodingTable[[#This Row],[email]])</f>
        <v>maggie.cheng@njit.edu</v>
      </c>
      <c r="AC96" s="30">
        <v>43282</v>
      </c>
      <c r="AD96">
        <v>48</v>
      </c>
      <c r="AG96" s="112"/>
      <c r="AI96" s="26"/>
      <c r="AJ96" s="22"/>
      <c r="AN96" s="112"/>
      <c r="AO96" s="112"/>
      <c r="AP96" s="112"/>
      <c r="AQ96" s="112"/>
      <c r="AR96" s="7" t="str">
        <f>HYPERLINK("https://www.ejacket.nsf.gov/ej/showProposal.do?ID="&amp;ckCodingTable[[#This Row],[prop_id]],"eJ")</f>
        <v>eJ</v>
      </c>
      <c r="AS96" t="s">
        <v>172</v>
      </c>
      <c r="AT96" t="s">
        <v>1841</v>
      </c>
      <c r="AU96" t="b">
        <f>IF(ckCodingTable[[#This Row],[ILN]]="N",SUBSTITUTE(AT95," ","")&lt;&gt;SUBSTITUTE(ckCodingTable[[#This Row],[prop_titl_txt]]," ",""), FALSE)</f>
        <v>0</v>
      </c>
      <c r="AV96">
        <v>0</v>
      </c>
      <c r="AW96" s="13">
        <v>398685</v>
      </c>
      <c r="AX96" s="13">
        <v>398685</v>
      </c>
      <c r="AY96" s="13"/>
      <c r="AZ96" s="13">
        <v>8000</v>
      </c>
      <c r="BA96" s="13"/>
      <c r="BB96" s="13"/>
      <c r="BC96">
        <v>4</v>
      </c>
      <c r="BD96">
        <v>4</v>
      </c>
      <c r="BE96">
        <v>4</v>
      </c>
      <c r="BH96">
        <v>2</v>
      </c>
      <c r="BI96">
        <v>0</v>
      </c>
      <c r="BJ96">
        <v>0</v>
      </c>
      <c r="BK96">
        <v>0</v>
      </c>
      <c r="BL96" t="s">
        <v>1846</v>
      </c>
    </row>
  </sheetData>
  <conditionalFormatting sqref="A2:BL96">
    <cfRule type="expression" dxfId="12" priority="6">
      <formula>MOD($S2,2)</formula>
    </cfRule>
  </conditionalFormatting>
  <conditionalFormatting sqref="AL2:AM96">
    <cfRule type="expression" dxfId="11" priority="5">
      <formula>AND($T2&lt;"M",$AL2&lt;$AM2+3)</formula>
    </cfRule>
  </conditionalFormatting>
  <conditionalFormatting sqref="C2:L96">
    <cfRule type="expression" dxfId="10" priority="4">
      <formula>AND($T2="N", C2&lt;&gt;C1)</formula>
    </cfRule>
  </conditionalFormatting>
  <conditionalFormatting sqref="AT2:AT96">
    <cfRule type="expression" dxfId="9" priority="3">
      <formula>$AU2</formula>
    </cfRule>
  </conditionalFormatting>
  <conditionalFormatting sqref="I2:J96">
    <cfRule type="expression" dxfId="8" priority="2">
      <formula>($J2+$I2)&lt;&gt;1</formula>
    </cfRule>
  </conditionalFormatting>
  <conditionalFormatting sqref="M2:N96">
    <cfRule type="expression" dxfId="7"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96"/>
  <sheetViews>
    <sheetView topLeftCell="AN25" zoomScale="98" workbookViewId="0">
      <selection activeCell="AT51" sqref="AT51"/>
    </sheetView>
  </sheetViews>
  <sheetFormatPr defaultRowHeight="14.6" x14ac:dyDescent="0.4"/>
  <cols>
    <col min="1" max="1" width="8.69140625" style="30" customWidth="1"/>
    <col min="2" max="2" width="8.53515625" customWidth="1"/>
    <col min="3" max="3" width="10.3828125" customWidth="1"/>
    <col min="4" max="4" width="8.84375" customWidth="1"/>
    <col min="5" max="5" width="5.53515625" customWidth="1"/>
    <col min="6" max="6" width="7.69140625" style="30" customWidth="1"/>
    <col min="7" max="9" width="5.84375" style="30" customWidth="1"/>
    <col min="10" max="10" width="5.3046875" style="30" customWidth="1"/>
    <col min="11" max="11" width="8.53515625" customWidth="1"/>
    <col min="12" max="12" width="14.3046875" customWidth="1"/>
    <col min="13" max="13" width="4.3828125" style="109" customWidth="1"/>
    <col min="14" max="14" width="1.84375" customWidth="1"/>
    <col min="15" max="15" width="8.3828125" style="22" customWidth="1"/>
    <col min="16" max="16" width="2.84375" style="39" customWidth="1"/>
    <col min="17" max="17" width="3.53515625" style="39" customWidth="1"/>
    <col min="18" max="18" width="8.3828125" style="39" customWidth="1"/>
    <col min="19" max="19" width="10.84375" customWidth="1"/>
    <col min="20" max="20" width="10.3046875" customWidth="1"/>
    <col min="21" max="21" width="13.69140625" customWidth="1"/>
    <col min="22" max="22" width="3.69140625" style="30" customWidth="1"/>
    <col min="23" max="23" width="9.53515625" style="109" customWidth="1"/>
    <col min="24" max="24" width="9.3046875" style="30"/>
    <col min="25" max="25" width="4.3046875" style="30" customWidth="1"/>
    <col min="26" max="26" width="9" customWidth="1"/>
    <col min="27" max="27" width="10" customWidth="1"/>
    <col min="28" max="28" width="8.84375" style="82" customWidth="1"/>
    <col min="29" max="30" width="8.84375" style="21" customWidth="1"/>
    <col min="31" max="31" width="17.3828125" style="21" customWidth="1"/>
    <col min="32" max="32" width="11.69140625" customWidth="1"/>
    <col min="33" max="33" width="3.53515625" style="125" customWidth="1"/>
    <col min="34" max="34" width="10.69140625" customWidth="1"/>
    <col min="35" max="35" width="11.3828125" style="13" customWidth="1"/>
    <col min="36" max="36" width="7.53515625" customWidth="1"/>
    <col min="37" max="38" width="10.3828125" style="1" customWidth="1"/>
    <col min="39" max="41" width="4.84375" style="1" customWidth="1"/>
    <col min="42" max="43" width="4.84375" style="82" customWidth="1"/>
    <col min="44" max="44" width="22.15234375" style="125" customWidth="1"/>
    <col min="45" max="45" width="3.53515625" customWidth="1"/>
    <col min="46" max="46" width="18.53515625" customWidth="1"/>
    <col min="47" max="47" width="5.3046875" customWidth="1"/>
    <col min="48" max="48" width="90" customWidth="1"/>
    <col min="49" max="49" width="7.3046875" hidden="1" customWidth="1"/>
    <col min="50" max="50" width="29.3828125" hidden="1" customWidth="1"/>
    <col min="51" max="51" width="10.15234375" style="21" customWidth="1"/>
    <col min="52" max="52" width="58.84375" style="21" customWidth="1"/>
    <col min="53" max="53" width="21.3046875" style="21" customWidth="1"/>
    <col min="54" max="56" width="5.53515625" style="21"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37.4" customHeight="1" x14ac:dyDescent="0.4">
      <c r="A1" s="30" t="s">
        <v>87</v>
      </c>
      <c r="B1" s="30" t="s">
        <v>7</v>
      </c>
      <c r="C1" t="s">
        <v>8</v>
      </c>
      <c r="D1" t="s">
        <v>5</v>
      </c>
      <c r="E1" t="s">
        <v>4</v>
      </c>
      <c r="F1" t="s">
        <v>91</v>
      </c>
      <c r="G1" t="s">
        <v>165</v>
      </c>
      <c r="H1" t="s">
        <v>163</v>
      </c>
      <c r="I1" t="s">
        <v>373</v>
      </c>
      <c r="J1" t="s">
        <v>92</v>
      </c>
      <c r="K1" t="s">
        <v>17</v>
      </c>
      <c r="L1" s="22" t="s">
        <v>16</v>
      </c>
      <c r="M1" s="110" t="s">
        <v>101</v>
      </c>
      <c r="N1" t="s">
        <v>88</v>
      </c>
      <c r="O1" t="s">
        <v>9</v>
      </c>
      <c r="P1" t="s">
        <v>1</v>
      </c>
      <c r="Q1" t="s">
        <v>143</v>
      </c>
      <c r="R1" t="s">
        <v>0</v>
      </c>
      <c r="S1" t="s">
        <v>10</v>
      </c>
      <c r="T1" t="s">
        <v>18</v>
      </c>
      <c r="U1" t="s">
        <v>287</v>
      </c>
      <c r="V1" t="s">
        <v>93</v>
      </c>
      <c r="W1" s="110" t="s">
        <v>130</v>
      </c>
      <c r="X1" s="30" t="s">
        <v>19</v>
      </c>
      <c r="Y1" t="s">
        <v>20</v>
      </c>
      <c r="Z1" t="s">
        <v>89</v>
      </c>
      <c r="AA1" s="21" t="s">
        <v>397</v>
      </c>
      <c r="AB1" s="21" t="s">
        <v>398</v>
      </c>
      <c r="AC1" t="s">
        <v>90</v>
      </c>
      <c r="AD1" s="21" t="s">
        <v>399</v>
      </c>
      <c r="AE1" s="21" t="s">
        <v>131</v>
      </c>
      <c r="AF1" s="13" t="s">
        <v>21</v>
      </c>
      <c r="AG1" s="124" t="s">
        <v>296</v>
      </c>
      <c r="AH1" s="1" t="s">
        <v>22</v>
      </c>
      <c r="AI1" s="1" t="s">
        <v>297</v>
      </c>
      <c r="AJ1" s="1" t="s">
        <v>298</v>
      </c>
      <c r="AK1" s="1" t="s">
        <v>299</v>
      </c>
      <c r="AL1" s="1" t="s">
        <v>300</v>
      </c>
      <c r="AM1" s="21" t="s">
        <v>301</v>
      </c>
      <c r="AN1" s="21" t="s">
        <v>302</v>
      </c>
      <c r="AO1" s="21" t="s">
        <v>303</v>
      </c>
      <c r="AP1" s="21" t="s">
        <v>304</v>
      </c>
      <c r="AQ1" s="21" t="s">
        <v>305</v>
      </c>
      <c r="AR1" s="125" t="s">
        <v>166</v>
      </c>
      <c r="AS1" s="21" t="s">
        <v>380</v>
      </c>
      <c r="AT1" s="21" t="s">
        <v>425</v>
      </c>
      <c r="AU1" s="21" t="s">
        <v>132</v>
      </c>
      <c r="AV1" t="s">
        <v>36</v>
      </c>
      <c r="AW1" t="s">
        <v>411</v>
      </c>
      <c r="AX1" t="s">
        <v>145</v>
      </c>
      <c r="AY1"/>
      <c r="AZ1"/>
      <c r="BA1"/>
      <c r="BB1"/>
      <c r="BC1"/>
      <c r="BD1"/>
      <c r="BL1"/>
      <c r="BP1"/>
    </row>
    <row r="2" spans="1:68" ht="14.7" customHeight="1" x14ac:dyDescent="0.4">
      <c r="B2" s="30">
        <v>42930.554166666669</v>
      </c>
      <c r="C2" t="s">
        <v>1430</v>
      </c>
      <c r="D2" t="s">
        <v>477</v>
      </c>
      <c r="E2" t="s">
        <v>582</v>
      </c>
      <c r="F2" t="s">
        <v>604</v>
      </c>
      <c r="G2" s="8" t="s">
        <v>171</v>
      </c>
      <c r="H2" s="8" t="s">
        <v>169</v>
      </c>
      <c r="I2" s="8" t="s">
        <v>505</v>
      </c>
      <c r="J2" t="s">
        <v>94</v>
      </c>
      <c r="K2" t="s">
        <v>1431</v>
      </c>
      <c r="L2" s="22">
        <v>43076.608981481484</v>
      </c>
      <c r="M2" s="109">
        <f xml:space="preserve"> M1+(ckAwdTable[ILN]&lt;"M")</f>
        <v>1</v>
      </c>
      <c r="N2" t="s">
        <v>95</v>
      </c>
      <c r="O2" t="s">
        <v>602</v>
      </c>
      <c r="P2" s="15" t="str">
        <f>HYPERLINK("https://www.ejacket.nsf.gov/ej/showProposal.do?ID="&amp;ckAwdTable[[#This Row],[prop_id]],"eJ")</f>
        <v>eJ</v>
      </c>
      <c r="Q2" s="8" t="s">
        <v>478</v>
      </c>
      <c r="R2" t="s">
        <v>602</v>
      </c>
      <c r="S2" t="s">
        <v>603</v>
      </c>
      <c r="T2" t="s">
        <v>1434</v>
      </c>
      <c r="U2" s="8" t="s">
        <v>1435</v>
      </c>
      <c r="V2" t="s">
        <v>1433</v>
      </c>
      <c r="W2" s="113" t="str">
        <f>HYPERLINK("mailto:"&amp; ckAwdTable[[#This Row],[email]]&amp;"&amp;subject=Your NSF Proposal:  "&amp;ckAwdTable[[#This Row],[prop_id]], ckAwdTable[[#This Row],[email]])</f>
        <v>steffen.borgwardt@ucdenver.edu</v>
      </c>
      <c r="X2" s="30">
        <v>43101</v>
      </c>
      <c r="Y2">
        <v>60</v>
      </c>
      <c r="AA2" s="21" t="s">
        <v>13</v>
      </c>
      <c r="AB2" s="21" t="s">
        <v>382</v>
      </c>
      <c r="AC2"/>
      <c r="AD2" s="21" t="s">
        <v>13</v>
      </c>
      <c r="AE2" s="21" t="s">
        <v>506</v>
      </c>
      <c r="AF2" s="13">
        <v>470400</v>
      </c>
      <c r="AG2" s="124">
        <v>0</v>
      </c>
      <c r="AH2" s="1">
        <v>470400</v>
      </c>
      <c r="AI2" s="1"/>
      <c r="AJ2" s="1">
        <v>9600</v>
      </c>
      <c r="AM2" s="21">
        <v>5</v>
      </c>
      <c r="AN2" s="21">
        <v>5</v>
      </c>
      <c r="AO2" s="21">
        <v>7.5</v>
      </c>
      <c r="AP2" s="21"/>
      <c r="AQ2" s="21"/>
      <c r="AR2" s="126" t="s">
        <v>172</v>
      </c>
      <c r="AS2" s="21" t="s">
        <v>493</v>
      </c>
      <c r="AT2" s="21" t="str">
        <f>IFERROR(IF(FIND("?",ckAwdTable[abst_narr_txt]),SummarizeQuestMarks(ckAwdTable[abst_narr_txt]),""),"")</f>
        <v/>
      </c>
      <c r="AU2" s="119"/>
      <c r="AV2" t="s">
        <v>1437</v>
      </c>
      <c r="AW2" t="b">
        <f>AND(ckAwdTable[[#This Row],[ILN]]&gt;"M", SUBSTITUTE(ckAwdTable[[#This Row],[prop_titl_txt]]," ","")&lt;&gt;SUBSTITUTE(AV1," ",""))</f>
        <v>0</v>
      </c>
      <c r="AX2" s="8" t="s">
        <v>1438</v>
      </c>
      <c r="AY2"/>
      <c r="AZ2"/>
      <c r="BA2"/>
      <c r="BB2"/>
      <c r="BC2"/>
      <c r="BD2"/>
      <c r="BL2"/>
      <c r="BP2"/>
    </row>
    <row r="3" spans="1:68" x14ac:dyDescent="0.4">
      <c r="B3" s="30">
        <v>42933.444444444445</v>
      </c>
      <c r="C3" t="s">
        <v>1430</v>
      </c>
      <c r="D3" t="s">
        <v>1622</v>
      </c>
      <c r="E3" t="s">
        <v>580</v>
      </c>
      <c r="F3" t="s">
        <v>1166</v>
      </c>
      <c r="G3" s="8" t="s">
        <v>171</v>
      </c>
      <c r="H3" s="8" t="s">
        <v>169</v>
      </c>
      <c r="I3" s="8" t="s">
        <v>505</v>
      </c>
      <c r="J3" t="s">
        <v>94</v>
      </c>
      <c r="K3" t="s">
        <v>2065</v>
      </c>
      <c r="L3" s="22">
        <v>43068.644884259258</v>
      </c>
      <c r="M3" s="109">
        <f xml:space="preserve"> M2+(ckAwdTable[ILN]&lt;"M")</f>
        <v>2</v>
      </c>
      <c r="N3" t="s">
        <v>95</v>
      </c>
      <c r="O3" t="s">
        <v>2015</v>
      </c>
      <c r="P3" s="15" t="str">
        <f>HYPERLINK("https://www.ejacket.nsf.gov/ej/showProposal.do?ID="&amp;ckAwdTable[[#This Row],[prop_id]],"eJ")</f>
        <v>eJ</v>
      </c>
      <c r="Q3" s="8" t="s">
        <v>1625</v>
      </c>
      <c r="R3" t="s">
        <v>2015</v>
      </c>
      <c r="S3" t="s">
        <v>2016</v>
      </c>
      <c r="T3" t="s">
        <v>2067</v>
      </c>
      <c r="U3" s="8" t="s">
        <v>2068</v>
      </c>
      <c r="V3" t="s">
        <v>563</v>
      </c>
      <c r="W3" s="113" t="str">
        <f>HYPERLINK("mailto:"&amp; ckAwdTable[[#This Row],[email]]&amp;"&amp;subject=Your NSF Proposal:  "&amp;ckAwdTable[[#This Row],[prop_id]], ckAwdTable[[#This Row],[email]])</f>
        <v>tianbao-yang@uiowa.edu</v>
      </c>
      <c r="X3" s="30">
        <v>43252</v>
      </c>
      <c r="Y3">
        <v>60</v>
      </c>
      <c r="AA3" s="21" t="s">
        <v>13</v>
      </c>
      <c r="AB3" s="21" t="s">
        <v>382</v>
      </c>
      <c r="AC3"/>
      <c r="AD3" s="21" t="s">
        <v>13</v>
      </c>
      <c r="AE3" s="21" t="s">
        <v>506</v>
      </c>
      <c r="AF3" s="13">
        <v>543913</v>
      </c>
      <c r="AG3" s="124">
        <v>0</v>
      </c>
      <c r="AH3" s="1">
        <v>543913</v>
      </c>
      <c r="AI3" s="1"/>
      <c r="AJ3" s="1">
        <v>15500</v>
      </c>
      <c r="AM3" s="21">
        <v>10</v>
      </c>
      <c r="AN3" s="21">
        <v>5</v>
      </c>
      <c r="AO3" s="21">
        <v>5</v>
      </c>
      <c r="AP3" s="21"/>
      <c r="AQ3" s="21"/>
      <c r="AR3" s="126" t="s">
        <v>2070</v>
      </c>
      <c r="AS3" s="21" t="s">
        <v>493</v>
      </c>
      <c r="AT3" s="21" t="str">
        <f>IFERROR(IF(FIND("?",ckAwdTable[abst_narr_txt]),SummarizeQuestMarks(ckAwdTable[abst_narr_txt]),""),"")</f>
        <v/>
      </c>
      <c r="AU3" s="119"/>
      <c r="AV3" t="s">
        <v>2071</v>
      </c>
      <c r="AW3" t="b">
        <f>AND(ckAwdTable[[#This Row],[ILN]]&gt;"M", SUBSTITUTE(ckAwdTable[[#This Row],[prop_titl_txt]]," ","")&lt;&gt;SUBSTITUTE(AV2," ",""))</f>
        <v>0</v>
      </c>
      <c r="AX3" s="8" t="s">
        <v>2072</v>
      </c>
      <c r="AY3"/>
      <c r="AZ3"/>
      <c r="BA3"/>
      <c r="BB3"/>
      <c r="BC3"/>
      <c r="BD3"/>
      <c r="BL3"/>
      <c r="BP3"/>
    </row>
    <row r="4" spans="1:68" x14ac:dyDescent="0.4">
      <c r="B4" s="30">
        <v>42933.547222222223</v>
      </c>
      <c r="C4" t="s">
        <v>1430</v>
      </c>
      <c r="D4" t="s">
        <v>477</v>
      </c>
      <c r="E4" t="s">
        <v>582</v>
      </c>
      <c r="F4" t="s">
        <v>604</v>
      </c>
      <c r="G4" s="8" t="s">
        <v>171</v>
      </c>
      <c r="H4" s="8" t="s">
        <v>169</v>
      </c>
      <c r="I4" s="8" t="s">
        <v>505</v>
      </c>
      <c r="J4" t="s">
        <v>94</v>
      </c>
      <c r="K4" t="s">
        <v>1431</v>
      </c>
      <c r="L4" s="22">
        <v>43082.662557870368</v>
      </c>
      <c r="M4" s="109">
        <f xml:space="preserve"> M3+(ckAwdTable[ILN]&lt;"M")</f>
        <v>3</v>
      </c>
      <c r="N4" t="s">
        <v>95</v>
      </c>
      <c r="O4" t="s">
        <v>630</v>
      </c>
      <c r="P4" s="15" t="str">
        <f>HYPERLINK("https://www.ejacket.nsf.gov/ej/showProposal.do?ID="&amp;ckAwdTable[[#This Row],[prop_id]],"eJ")</f>
        <v>eJ</v>
      </c>
      <c r="Q4" s="8" t="s">
        <v>478</v>
      </c>
      <c r="R4" t="s">
        <v>630</v>
      </c>
      <c r="S4" t="s">
        <v>631</v>
      </c>
      <c r="T4" t="s">
        <v>1440</v>
      </c>
      <c r="U4" s="8" t="s">
        <v>559</v>
      </c>
      <c r="V4" t="s">
        <v>555</v>
      </c>
      <c r="W4" s="113" t="str">
        <f>HYPERLINK("mailto:"&amp; ckAwdTable[[#This Row],[email]]&amp;"&amp;subject=Your NSF Proposal:  "&amp;ckAwdTable[[#This Row],[prop_id]], ckAwdTable[[#This Row],[email]])</f>
        <v>haitao.wang@usu.edu</v>
      </c>
      <c r="X4" s="30">
        <v>43221</v>
      </c>
      <c r="Y4">
        <v>60</v>
      </c>
      <c r="AA4" s="21" t="s">
        <v>13</v>
      </c>
      <c r="AB4" s="21" t="s">
        <v>382</v>
      </c>
      <c r="AC4"/>
      <c r="AD4" s="21" t="s">
        <v>13</v>
      </c>
      <c r="AE4" s="21" t="s">
        <v>2004</v>
      </c>
      <c r="AF4" s="13">
        <v>524898</v>
      </c>
      <c r="AG4" s="124">
        <v>0</v>
      </c>
      <c r="AH4" s="1">
        <v>524898</v>
      </c>
      <c r="AI4" s="1"/>
      <c r="AJ4" s="1">
        <v>15000</v>
      </c>
      <c r="AM4" s="21">
        <v>10</v>
      </c>
      <c r="AN4" s="21">
        <v>5</v>
      </c>
      <c r="AO4" s="21">
        <v>5</v>
      </c>
      <c r="AP4" s="21"/>
      <c r="AQ4" s="21"/>
      <c r="AR4" s="126" t="s">
        <v>172</v>
      </c>
      <c r="AS4" s="21" t="s">
        <v>493</v>
      </c>
      <c r="AT4" s="21" t="str">
        <f>IFERROR(IF(FIND("?",ckAwdTable[abst_narr_txt]),SummarizeQuestMarks(ckAwdTable[abst_narr_txt]),""),"")</f>
        <v/>
      </c>
      <c r="AU4" s="119"/>
      <c r="AV4" t="s">
        <v>1442</v>
      </c>
      <c r="AW4" t="b">
        <f>AND(ckAwdTable[[#This Row],[ILN]]&gt;"M", SUBSTITUTE(ckAwdTable[[#This Row],[prop_titl_txt]]," ","")&lt;&gt;SUBSTITUTE(AV3," ",""))</f>
        <v>0</v>
      </c>
      <c r="AX4" s="8" t="s">
        <v>1443</v>
      </c>
      <c r="AY4"/>
      <c r="AZ4"/>
      <c r="BA4"/>
      <c r="BB4"/>
      <c r="BC4"/>
      <c r="BD4"/>
      <c r="BL4"/>
      <c r="BP4"/>
    </row>
    <row r="5" spans="1:68" x14ac:dyDescent="0.4">
      <c r="B5" s="30">
        <v>42933.579861111109</v>
      </c>
      <c r="C5" t="s">
        <v>1430</v>
      </c>
      <c r="D5" t="s">
        <v>477</v>
      </c>
      <c r="E5" t="s">
        <v>582</v>
      </c>
      <c r="F5" t="s">
        <v>654</v>
      </c>
      <c r="G5" s="8" t="s">
        <v>171</v>
      </c>
      <c r="H5" s="8" t="s">
        <v>169</v>
      </c>
      <c r="I5" s="8" t="s">
        <v>505</v>
      </c>
      <c r="J5" t="s">
        <v>94</v>
      </c>
      <c r="K5" t="s">
        <v>1431</v>
      </c>
      <c r="L5" s="22">
        <v>43082.662615740737</v>
      </c>
      <c r="M5" s="109">
        <f xml:space="preserve"> M4+(ckAwdTable[ILN]&lt;"M")</f>
        <v>4</v>
      </c>
      <c r="N5" t="s">
        <v>95</v>
      </c>
      <c r="O5" t="s">
        <v>652</v>
      </c>
      <c r="P5" s="15" t="str">
        <f>HYPERLINK("https://www.ejacket.nsf.gov/ej/showProposal.do?ID="&amp;ckAwdTable[[#This Row],[prop_id]],"eJ")</f>
        <v>eJ</v>
      </c>
      <c r="Q5" s="8" t="s">
        <v>478</v>
      </c>
      <c r="R5" t="s">
        <v>652</v>
      </c>
      <c r="S5" t="s">
        <v>653</v>
      </c>
      <c r="T5" t="s">
        <v>1445</v>
      </c>
      <c r="U5" s="8" t="s">
        <v>497</v>
      </c>
      <c r="V5" t="s">
        <v>496</v>
      </c>
      <c r="W5" s="113" t="str">
        <f>HYPERLINK("mailto:"&amp; ckAwdTable[[#This Row],[email]]&amp;"&amp;subject=Your NSF Proposal:  "&amp;ckAwdTable[[#This Row],[prop_id]], ckAwdTable[[#This Row],[email]])</f>
        <v>bmoseley@seas.wustl.edu</v>
      </c>
      <c r="X5" s="30">
        <v>43282</v>
      </c>
      <c r="Y5">
        <v>60</v>
      </c>
      <c r="AA5" s="21" t="s">
        <v>13</v>
      </c>
      <c r="AB5" s="21" t="s">
        <v>382</v>
      </c>
      <c r="AC5"/>
      <c r="AD5" s="21" t="s">
        <v>13</v>
      </c>
      <c r="AF5" s="13">
        <v>545000</v>
      </c>
      <c r="AG5" s="124">
        <v>0</v>
      </c>
      <c r="AH5" s="1">
        <v>545000</v>
      </c>
      <c r="AI5" s="1"/>
      <c r="AJ5" s="1"/>
      <c r="AL5" s="1">
        <v>8000</v>
      </c>
      <c r="AM5" s="21">
        <v>5</v>
      </c>
      <c r="AN5" s="21">
        <v>5</v>
      </c>
      <c r="AO5" s="21">
        <v>6.5</v>
      </c>
      <c r="AP5" s="21"/>
      <c r="AQ5" s="21"/>
      <c r="AR5" s="126" t="s">
        <v>172</v>
      </c>
      <c r="AS5" s="21" t="s">
        <v>493</v>
      </c>
      <c r="AT5" s="21" t="str">
        <f>IFERROR(IF(FIND("?",ckAwdTable[abst_narr_txt]),SummarizeQuestMarks(ckAwdTable[abst_narr_txt]),""),"")</f>
        <v/>
      </c>
      <c r="AU5" s="119"/>
      <c r="AV5" t="s">
        <v>1447</v>
      </c>
      <c r="AW5" t="b">
        <f>AND(ckAwdTable[[#This Row],[ILN]]&gt;"M", SUBSTITUTE(ckAwdTable[[#This Row],[prop_titl_txt]]," ","")&lt;&gt;SUBSTITUTE(AV4," ",""))</f>
        <v>0</v>
      </c>
      <c r="AX5" s="8" t="s">
        <v>1448</v>
      </c>
      <c r="AY5"/>
      <c r="AZ5"/>
      <c r="BA5"/>
      <c r="BB5"/>
      <c r="BC5"/>
      <c r="BD5"/>
      <c r="BL5"/>
      <c r="BP5"/>
    </row>
    <row r="6" spans="1:68" x14ac:dyDescent="0.4">
      <c r="B6" s="30">
        <v>42933.713888888888</v>
      </c>
      <c r="C6" t="s">
        <v>1430</v>
      </c>
      <c r="D6" t="s">
        <v>477</v>
      </c>
      <c r="E6" t="s">
        <v>582</v>
      </c>
      <c r="F6" t="s">
        <v>604</v>
      </c>
      <c r="G6" s="8" t="s">
        <v>171</v>
      </c>
      <c r="H6" s="8" t="s">
        <v>169</v>
      </c>
      <c r="I6" s="8" t="s">
        <v>505</v>
      </c>
      <c r="J6" t="s">
        <v>94</v>
      </c>
      <c r="K6" t="s">
        <v>1431</v>
      </c>
      <c r="L6" s="22"/>
      <c r="M6" s="109">
        <f xml:space="preserve"> M5+(ckAwdTable[ILN]&lt;"M")</f>
        <v>5</v>
      </c>
      <c r="N6" t="s">
        <v>95</v>
      </c>
      <c r="O6" t="s">
        <v>669</v>
      </c>
      <c r="P6" s="15" t="str">
        <f>HYPERLINK("https://www.ejacket.nsf.gov/ej/showProposal.do?ID="&amp;ckAwdTable[[#This Row],[prop_id]],"eJ")</f>
        <v>eJ</v>
      </c>
      <c r="Q6" s="8" t="s">
        <v>478</v>
      </c>
      <c r="R6" t="s">
        <v>669</v>
      </c>
      <c r="S6" t="s">
        <v>670</v>
      </c>
      <c r="T6" t="s">
        <v>1449</v>
      </c>
      <c r="U6" s="8" t="s">
        <v>554</v>
      </c>
      <c r="V6" t="s">
        <v>553</v>
      </c>
      <c r="W6" s="113" t="str">
        <f>HYPERLINK("mailto:"&amp; ckAwdTable[[#This Row],[email]]&amp;"&amp;subject=Your NSF Proposal:  "&amp;ckAwdTable[[#This Row],[prop_id]], ckAwdTable[[#This Row],[email]])</f>
        <v>delpia@wisc.edu</v>
      </c>
      <c r="X6" s="30">
        <v>43344</v>
      </c>
      <c r="Y6">
        <v>60</v>
      </c>
      <c r="AA6" s="21" t="s">
        <v>13</v>
      </c>
      <c r="AB6" s="21" t="s">
        <v>382</v>
      </c>
      <c r="AC6"/>
      <c r="AD6" s="21" t="s">
        <v>13</v>
      </c>
      <c r="AE6" s="21" t="s">
        <v>506</v>
      </c>
      <c r="AF6" s="13">
        <v>500000</v>
      </c>
      <c r="AG6" s="124">
        <v>0</v>
      </c>
      <c r="AH6" s="1">
        <v>500000</v>
      </c>
      <c r="AI6" s="1"/>
      <c r="AJ6" s="1">
        <v>12416</v>
      </c>
      <c r="AM6" s="21">
        <v>5</v>
      </c>
      <c r="AN6" s="21">
        <v>5</v>
      </c>
      <c r="AO6" s="21">
        <v>5</v>
      </c>
      <c r="AP6" s="21"/>
      <c r="AQ6" s="21"/>
      <c r="AR6" s="126" t="s">
        <v>172</v>
      </c>
      <c r="AS6" s="21" t="s">
        <v>493</v>
      </c>
      <c r="AT6" s="21" t="str">
        <f>IFERROR(IF(FIND("?",ckAwdTable[abst_narr_txt]),SummarizeQuestMarks(ckAwdTable[abst_narr_txt]),""),"")</f>
        <v/>
      </c>
      <c r="AU6" s="119"/>
      <c r="AV6" t="s">
        <v>1451</v>
      </c>
      <c r="AW6" t="b">
        <f>AND(ckAwdTable[[#This Row],[ILN]]&gt;"M", SUBSTITUTE(ckAwdTable[[#This Row],[prop_titl_txt]]," ","")&lt;&gt;SUBSTITUTE(AV5," ",""))</f>
        <v>0</v>
      </c>
      <c r="AX6" s="8" t="s">
        <v>1452</v>
      </c>
      <c r="AY6"/>
      <c r="AZ6"/>
      <c r="BA6"/>
      <c r="BB6"/>
      <c r="BC6"/>
      <c r="BD6"/>
      <c r="BL6"/>
      <c r="BP6"/>
    </row>
    <row r="7" spans="1:68" x14ac:dyDescent="0.4">
      <c r="B7" s="30">
        <v>42933.820138888892</v>
      </c>
      <c r="C7" t="s">
        <v>1430</v>
      </c>
      <c r="D7" t="s">
        <v>477</v>
      </c>
      <c r="E7" t="s">
        <v>582</v>
      </c>
      <c r="F7" t="s">
        <v>604</v>
      </c>
      <c r="G7" s="8" t="s">
        <v>171</v>
      </c>
      <c r="H7" s="8" t="s">
        <v>169</v>
      </c>
      <c r="I7" s="8" t="s">
        <v>505</v>
      </c>
      <c r="J7" t="s">
        <v>94</v>
      </c>
      <c r="K7" t="s">
        <v>1431</v>
      </c>
      <c r="L7" s="22"/>
      <c r="M7" s="109">
        <f xml:space="preserve"> M6+(ckAwdTable[ILN]&lt;"M")</f>
        <v>6</v>
      </c>
      <c r="N7" t="s">
        <v>95</v>
      </c>
      <c r="O7" t="s">
        <v>677</v>
      </c>
      <c r="P7" s="15" t="str">
        <f>HYPERLINK("https://www.ejacket.nsf.gov/ej/showProposal.do?ID="&amp;ckAwdTable[[#This Row],[prop_id]],"eJ")</f>
        <v>eJ</v>
      </c>
      <c r="Q7" s="8" t="s">
        <v>478</v>
      </c>
      <c r="R7" t="s">
        <v>677</v>
      </c>
      <c r="S7" t="s">
        <v>678</v>
      </c>
      <c r="T7" t="s">
        <v>1454</v>
      </c>
      <c r="U7" s="8" t="s">
        <v>1455</v>
      </c>
      <c r="V7" t="s">
        <v>1453</v>
      </c>
      <c r="W7" s="113" t="str">
        <f>HYPERLINK("mailto:"&amp; ckAwdTable[[#This Row],[email]]&amp;"&amp;subject=Your NSF Proposal:  "&amp;ckAwdTable[[#This Row],[prop_id]], ckAwdTable[[#This Row],[email]])</f>
        <v>yintat@uw.edu</v>
      </c>
      <c r="X7" s="30">
        <v>43175</v>
      </c>
      <c r="Y7">
        <v>60</v>
      </c>
      <c r="AA7" s="21" t="s">
        <v>13</v>
      </c>
      <c r="AB7" s="21" t="s">
        <v>382</v>
      </c>
      <c r="AC7"/>
      <c r="AD7" s="21" t="s">
        <v>13</v>
      </c>
      <c r="AF7" s="13">
        <v>549841</v>
      </c>
      <c r="AG7" s="124">
        <v>0</v>
      </c>
      <c r="AH7" s="1">
        <v>549841</v>
      </c>
      <c r="AI7" s="1"/>
      <c r="AJ7" s="1"/>
      <c r="AM7" s="21">
        <v>5</v>
      </c>
      <c r="AN7" s="21">
        <v>5</v>
      </c>
      <c r="AO7" s="21">
        <v>2.5</v>
      </c>
      <c r="AP7" s="21"/>
      <c r="AQ7" s="21">
        <v>2.5</v>
      </c>
      <c r="AR7" s="126" t="s">
        <v>172</v>
      </c>
      <c r="AS7" s="21" t="s">
        <v>493</v>
      </c>
      <c r="AT7" s="21" t="str">
        <f>IFERROR(IF(FIND("?",ckAwdTable[abst_narr_txt]),SummarizeQuestMarks(ckAwdTable[abst_narr_txt]),""),"")</f>
        <v/>
      </c>
      <c r="AU7" s="119"/>
      <c r="AV7" t="s">
        <v>1457</v>
      </c>
      <c r="AW7" t="b">
        <f>AND(ckAwdTable[[#This Row],[ILN]]&gt;"M", SUBSTITUTE(ckAwdTable[[#This Row],[prop_titl_txt]]," ","")&lt;&gt;SUBSTITUTE(AV6," ",""))</f>
        <v>0</v>
      </c>
      <c r="AX7" s="8" t="s">
        <v>1458</v>
      </c>
    </row>
    <row r="8" spans="1:68" x14ac:dyDescent="0.4">
      <c r="B8" s="30">
        <v>42934.453472222223</v>
      </c>
      <c r="C8" t="s">
        <v>1430</v>
      </c>
      <c r="D8" t="s">
        <v>477</v>
      </c>
      <c r="E8" t="s">
        <v>582</v>
      </c>
      <c r="F8" t="s">
        <v>654</v>
      </c>
      <c r="G8" s="8" t="s">
        <v>171</v>
      </c>
      <c r="H8" s="8" t="s">
        <v>169</v>
      </c>
      <c r="I8" s="8" t="s">
        <v>505</v>
      </c>
      <c r="J8" t="s">
        <v>94</v>
      </c>
      <c r="K8" t="s">
        <v>1431</v>
      </c>
      <c r="L8" s="22"/>
      <c r="M8" s="109">
        <f xml:space="preserve"> M7+(ckAwdTable[ILN]&lt;"M")</f>
        <v>7</v>
      </c>
      <c r="N8" t="s">
        <v>95</v>
      </c>
      <c r="O8" t="s">
        <v>685</v>
      </c>
      <c r="P8" s="15" t="str">
        <f>HYPERLINK("https://www.ejacket.nsf.gov/ej/showProposal.do?ID="&amp;ckAwdTable[[#This Row],[prop_id]],"eJ")</f>
        <v>eJ</v>
      </c>
      <c r="Q8" s="8" t="s">
        <v>478</v>
      </c>
      <c r="R8" t="s">
        <v>685</v>
      </c>
      <c r="S8" t="s">
        <v>686</v>
      </c>
      <c r="T8" t="s">
        <v>1459</v>
      </c>
      <c r="U8" s="8" t="s">
        <v>1460</v>
      </c>
      <c r="V8" t="s">
        <v>230</v>
      </c>
      <c r="W8" s="113" t="str">
        <f>HYPERLINK("mailto:"&amp; ckAwdTable[[#This Row],[email]]&amp;"&amp;subject=Your NSF Proposal:  "&amp;ckAwdTable[[#This Row],[prop_id]], ckAwdTable[[#This Row],[email]])</f>
        <v>sim3@ucmerced.edu</v>
      </c>
      <c r="X8" s="30">
        <v>43282</v>
      </c>
      <c r="Y8">
        <v>60</v>
      </c>
      <c r="AA8" s="21" t="s">
        <v>13</v>
      </c>
      <c r="AB8" s="21" t="s">
        <v>382</v>
      </c>
      <c r="AC8"/>
      <c r="AD8" s="21" t="s">
        <v>13</v>
      </c>
      <c r="AF8" s="13">
        <v>514477</v>
      </c>
      <c r="AG8" s="124">
        <v>0</v>
      </c>
      <c r="AH8" s="1">
        <v>514477</v>
      </c>
      <c r="AI8" s="1"/>
      <c r="AJ8" s="1"/>
      <c r="AM8" s="21">
        <v>10</v>
      </c>
      <c r="AN8" s="21">
        <v>4</v>
      </c>
      <c r="AO8" s="21">
        <v>7</v>
      </c>
      <c r="AP8" s="21"/>
      <c r="AQ8" s="21"/>
      <c r="AR8" s="126" t="s">
        <v>172</v>
      </c>
      <c r="AS8" s="21" t="s">
        <v>493</v>
      </c>
      <c r="AT8" s="21" t="str">
        <f>IFERROR(IF(FIND("?",ckAwdTable[abst_narr_txt]),SummarizeQuestMarks(ckAwdTable[abst_narr_txt]),""),"")</f>
        <v/>
      </c>
      <c r="AU8" s="119"/>
      <c r="AV8" t="s">
        <v>1462</v>
      </c>
      <c r="AW8" t="b">
        <f>AND(ckAwdTable[[#This Row],[ILN]]&gt;"M", SUBSTITUTE(ckAwdTable[[#This Row],[prop_titl_txt]]," ","")&lt;&gt;SUBSTITUTE(AV7," ",""))</f>
        <v>0</v>
      </c>
      <c r="AX8" s="8" t="s">
        <v>1463</v>
      </c>
    </row>
    <row r="9" spans="1:68" x14ac:dyDescent="0.4">
      <c r="B9" s="30">
        <v>42934.507638888892</v>
      </c>
      <c r="C9" t="s">
        <v>1430</v>
      </c>
      <c r="D9" t="s">
        <v>477</v>
      </c>
      <c r="E9" t="s">
        <v>582</v>
      </c>
      <c r="F9" t="s">
        <v>654</v>
      </c>
      <c r="G9" s="8" t="s">
        <v>171</v>
      </c>
      <c r="H9" s="8" t="s">
        <v>169</v>
      </c>
      <c r="I9" s="8" t="s">
        <v>505</v>
      </c>
      <c r="J9" t="s">
        <v>94</v>
      </c>
      <c r="K9" t="s">
        <v>1431</v>
      </c>
      <c r="L9" s="22"/>
      <c r="M9" s="109">
        <f xml:space="preserve"> M8+(ckAwdTable[ILN]&lt;"M")</f>
        <v>8</v>
      </c>
      <c r="N9" t="s">
        <v>95</v>
      </c>
      <c r="O9" t="s">
        <v>702</v>
      </c>
      <c r="P9" s="15" t="str">
        <f>HYPERLINK("https://www.ejacket.nsf.gov/ej/showProposal.do?ID="&amp;ckAwdTable[[#This Row],[prop_id]],"eJ")</f>
        <v>eJ</v>
      </c>
      <c r="Q9" s="8" t="s">
        <v>478</v>
      </c>
      <c r="R9" t="s">
        <v>702</v>
      </c>
      <c r="S9" t="s">
        <v>703</v>
      </c>
      <c r="T9" t="s">
        <v>1464</v>
      </c>
      <c r="U9" s="8" t="s">
        <v>1465</v>
      </c>
      <c r="V9" t="s">
        <v>230</v>
      </c>
      <c r="W9" s="113" t="str">
        <f>HYPERLINK("mailto:"&amp; ckAwdTable[[#This Row],[email]]&amp;"&amp;subject=Your NSF Proposal:  "&amp;ckAwdTable[[#This Row],[prop_id]], ckAwdTable[[#This Row],[email]])</f>
        <v>sidford@stanford.edu</v>
      </c>
      <c r="X9" s="30">
        <v>43009</v>
      </c>
      <c r="Y9">
        <v>60</v>
      </c>
      <c r="AA9" s="21" t="s">
        <v>13</v>
      </c>
      <c r="AB9" s="21" t="s">
        <v>382</v>
      </c>
      <c r="AC9"/>
      <c r="AD9" s="21" t="s">
        <v>13</v>
      </c>
      <c r="AF9" s="13">
        <v>500000</v>
      </c>
      <c r="AG9" s="124">
        <v>0</v>
      </c>
      <c r="AH9" s="1">
        <v>500000</v>
      </c>
      <c r="AI9" s="1"/>
      <c r="AJ9" s="1"/>
      <c r="AL9" s="1">
        <v>7500</v>
      </c>
      <c r="AM9" s="21">
        <v>5</v>
      </c>
      <c r="AN9" s="21">
        <v>5</v>
      </c>
      <c r="AO9" s="21">
        <v>6.75</v>
      </c>
      <c r="AP9" s="21"/>
      <c r="AQ9" s="21"/>
      <c r="AR9" s="126" t="s">
        <v>172</v>
      </c>
      <c r="AS9" s="21" t="s">
        <v>493</v>
      </c>
      <c r="AT9" s="21" t="str">
        <f>IFERROR(IF(FIND("?",ckAwdTable[abst_narr_txt]),SummarizeQuestMarks(ckAwdTable[abst_narr_txt]),""),"")</f>
        <v/>
      </c>
      <c r="AU9" s="119"/>
      <c r="AV9" t="s">
        <v>1467</v>
      </c>
      <c r="AW9" t="b">
        <f>AND(ckAwdTable[[#This Row],[ILN]]&gt;"M", SUBSTITUTE(ckAwdTable[[#This Row],[prop_titl_txt]]," ","")&lt;&gt;SUBSTITUTE(AV8," ",""))</f>
        <v>0</v>
      </c>
      <c r="AX9" s="8" t="s">
        <v>1468</v>
      </c>
    </row>
    <row r="10" spans="1:68" x14ac:dyDescent="0.4">
      <c r="B10" s="30">
        <v>42934.524305555555</v>
      </c>
      <c r="C10" t="s">
        <v>1430</v>
      </c>
      <c r="D10" t="s">
        <v>477</v>
      </c>
      <c r="E10" t="s">
        <v>582</v>
      </c>
      <c r="F10" t="s">
        <v>611</v>
      </c>
      <c r="G10" s="8" t="s">
        <v>171</v>
      </c>
      <c r="H10" s="8" t="s">
        <v>169</v>
      </c>
      <c r="I10" s="8" t="s">
        <v>505</v>
      </c>
      <c r="J10" t="s">
        <v>94</v>
      </c>
      <c r="K10" t="s">
        <v>1431</v>
      </c>
      <c r="L10" s="22"/>
      <c r="M10" s="109">
        <f xml:space="preserve"> M9+(ckAwdTable[ILN]&lt;"M")</f>
        <v>9</v>
      </c>
      <c r="N10" t="s">
        <v>95</v>
      </c>
      <c r="O10" t="s">
        <v>712</v>
      </c>
      <c r="P10" s="15" t="str">
        <f>HYPERLINK("https://www.ejacket.nsf.gov/ej/showProposal.do?ID="&amp;ckAwdTable[[#This Row],[prop_id]],"eJ")</f>
        <v>eJ</v>
      </c>
      <c r="Q10" s="8" t="s">
        <v>478</v>
      </c>
      <c r="R10" t="s">
        <v>712</v>
      </c>
      <c r="S10" t="s">
        <v>713</v>
      </c>
      <c r="T10" t="s">
        <v>1471</v>
      </c>
      <c r="U10" s="8" t="s">
        <v>1472</v>
      </c>
      <c r="V10" t="s">
        <v>1470</v>
      </c>
      <c r="W10" s="113" t="str">
        <f>HYPERLINK("mailto:"&amp; ckAwdTable[[#This Row],[email]]&amp;"&amp;subject=Your NSF Proposal:  "&amp;ckAwdTable[[#This Row],[prop_id]], ckAwdTable[[#This Row],[email]])</f>
        <v>omri@cs.columbia.edu</v>
      </c>
      <c r="X10" s="30">
        <v>42979</v>
      </c>
      <c r="Y10">
        <v>60</v>
      </c>
      <c r="AA10" s="21" t="s">
        <v>13</v>
      </c>
      <c r="AB10" s="21" t="s">
        <v>382</v>
      </c>
      <c r="AC10"/>
      <c r="AD10" s="21" t="s">
        <v>13</v>
      </c>
      <c r="AF10" s="13">
        <v>400000</v>
      </c>
      <c r="AG10" s="124">
        <v>0</v>
      </c>
      <c r="AH10" s="1">
        <v>400000</v>
      </c>
      <c r="AI10" s="1"/>
      <c r="AJ10" s="1"/>
      <c r="AM10" s="21">
        <v>3</v>
      </c>
      <c r="AN10" s="21">
        <v>5</v>
      </c>
      <c r="AO10" s="21">
        <v>1</v>
      </c>
      <c r="AP10" s="21"/>
      <c r="AQ10" s="21">
        <v>3.5</v>
      </c>
      <c r="AR10" s="126" t="s">
        <v>172</v>
      </c>
      <c r="AS10" s="21" t="s">
        <v>493</v>
      </c>
      <c r="AT10" s="21" t="str">
        <f>IFERROR(IF(FIND("?",ckAwdTable[abst_narr_txt]),SummarizeQuestMarks(ckAwdTable[abst_narr_txt]),""),"")</f>
        <v/>
      </c>
      <c r="AU10" s="119"/>
      <c r="AV10" t="s">
        <v>1474</v>
      </c>
      <c r="AW10" t="b">
        <f>AND(ckAwdTable[[#This Row],[ILN]]&gt;"M", SUBSTITUTE(ckAwdTable[[#This Row],[prop_titl_txt]]," ","")&lt;&gt;SUBSTITUTE(AV9," ",""))</f>
        <v>0</v>
      </c>
      <c r="AX10" s="8" t="s">
        <v>1475</v>
      </c>
    </row>
    <row r="11" spans="1:68" x14ac:dyDescent="0.4">
      <c r="B11" s="30">
        <v>42934.524305555555</v>
      </c>
      <c r="C11" t="s">
        <v>1430</v>
      </c>
      <c r="D11" t="s">
        <v>477</v>
      </c>
      <c r="E11" t="s">
        <v>582</v>
      </c>
      <c r="F11" t="s">
        <v>611</v>
      </c>
      <c r="G11" s="8" t="s">
        <v>171</v>
      </c>
      <c r="H11" s="8" t="s">
        <v>169</v>
      </c>
      <c r="I11" s="8" t="s">
        <v>505</v>
      </c>
      <c r="J11" t="s">
        <v>94</v>
      </c>
      <c r="K11" t="s">
        <v>1431</v>
      </c>
      <c r="L11" s="22"/>
      <c r="M11" s="109">
        <f xml:space="preserve"> M10+(ckAwdTable[ILN]&lt;"M")</f>
        <v>10</v>
      </c>
      <c r="N11" t="s">
        <v>95</v>
      </c>
      <c r="O11" t="s">
        <v>733</v>
      </c>
      <c r="P11" s="15" t="str">
        <f>HYPERLINK("https://www.ejacket.nsf.gov/ej/showProposal.do?ID="&amp;ckAwdTable[[#This Row],[prop_id]],"eJ")</f>
        <v>eJ</v>
      </c>
      <c r="Q11" s="8" t="s">
        <v>478</v>
      </c>
      <c r="R11" t="s">
        <v>733</v>
      </c>
      <c r="S11" t="s">
        <v>734</v>
      </c>
      <c r="T11" t="s">
        <v>1476</v>
      </c>
      <c r="U11" s="8" t="s">
        <v>1477</v>
      </c>
      <c r="V11" t="s">
        <v>306</v>
      </c>
      <c r="W11" s="113" t="str">
        <f>HYPERLINK("mailto:"&amp; ckAwdTable[[#This Row],[email]]&amp;"&amp;subject=Your NSF Proposal:  "&amp;ckAwdTable[[#This Row],[prop_id]], ckAwdTable[[#This Row],[email]])</f>
        <v>karthe@illinois.edu</v>
      </c>
      <c r="X11" s="30">
        <v>43115</v>
      </c>
      <c r="Y11">
        <v>60</v>
      </c>
      <c r="AA11" s="21" t="s">
        <v>13</v>
      </c>
      <c r="AB11" s="21" t="s">
        <v>382</v>
      </c>
      <c r="AC11"/>
      <c r="AD11" s="21" t="s">
        <v>13</v>
      </c>
      <c r="AE11" s="21" t="s">
        <v>506</v>
      </c>
      <c r="AF11" s="13">
        <v>446040</v>
      </c>
      <c r="AG11" s="124">
        <v>0</v>
      </c>
      <c r="AH11" s="1">
        <v>446040</v>
      </c>
      <c r="AI11" s="1"/>
      <c r="AJ11" s="1">
        <v>20000</v>
      </c>
      <c r="AM11" s="21">
        <v>5</v>
      </c>
      <c r="AN11" s="21">
        <v>5</v>
      </c>
      <c r="AO11" s="21">
        <v>5</v>
      </c>
      <c r="AP11" s="21"/>
      <c r="AQ11" s="21"/>
      <c r="AR11" s="126" t="s">
        <v>172</v>
      </c>
      <c r="AS11" s="21" t="s">
        <v>493</v>
      </c>
      <c r="AT11" s="21" t="str">
        <f>IFERROR(IF(FIND("?",ckAwdTable[abst_narr_txt]),SummarizeQuestMarks(ckAwdTable[abst_narr_txt]),""),"")</f>
        <v/>
      </c>
      <c r="AU11" s="119"/>
      <c r="AV11" t="s">
        <v>1479</v>
      </c>
      <c r="AW11" t="b">
        <f>AND(ckAwdTable[[#This Row],[ILN]]&gt;"M", SUBSTITUTE(ckAwdTable[[#This Row],[prop_titl_txt]]," ","")&lt;&gt;SUBSTITUTE(AV10," ",""))</f>
        <v>0</v>
      </c>
      <c r="AX11" s="8" t="s">
        <v>1480</v>
      </c>
    </row>
    <row r="12" spans="1:68" x14ac:dyDescent="0.4">
      <c r="B12" s="30">
        <v>42934.625694444447</v>
      </c>
      <c r="C12" t="s">
        <v>1430</v>
      </c>
      <c r="D12" t="s">
        <v>477</v>
      </c>
      <c r="E12" t="s">
        <v>582</v>
      </c>
      <c r="F12" t="s">
        <v>604</v>
      </c>
      <c r="G12" s="8" t="s">
        <v>171</v>
      </c>
      <c r="H12" s="8" t="s">
        <v>169</v>
      </c>
      <c r="I12" s="8" t="s">
        <v>505</v>
      </c>
      <c r="J12" t="s">
        <v>94</v>
      </c>
      <c r="K12" t="s">
        <v>1431</v>
      </c>
      <c r="L12" s="22"/>
      <c r="M12" s="109">
        <f xml:space="preserve"> M11+(ckAwdTable[ILN]&lt;"M")</f>
        <v>11</v>
      </c>
      <c r="N12" t="s">
        <v>95</v>
      </c>
      <c r="O12" t="s">
        <v>742</v>
      </c>
      <c r="P12" s="15" t="str">
        <f>HYPERLINK("https://www.ejacket.nsf.gov/ej/showProposal.do?ID="&amp;ckAwdTable[[#This Row],[prop_id]],"eJ")</f>
        <v>eJ</v>
      </c>
      <c r="Q12" s="8" t="s">
        <v>478</v>
      </c>
      <c r="R12" t="s">
        <v>742</v>
      </c>
      <c r="S12" t="s">
        <v>743</v>
      </c>
      <c r="T12" t="s">
        <v>1481</v>
      </c>
      <c r="U12" s="8" t="s">
        <v>1482</v>
      </c>
      <c r="V12" t="s">
        <v>1470</v>
      </c>
      <c r="W12" s="113" t="str">
        <f>HYPERLINK("mailto:"&amp; ckAwdTable[[#This Row],[email]]&amp;"&amp;subject=Your NSF Proposal:  "&amp;ckAwdTable[[#This Row],[prop_id]], ckAwdTable[[#This Row],[email]])</f>
        <v>francesco@cs.stonybrook.edu</v>
      </c>
      <c r="X12" s="30">
        <v>43101</v>
      </c>
      <c r="Y12">
        <v>60</v>
      </c>
      <c r="AA12" s="21" t="s">
        <v>13</v>
      </c>
      <c r="AB12" s="21" t="s">
        <v>382</v>
      </c>
      <c r="AC12"/>
      <c r="AD12" s="21" t="s">
        <v>13</v>
      </c>
      <c r="AE12" s="21" t="s">
        <v>506</v>
      </c>
      <c r="AF12" s="13">
        <v>516750</v>
      </c>
      <c r="AG12" s="124">
        <v>0</v>
      </c>
      <c r="AH12" s="1">
        <v>516750</v>
      </c>
      <c r="AI12" s="1"/>
      <c r="AJ12" s="1">
        <v>10000</v>
      </c>
      <c r="AM12" s="21">
        <v>9</v>
      </c>
      <c r="AN12" s="21">
        <v>5</v>
      </c>
      <c r="AO12" s="21">
        <v>5</v>
      </c>
      <c r="AP12" s="21"/>
      <c r="AQ12" s="21"/>
      <c r="AR12" s="126" t="s">
        <v>172</v>
      </c>
      <c r="AS12" s="21" t="s">
        <v>493</v>
      </c>
      <c r="AT12" s="21" t="str">
        <f>IFERROR(IF(FIND("?",ckAwdTable[abst_narr_txt]),SummarizeQuestMarks(ckAwdTable[abst_narr_txt]),""),"")</f>
        <v/>
      </c>
      <c r="AU12" s="119"/>
      <c r="AV12" t="s">
        <v>1484</v>
      </c>
      <c r="AW12" t="b">
        <f>AND(ckAwdTable[[#This Row],[ILN]]&gt;"M", SUBSTITUTE(ckAwdTable[[#This Row],[prop_titl_txt]]," ","")&lt;&gt;SUBSTITUTE(AV11," ",""))</f>
        <v>0</v>
      </c>
      <c r="AX12" s="8" t="s">
        <v>1485</v>
      </c>
    </row>
    <row r="13" spans="1:68" x14ac:dyDescent="0.4">
      <c r="B13" s="30">
        <v>42934.695138888892</v>
      </c>
      <c r="C13" t="s">
        <v>1430</v>
      </c>
      <c r="D13" t="s">
        <v>477</v>
      </c>
      <c r="E13" t="s">
        <v>582</v>
      </c>
      <c r="F13" t="s">
        <v>604</v>
      </c>
      <c r="G13" s="8" t="s">
        <v>171</v>
      </c>
      <c r="H13" s="8" t="s">
        <v>169</v>
      </c>
      <c r="I13" s="8" t="s">
        <v>505</v>
      </c>
      <c r="J13" t="s">
        <v>94</v>
      </c>
      <c r="K13" t="s">
        <v>1431</v>
      </c>
      <c r="L13" s="22">
        <v>43082.662685185183</v>
      </c>
      <c r="M13" s="109">
        <f xml:space="preserve"> M12+(ckAwdTable[ILN]&lt;"M")</f>
        <v>12</v>
      </c>
      <c r="N13" t="s">
        <v>95</v>
      </c>
      <c r="O13" t="s">
        <v>762</v>
      </c>
      <c r="P13" s="15" t="str">
        <f>HYPERLINK("https://www.ejacket.nsf.gov/ej/showProposal.do?ID="&amp;ckAwdTable[[#This Row],[prop_id]],"eJ")</f>
        <v>eJ</v>
      </c>
      <c r="Q13" s="8" t="s">
        <v>478</v>
      </c>
      <c r="R13" t="s">
        <v>762</v>
      </c>
      <c r="S13" t="s">
        <v>763</v>
      </c>
      <c r="T13" t="s">
        <v>1486</v>
      </c>
      <c r="U13" s="8" t="s">
        <v>1487</v>
      </c>
      <c r="V13" t="s">
        <v>231</v>
      </c>
      <c r="W13" s="113" t="str">
        <f>HYPERLINK("mailto:"&amp; ckAwdTable[[#This Row],[email]]&amp;"&amp;subject=Your NSF Proposal:  "&amp;ckAwdTable[[#This Row],[prop_id]], ckAwdTable[[#This Row],[email]])</f>
        <v>jsolomon@mit.edu</v>
      </c>
      <c r="X13" s="30">
        <v>43101</v>
      </c>
      <c r="Y13">
        <v>60</v>
      </c>
      <c r="AA13" s="21" t="s">
        <v>13</v>
      </c>
      <c r="AB13" s="21" t="s">
        <v>382</v>
      </c>
      <c r="AC13"/>
      <c r="AD13" s="21" t="s">
        <v>13</v>
      </c>
      <c r="AF13" s="13">
        <v>550000</v>
      </c>
      <c r="AG13" s="124">
        <v>0</v>
      </c>
      <c r="AH13" s="1">
        <v>550000</v>
      </c>
      <c r="AI13" s="1"/>
      <c r="AJ13" s="1"/>
      <c r="AM13" s="21">
        <v>5</v>
      </c>
      <c r="AN13" s="21">
        <v>5</v>
      </c>
      <c r="AO13" s="21">
        <v>2.5</v>
      </c>
      <c r="AP13" s="21"/>
      <c r="AQ13" s="21"/>
      <c r="AR13" s="126" t="s">
        <v>172</v>
      </c>
      <c r="AS13" s="21" t="s">
        <v>493</v>
      </c>
      <c r="AT13" s="21" t="str">
        <f>IFERROR(IF(FIND("?",ckAwdTable[abst_narr_txt]),SummarizeQuestMarks(ckAwdTable[abst_narr_txt]),""),"")</f>
        <v/>
      </c>
      <c r="AU13" s="119"/>
      <c r="AV13" t="s">
        <v>1489</v>
      </c>
      <c r="AW13" t="b">
        <f>AND(ckAwdTable[[#This Row],[ILN]]&gt;"M", SUBSTITUTE(ckAwdTable[[#This Row],[prop_titl_txt]]," ","")&lt;&gt;SUBSTITUTE(AV12," ",""))</f>
        <v>0</v>
      </c>
      <c r="AX13" s="8" t="s">
        <v>1490</v>
      </c>
    </row>
    <row r="14" spans="1:68" x14ac:dyDescent="0.4">
      <c r="B14" s="30">
        <v>42934.734722222223</v>
      </c>
      <c r="C14" t="s">
        <v>1430</v>
      </c>
      <c r="D14" t="s">
        <v>477</v>
      </c>
      <c r="E14" t="s">
        <v>582</v>
      </c>
      <c r="F14" t="s">
        <v>611</v>
      </c>
      <c r="G14" s="8" t="s">
        <v>171</v>
      </c>
      <c r="H14" s="8" t="s">
        <v>169</v>
      </c>
      <c r="I14" s="8" t="s">
        <v>505</v>
      </c>
      <c r="J14" t="s">
        <v>94</v>
      </c>
      <c r="K14" t="s">
        <v>1431</v>
      </c>
      <c r="L14" s="22"/>
      <c r="M14" s="109">
        <f xml:space="preserve"> M13+(ckAwdTable[ILN]&lt;"M")</f>
        <v>13</v>
      </c>
      <c r="N14" t="s">
        <v>95</v>
      </c>
      <c r="O14" t="s">
        <v>771</v>
      </c>
      <c r="P14" s="15" t="str">
        <f>HYPERLINK("https://www.ejacket.nsf.gov/ej/showProposal.do?ID="&amp;ckAwdTable[[#This Row],[prop_id]],"eJ")</f>
        <v>eJ</v>
      </c>
      <c r="Q14" s="8" t="s">
        <v>478</v>
      </c>
      <c r="R14" t="s">
        <v>771</v>
      </c>
      <c r="S14" t="s">
        <v>772</v>
      </c>
      <c r="T14" t="s">
        <v>1486</v>
      </c>
      <c r="U14" s="8" t="s">
        <v>1492</v>
      </c>
      <c r="V14" t="s">
        <v>1491</v>
      </c>
      <c r="W14" s="113" t="str">
        <f>HYPERLINK("mailto:"&amp; ckAwdTable[[#This Row],[email]]&amp;"&amp;subject=Your NSF Proposal:  "&amp;ckAwdTable[[#This Row],[prop_id]], ckAwdTable[[#This Row],[email]])</f>
        <v>jt1157@georgetown.edu</v>
      </c>
      <c r="X14" s="30">
        <v>43252</v>
      </c>
      <c r="Y14">
        <v>60</v>
      </c>
      <c r="AA14" s="21" t="s">
        <v>13</v>
      </c>
      <c r="AB14" s="21" t="s">
        <v>382</v>
      </c>
      <c r="AC14"/>
      <c r="AD14" s="21" t="s">
        <v>13</v>
      </c>
      <c r="AE14" s="21" t="s">
        <v>506</v>
      </c>
      <c r="AF14" s="13">
        <v>525636</v>
      </c>
      <c r="AG14" s="124">
        <v>0</v>
      </c>
      <c r="AH14" s="1">
        <v>525636</v>
      </c>
      <c r="AI14" s="1"/>
      <c r="AJ14" s="1">
        <v>12500</v>
      </c>
      <c r="AM14" s="21">
        <v>4</v>
      </c>
      <c r="AN14" s="21">
        <v>5</v>
      </c>
      <c r="AO14" s="21">
        <v>7</v>
      </c>
      <c r="AP14" s="21"/>
      <c r="AQ14" s="21"/>
      <c r="AR14" s="126" t="s">
        <v>172</v>
      </c>
      <c r="AS14" s="21" t="s">
        <v>493</v>
      </c>
      <c r="AT14" s="21" t="str">
        <f>IFERROR(IF(FIND("?",ckAwdTable[abst_narr_txt]),SummarizeQuestMarks(ckAwdTable[abst_narr_txt]),""),"")</f>
        <v/>
      </c>
      <c r="AU14" s="119"/>
      <c r="AV14" t="s">
        <v>1494</v>
      </c>
      <c r="AW14" t="b">
        <f>AND(ckAwdTable[[#This Row],[ILN]]&gt;"M", SUBSTITUTE(ckAwdTable[[#This Row],[prop_titl_txt]]," ","")&lt;&gt;SUBSTITUTE(AV13," ",""))</f>
        <v>0</v>
      </c>
      <c r="AX14" s="8" t="s">
        <v>1495</v>
      </c>
    </row>
    <row r="15" spans="1:68" x14ac:dyDescent="0.4">
      <c r="B15" s="30">
        <v>42934.737500000003</v>
      </c>
      <c r="C15" t="s">
        <v>1430</v>
      </c>
      <c r="D15" t="s">
        <v>477</v>
      </c>
      <c r="E15" t="s">
        <v>582</v>
      </c>
      <c r="F15" t="s">
        <v>611</v>
      </c>
      <c r="G15" s="8" t="s">
        <v>171</v>
      </c>
      <c r="H15" s="8" t="s">
        <v>169</v>
      </c>
      <c r="I15" s="8" t="s">
        <v>505</v>
      </c>
      <c r="J15" t="s">
        <v>94</v>
      </c>
      <c r="K15" t="s">
        <v>1431</v>
      </c>
      <c r="L15" s="22">
        <v>43082.668715277781</v>
      </c>
      <c r="M15" s="109">
        <f xml:space="preserve"> M14+(ckAwdTable[ILN]&lt;"M")</f>
        <v>14</v>
      </c>
      <c r="N15" t="s">
        <v>95</v>
      </c>
      <c r="O15" t="s">
        <v>782</v>
      </c>
      <c r="P15" s="15" t="str">
        <f>HYPERLINK("https://www.ejacket.nsf.gov/ej/showProposal.do?ID="&amp;ckAwdTable[[#This Row],[prop_id]],"eJ")</f>
        <v>eJ</v>
      </c>
      <c r="Q15" s="8" t="s">
        <v>478</v>
      </c>
      <c r="R15" t="s">
        <v>782</v>
      </c>
      <c r="S15" t="s">
        <v>783</v>
      </c>
      <c r="T15" t="s">
        <v>1496</v>
      </c>
      <c r="U15" s="8" t="s">
        <v>1477</v>
      </c>
      <c r="V15" t="s">
        <v>306</v>
      </c>
      <c r="W15" s="113" t="str">
        <f>HYPERLINK("mailto:"&amp; ckAwdTable[[#This Row],[email]]&amp;"&amp;subject=Your NSF Proposal:  "&amp;ckAwdTable[[#This Row],[prop_id]], ckAwdTable[[#This Row],[email]])</f>
        <v>solomon2@illinois.edu</v>
      </c>
      <c r="X15" s="30">
        <v>43132</v>
      </c>
      <c r="Y15">
        <v>60</v>
      </c>
      <c r="AA15" s="21" t="s">
        <v>13</v>
      </c>
      <c r="AB15" s="21" t="s">
        <v>382</v>
      </c>
      <c r="AC15"/>
      <c r="AD15" s="21" t="s">
        <v>13</v>
      </c>
      <c r="AE15" s="21" t="s">
        <v>506</v>
      </c>
      <c r="AF15" s="13">
        <v>524117</v>
      </c>
      <c r="AG15" s="124">
        <v>0</v>
      </c>
      <c r="AH15" s="1">
        <v>524117</v>
      </c>
      <c r="AI15" s="1"/>
      <c r="AJ15" s="1">
        <v>11250</v>
      </c>
      <c r="AM15" s="21">
        <v>5</v>
      </c>
      <c r="AN15" s="21">
        <v>5</v>
      </c>
      <c r="AO15" s="21">
        <v>2.5</v>
      </c>
      <c r="AP15" s="21"/>
      <c r="AQ15" s="21"/>
      <c r="AR15" s="126" t="s">
        <v>172</v>
      </c>
      <c r="AS15" s="21" t="s">
        <v>493</v>
      </c>
      <c r="AT15" s="21" t="str">
        <f>IFERROR(IF(FIND("?",ckAwdTable[abst_narr_txt]),SummarizeQuestMarks(ckAwdTable[abst_narr_txt]),""),"")</f>
        <v/>
      </c>
      <c r="AU15" s="119"/>
      <c r="AV15" t="s">
        <v>1498</v>
      </c>
      <c r="AW15" t="b">
        <f>AND(ckAwdTable[[#This Row],[ILN]]&gt;"M", SUBSTITUTE(ckAwdTable[[#This Row],[prop_titl_txt]]," ","")&lt;&gt;SUBSTITUTE(AV14," ",""))</f>
        <v>0</v>
      </c>
      <c r="AX15" s="8" t="s">
        <v>1499</v>
      </c>
    </row>
    <row r="16" spans="1:68" x14ac:dyDescent="0.4">
      <c r="B16" s="30">
        <v>42934.806944444441</v>
      </c>
      <c r="C16" t="s">
        <v>1430</v>
      </c>
      <c r="D16" t="s">
        <v>477</v>
      </c>
      <c r="E16" t="s">
        <v>582</v>
      </c>
      <c r="F16" t="s">
        <v>654</v>
      </c>
      <c r="G16" s="8" t="s">
        <v>171</v>
      </c>
      <c r="H16" s="8" t="s">
        <v>169</v>
      </c>
      <c r="I16" s="8" t="s">
        <v>505</v>
      </c>
      <c r="J16" t="s">
        <v>94</v>
      </c>
      <c r="K16" t="s">
        <v>1431</v>
      </c>
      <c r="L16" s="22">
        <v>43082.669074074074</v>
      </c>
      <c r="M16" s="109">
        <f xml:space="preserve"> M15+(ckAwdTable[ILN]&lt;"M")</f>
        <v>15</v>
      </c>
      <c r="N16" t="s">
        <v>95</v>
      </c>
      <c r="O16" t="s">
        <v>791</v>
      </c>
      <c r="P16" s="15" t="str">
        <f>HYPERLINK("https://www.ejacket.nsf.gov/ej/showProposal.do?ID="&amp;ckAwdTable[[#This Row],[prop_id]],"eJ")</f>
        <v>eJ</v>
      </c>
      <c r="Q16" s="8" t="s">
        <v>478</v>
      </c>
      <c r="R16" t="s">
        <v>791</v>
      </c>
      <c r="S16" t="s">
        <v>792</v>
      </c>
      <c r="T16" t="s">
        <v>1500</v>
      </c>
      <c r="U16" s="8" t="s">
        <v>1501</v>
      </c>
      <c r="V16" t="s">
        <v>230</v>
      </c>
      <c r="W16" s="113" t="str">
        <f>HYPERLINK("mailto:"&amp; ckAwdTable[[#This Row],[email]]&amp;"&amp;subject=Your NSF Proposal:  "&amp;ckAwdTable[[#This Row],[prop_id]], ckAwdTable[[#This Row],[email]])</f>
        <v>razaviya@usc.edu</v>
      </c>
      <c r="X16" s="30">
        <v>43236</v>
      </c>
      <c r="Y16">
        <v>60</v>
      </c>
      <c r="AA16" s="21" t="s">
        <v>13</v>
      </c>
      <c r="AB16" s="21" t="s">
        <v>382</v>
      </c>
      <c r="AC16"/>
      <c r="AD16" s="21" t="s">
        <v>13</v>
      </c>
      <c r="AE16" s="21" t="s">
        <v>506</v>
      </c>
      <c r="AF16" s="13">
        <v>539673</v>
      </c>
      <c r="AG16" s="124">
        <v>0</v>
      </c>
      <c r="AH16" s="1">
        <v>539673</v>
      </c>
      <c r="AI16" s="1"/>
      <c r="AJ16" s="1"/>
      <c r="AL16" s="1">
        <v>13000</v>
      </c>
      <c r="AM16" s="21">
        <v>5</v>
      </c>
      <c r="AN16" s="21">
        <v>5</v>
      </c>
      <c r="AO16" s="21">
        <v>5</v>
      </c>
      <c r="AP16" s="21"/>
      <c r="AQ16" s="21"/>
      <c r="AR16" s="126" t="s">
        <v>172</v>
      </c>
      <c r="AS16" s="21" t="s">
        <v>493</v>
      </c>
      <c r="AT16" s="21" t="str">
        <f>IFERROR(IF(FIND("?",ckAwdTable[abst_narr_txt]),SummarizeQuestMarks(ckAwdTable[abst_narr_txt]),""),"")</f>
        <v/>
      </c>
      <c r="AU16" s="119"/>
      <c r="AV16" t="s">
        <v>1503</v>
      </c>
      <c r="AW16" t="b">
        <f>AND(ckAwdTable[[#This Row],[ILN]]&gt;"M", SUBSTITUTE(ckAwdTable[[#This Row],[prop_titl_txt]]," ","")&lt;&gt;SUBSTITUTE(AV15," ",""))</f>
        <v>0</v>
      </c>
      <c r="AX16" s="8" t="s">
        <v>1504</v>
      </c>
    </row>
    <row r="17" spans="2:50" x14ac:dyDescent="0.4">
      <c r="B17" s="30">
        <v>42934.808333333334</v>
      </c>
      <c r="C17" t="s">
        <v>1430</v>
      </c>
      <c r="D17" t="s">
        <v>477</v>
      </c>
      <c r="E17" t="s">
        <v>582</v>
      </c>
      <c r="F17" t="s">
        <v>604</v>
      </c>
      <c r="G17" s="8" t="s">
        <v>171</v>
      </c>
      <c r="H17" s="8" t="s">
        <v>169</v>
      </c>
      <c r="I17" s="8" t="s">
        <v>505</v>
      </c>
      <c r="J17" t="s">
        <v>94</v>
      </c>
      <c r="K17" t="s">
        <v>1431</v>
      </c>
      <c r="L17" s="22">
        <v>43076.609027777777</v>
      </c>
      <c r="M17" s="109">
        <f xml:space="preserve"> M16+(ckAwdTable[ILN]&lt;"M")</f>
        <v>16</v>
      </c>
      <c r="N17" t="s">
        <v>95</v>
      </c>
      <c r="O17" t="s">
        <v>825</v>
      </c>
      <c r="P17" s="15" t="str">
        <f>HYPERLINK("https://www.ejacket.nsf.gov/ej/showProposal.do?ID="&amp;ckAwdTable[[#This Row],[prop_id]],"eJ")</f>
        <v>eJ</v>
      </c>
      <c r="Q17" s="8" t="s">
        <v>478</v>
      </c>
      <c r="R17" t="s">
        <v>825</v>
      </c>
      <c r="S17" t="s">
        <v>826</v>
      </c>
      <c r="T17" t="s">
        <v>1506</v>
      </c>
      <c r="U17" s="8" t="s">
        <v>1507</v>
      </c>
      <c r="V17" t="s">
        <v>230</v>
      </c>
      <c r="W17" s="113" t="str">
        <f>HYPERLINK("mailto:"&amp; ckAwdTable[[#This Row],[email]]&amp;"&amp;subject=Your NSF Proposal:  "&amp;ckAwdTable[[#This Row],[prop_id]], ckAwdTable[[#This Row],[email]])</f>
        <v>craig@ucr.edu</v>
      </c>
      <c r="X17" s="30">
        <v>43101</v>
      </c>
      <c r="Y17">
        <v>60</v>
      </c>
      <c r="AA17" s="21" t="s">
        <v>13</v>
      </c>
      <c r="AB17" s="21" t="s">
        <v>382</v>
      </c>
      <c r="AC17"/>
      <c r="AD17" s="21" t="s">
        <v>13</v>
      </c>
      <c r="AF17" s="13">
        <v>440331</v>
      </c>
      <c r="AG17" s="124">
        <v>0</v>
      </c>
      <c r="AH17" s="1">
        <v>440331</v>
      </c>
      <c r="AI17" s="1"/>
      <c r="AJ17" s="1"/>
      <c r="AM17" s="21">
        <v>5</v>
      </c>
      <c r="AN17" s="21">
        <v>5</v>
      </c>
      <c r="AO17" s="21">
        <v>5</v>
      </c>
      <c r="AP17" s="21"/>
      <c r="AQ17" s="21"/>
      <c r="AR17" s="126" t="s">
        <v>172</v>
      </c>
      <c r="AS17" s="21" t="s">
        <v>493</v>
      </c>
      <c r="AT17" s="21" t="str">
        <f>IFERROR(IF(FIND("?",ckAwdTable[abst_narr_txt]),SummarizeQuestMarks(ckAwdTable[abst_narr_txt]),""),"")</f>
        <v/>
      </c>
      <c r="AU17" s="119"/>
      <c r="AV17" t="s">
        <v>1509</v>
      </c>
      <c r="AW17" t="b">
        <f>AND(ckAwdTable[[#This Row],[ILN]]&gt;"M", SUBSTITUTE(ckAwdTable[[#This Row],[prop_titl_txt]]," ","")&lt;&gt;SUBSTITUTE(AV16," ",""))</f>
        <v>0</v>
      </c>
      <c r="AX17" s="8" t="s">
        <v>1510</v>
      </c>
    </row>
    <row r="18" spans="2:50" x14ac:dyDescent="0.4">
      <c r="B18" s="30">
        <v>42935.359027777777</v>
      </c>
      <c r="C18" t="s">
        <v>1430</v>
      </c>
      <c r="D18" t="s">
        <v>477</v>
      </c>
      <c r="E18" t="s">
        <v>582</v>
      </c>
      <c r="F18" t="s">
        <v>654</v>
      </c>
      <c r="G18" s="8" t="s">
        <v>171</v>
      </c>
      <c r="H18" s="8" t="s">
        <v>169</v>
      </c>
      <c r="I18" s="8" t="s">
        <v>505</v>
      </c>
      <c r="J18" t="s">
        <v>94</v>
      </c>
      <c r="K18" t="s">
        <v>1431</v>
      </c>
      <c r="L18" s="22">
        <v>43082.668773148151</v>
      </c>
      <c r="M18" s="109">
        <f xml:space="preserve"> M17+(ckAwdTable[ILN]&lt;"M")</f>
        <v>17</v>
      </c>
      <c r="N18" t="s">
        <v>95</v>
      </c>
      <c r="O18" t="s">
        <v>834</v>
      </c>
      <c r="P18" s="15" t="str">
        <f>HYPERLINK("https://www.ejacket.nsf.gov/ej/showProposal.do?ID="&amp;ckAwdTable[[#This Row],[prop_id]],"eJ")</f>
        <v>eJ</v>
      </c>
      <c r="Q18" s="8" t="s">
        <v>478</v>
      </c>
      <c r="R18" t="s">
        <v>834</v>
      </c>
      <c r="S18" t="s">
        <v>835</v>
      </c>
      <c r="T18" t="s">
        <v>1511</v>
      </c>
      <c r="U18" s="8" t="s">
        <v>1512</v>
      </c>
      <c r="V18" t="s">
        <v>1470</v>
      </c>
      <c r="W18" s="113" t="str">
        <f>HYPERLINK("mailto:"&amp; ckAwdTable[[#This Row],[email]]&amp;"&amp;subject=Your NSF Proposal:  "&amp;ckAwdTable[[#This Row],[prop_id]], ckAwdTable[[#This Row],[email]])</f>
        <v>shil@buffalo.edu</v>
      </c>
      <c r="X18" s="30">
        <v>43344</v>
      </c>
      <c r="Y18">
        <v>60</v>
      </c>
      <c r="AA18" s="21" t="s">
        <v>13</v>
      </c>
      <c r="AB18" s="21" t="s">
        <v>382</v>
      </c>
      <c r="AC18"/>
      <c r="AD18" s="21" t="s">
        <v>13</v>
      </c>
      <c r="AE18" s="21" t="s">
        <v>2005</v>
      </c>
      <c r="AF18" s="13">
        <v>530842</v>
      </c>
      <c r="AG18" s="124">
        <v>0</v>
      </c>
      <c r="AH18" s="1">
        <v>530842</v>
      </c>
      <c r="AI18" s="1"/>
      <c r="AJ18" s="1">
        <v>10000</v>
      </c>
      <c r="AM18" s="21">
        <v>5</v>
      </c>
      <c r="AN18" s="21">
        <v>5</v>
      </c>
      <c r="AO18" s="21">
        <v>5</v>
      </c>
      <c r="AP18" s="21"/>
      <c r="AQ18" s="21"/>
      <c r="AR18" s="126" t="s">
        <v>172</v>
      </c>
      <c r="AS18" s="21" t="s">
        <v>493</v>
      </c>
      <c r="AT18" s="21" t="str">
        <f>IFERROR(IF(FIND("?",ckAwdTable[abst_narr_txt]),SummarizeQuestMarks(ckAwdTable[abst_narr_txt]),""),"")</f>
        <v/>
      </c>
      <c r="AU18" s="119"/>
      <c r="AV18" t="s">
        <v>1514</v>
      </c>
      <c r="AW18" t="b">
        <f>AND(ckAwdTable[[#This Row],[ILN]]&gt;"M", SUBSTITUTE(ckAwdTable[[#This Row],[prop_titl_txt]]," ","")&lt;&gt;SUBSTITUTE(AV17," ",""))</f>
        <v>0</v>
      </c>
      <c r="AX18" s="8" t="s">
        <v>1515</v>
      </c>
    </row>
    <row r="19" spans="2:50" x14ac:dyDescent="0.4">
      <c r="B19" s="30">
        <v>42935.374305555553</v>
      </c>
      <c r="C19" t="s">
        <v>1430</v>
      </c>
      <c r="D19" t="s">
        <v>477</v>
      </c>
      <c r="E19" t="s">
        <v>582</v>
      </c>
      <c r="F19" t="s">
        <v>654</v>
      </c>
      <c r="G19" s="8" t="s">
        <v>171</v>
      </c>
      <c r="H19" s="8" t="s">
        <v>169</v>
      </c>
      <c r="I19" s="8" t="s">
        <v>505</v>
      </c>
      <c r="J19" t="s">
        <v>94</v>
      </c>
      <c r="K19" t="s">
        <v>1431</v>
      </c>
      <c r="L19" s="22"/>
      <c r="M19" s="109">
        <f xml:space="preserve"> M18+(ckAwdTable[ILN]&lt;"M")</f>
        <v>18</v>
      </c>
      <c r="N19" t="s">
        <v>95</v>
      </c>
      <c r="O19" t="s">
        <v>843</v>
      </c>
      <c r="P19" s="15" t="str">
        <f>HYPERLINK("https://www.ejacket.nsf.gov/ej/showProposal.do?ID="&amp;ckAwdTable[[#This Row],[prop_id]],"eJ")</f>
        <v>eJ</v>
      </c>
      <c r="Q19" s="8" t="s">
        <v>478</v>
      </c>
      <c r="R19" t="s">
        <v>843</v>
      </c>
      <c r="S19" t="s">
        <v>844</v>
      </c>
      <c r="T19" t="s">
        <v>1516</v>
      </c>
      <c r="U19" s="8" t="s">
        <v>307</v>
      </c>
      <c r="V19" t="s">
        <v>308</v>
      </c>
      <c r="W19" s="113" t="str">
        <f>HYPERLINK("mailto:"&amp; ckAwdTable[[#This Row],[email]]&amp;"&amp;subject=Your NSF Proposal:  "&amp;ckAwdTable[[#This Row],[prop_id]], ckAwdTable[[#This Row],[email]])</f>
        <v>viswa@umich.edu</v>
      </c>
      <c r="X19" s="30">
        <v>43221</v>
      </c>
      <c r="Y19">
        <v>60</v>
      </c>
      <c r="AA19" s="21" t="s">
        <v>13</v>
      </c>
      <c r="AB19" s="21" t="s">
        <v>382</v>
      </c>
      <c r="AC19"/>
      <c r="AD19" s="21" t="s">
        <v>13</v>
      </c>
      <c r="AF19" s="13">
        <v>524840</v>
      </c>
      <c r="AG19" s="124">
        <v>0</v>
      </c>
      <c r="AH19" s="1">
        <v>524840</v>
      </c>
      <c r="AI19" s="1"/>
      <c r="AJ19" s="1"/>
      <c r="AL19" s="1">
        <v>3000</v>
      </c>
      <c r="AM19" s="21">
        <v>5</v>
      </c>
      <c r="AN19" s="21">
        <v>5</v>
      </c>
      <c r="AO19" s="21">
        <v>5</v>
      </c>
      <c r="AP19" s="21"/>
      <c r="AQ19" s="21"/>
      <c r="AR19" s="126" t="s">
        <v>172</v>
      </c>
      <c r="AS19" s="21" t="s">
        <v>493</v>
      </c>
      <c r="AT19" s="21" t="str">
        <f>IFERROR(IF(FIND("?",ckAwdTable[abst_narr_txt]),SummarizeQuestMarks(ckAwdTable[abst_narr_txt]),""),"")</f>
        <v/>
      </c>
      <c r="AU19" s="119"/>
      <c r="AV19" t="s">
        <v>1517</v>
      </c>
      <c r="AW19" t="b">
        <f>AND(ckAwdTable[[#This Row],[ILN]]&gt;"M", SUBSTITUTE(ckAwdTable[[#This Row],[prop_titl_txt]]," ","")&lt;&gt;SUBSTITUTE(AV18," ",""))</f>
        <v>0</v>
      </c>
      <c r="AX19" s="8" t="s">
        <v>1518</v>
      </c>
    </row>
    <row r="20" spans="2:50" x14ac:dyDescent="0.4">
      <c r="B20" s="30">
        <v>42935.387499999997</v>
      </c>
      <c r="C20" t="s">
        <v>1430</v>
      </c>
      <c r="D20" t="s">
        <v>477</v>
      </c>
      <c r="E20" t="s">
        <v>582</v>
      </c>
      <c r="F20" t="s">
        <v>654</v>
      </c>
      <c r="G20" s="8" t="s">
        <v>171</v>
      </c>
      <c r="H20" s="8" t="s">
        <v>169</v>
      </c>
      <c r="I20" s="8" t="s">
        <v>505</v>
      </c>
      <c r="J20" t="s">
        <v>94</v>
      </c>
      <c r="K20" t="s">
        <v>1431</v>
      </c>
      <c r="L20" s="22"/>
      <c r="M20" s="109">
        <f xml:space="preserve"> M19+(ckAwdTable[ILN]&lt;"M")</f>
        <v>19</v>
      </c>
      <c r="N20" t="s">
        <v>95</v>
      </c>
      <c r="O20" t="s">
        <v>851</v>
      </c>
      <c r="P20" s="15" t="str">
        <f>HYPERLINK("https://www.ejacket.nsf.gov/ej/showProposal.do?ID="&amp;ckAwdTable[[#This Row],[prop_id]],"eJ")</f>
        <v>eJ</v>
      </c>
      <c r="Q20" s="8" t="s">
        <v>478</v>
      </c>
      <c r="R20" t="s">
        <v>851</v>
      </c>
      <c r="S20" t="s">
        <v>852</v>
      </c>
      <c r="T20" t="s">
        <v>1519</v>
      </c>
      <c r="U20" s="8" t="s">
        <v>1520</v>
      </c>
      <c r="V20" t="s">
        <v>309</v>
      </c>
      <c r="W20" s="113" t="str">
        <f>HYPERLINK("mailto:"&amp; ckAwdTable[[#This Row],[email]]&amp;"&amp;subject=Your NSF Proposal:  "&amp;ckAwdTable[[#This Row],[prop_id]], ckAwdTable[[#This Row],[email]])</f>
        <v>debmalya.panigrahi@gmail.com</v>
      </c>
      <c r="X20" s="30">
        <v>43160</v>
      </c>
      <c r="Y20">
        <v>60</v>
      </c>
      <c r="AA20" s="21" t="s">
        <v>13</v>
      </c>
      <c r="AB20" s="21" t="s">
        <v>382</v>
      </c>
      <c r="AC20"/>
      <c r="AD20" s="21" t="s">
        <v>13</v>
      </c>
      <c r="AE20" s="21" t="s">
        <v>506</v>
      </c>
      <c r="AF20" s="13">
        <v>602288</v>
      </c>
      <c r="AG20" s="124">
        <v>0</v>
      </c>
      <c r="AH20" s="1">
        <v>602288</v>
      </c>
      <c r="AI20" s="1"/>
      <c r="AJ20" s="1">
        <v>21026</v>
      </c>
      <c r="AL20" s="1">
        <v>16000</v>
      </c>
      <c r="AM20" s="21">
        <v>5</v>
      </c>
      <c r="AN20" s="21">
        <v>5</v>
      </c>
      <c r="AO20" s="21">
        <v>7</v>
      </c>
      <c r="AP20" s="21"/>
      <c r="AQ20" s="21"/>
      <c r="AR20" s="126" t="s">
        <v>172</v>
      </c>
      <c r="AS20" s="21" t="s">
        <v>493</v>
      </c>
      <c r="AT20" s="21" t="str">
        <f>IFERROR(IF(FIND("?",ckAwdTable[abst_narr_txt]),SummarizeQuestMarks(ckAwdTable[abst_narr_txt]),""),"")</f>
        <v/>
      </c>
      <c r="AU20" s="119"/>
      <c r="AV20" t="s">
        <v>1522</v>
      </c>
      <c r="AW20" t="b">
        <f>AND(ckAwdTable[[#This Row],[ILN]]&gt;"M", SUBSTITUTE(ckAwdTable[[#This Row],[prop_titl_txt]]," ","")&lt;&gt;SUBSTITUTE(AV19," ",""))</f>
        <v>0</v>
      </c>
      <c r="AX20" s="8" t="s">
        <v>1523</v>
      </c>
    </row>
    <row r="21" spans="2:50" x14ac:dyDescent="0.4">
      <c r="B21" s="30">
        <v>42935.475694444445</v>
      </c>
      <c r="C21" t="s">
        <v>1430</v>
      </c>
      <c r="D21" t="s">
        <v>477</v>
      </c>
      <c r="E21" t="s">
        <v>582</v>
      </c>
      <c r="F21" t="s">
        <v>654</v>
      </c>
      <c r="G21" s="8" t="s">
        <v>171</v>
      </c>
      <c r="H21" s="8" t="s">
        <v>169</v>
      </c>
      <c r="I21" s="8" t="s">
        <v>505</v>
      </c>
      <c r="J21" t="s">
        <v>94</v>
      </c>
      <c r="K21" t="s">
        <v>1431</v>
      </c>
      <c r="L21" s="22">
        <v>43082.668842592589</v>
      </c>
      <c r="M21" s="109">
        <f xml:space="preserve"> M20+(ckAwdTable[ILN]&lt;"M")</f>
        <v>20</v>
      </c>
      <c r="N21" t="s">
        <v>95</v>
      </c>
      <c r="O21" t="s">
        <v>859</v>
      </c>
      <c r="P21" s="15" t="str">
        <f>HYPERLINK("https://www.ejacket.nsf.gov/ej/showProposal.do?ID="&amp;ckAwdTable[[#This Row],[prop_id]],"eJ")</f>
        <v>eJ</v>
      </c>
      <c r="Q21" s="8" t="s">
        <v>478</v>
      </c>
      <c r="R21" t="s">
        <v>859</v>
      </c>
      <c r="S21" t="s">
        <v>860</v>
      </c>
      <c r="T21" t="s">
        <v>1524</v>
      </c>
      <c r="U21" s="8" t="s">
        <v>1525</v>
      </c>
      <c r="V21" t="s">
        <v>490</v>
      </c>
      <c r="W21" s="113" t="str">
        <f>HYPERLINK("mailto:"&amp; ckAwdTable[[#This Row],[email]]&amp;"&amp;subject=Your NSF Proposal:  "&amp;ckAwdTable[[#This Row],[prop_id]], ckAwdTable[[#This Row],[email]])</f>
        <v>mdinitz@cs.jhu.edu</v>
      </c>
      <c r="X21" s="30">
        <v>43282</v>
      </c>
      <c r="Y21">
        <v>60</v>
      </c>
      <c r="AA21" s="21" t="s">
        <v>13</v>
      </c>
      <c r="AB21" s="21" t="s">
        <v>382</v>
      </c>
      <c r="AC21"/>
      <c r="AD21" s="21" t="s">
        <v>13</v>
      </c>
      <c r="AE21" s="21" t="s">
        <v>506</v>
      </c>
      <c r="AF21" s="13">
        <v>507459</v>
      </c>
      <c r="AG21" s="124">
        <v>0</v>
      </c>
      <c r="AH21" s="1">
        <v>507459</v>
      </c>
      <c r="AI21" s="1"/>
      <c r="AJ21" s="1">
        <v>4200</v>
      </c>
      <c r="AM21" s="21">
        <v>5</v>
      </c>
      <c r="AN21" s="21">
        <v>5</v>
      </c>
      <c r="AO21" s="21"/>
      <c r="AP21" s="21"/>
      <c r="AQ21" s="21">
        <v>5</v>
      </c>
      <c r="AR21" s="126" t="s">
        <v>172</v>
      </c>
      <c r="AS21" s="21" t="s">
        <v>493</v>
      </c>
      <c r="AT21" s="21" t="str">
        <f>IFERROR(IF(FIND("?",ckAwdTable[abst_narr_txt]),SummarizeQuestMarks(ckAwdTable[abst_narr_txt]),""),"")</f>
        <v/>
      </c>
      <c r="AU21" s="119"/>
      <c r="AV21" t="s">
        <v>1526</v>
      </c>
      <c r="AW21" t="b">
        <f>AND(ckAwdTable[[#This Row],[ILN]]&gt;"M", SUBSTITUTE(ckAwdTable[[#This Row],[prop_titl_txt]]," ","")&lt;&gt;SUBSTITUTE(AV20," ",""))</f>
        <v>0</v>
      </c>
      <c r="AX21" s="8" t="s">
        <v>1527</v>
      </c>
    </row>
    <row r="22" spans="2:50" x14ac:dyDescent="0.4">
      <c r="B22" s="30">
        <v>42935.488888888889</v>
      </c>
      <c r="C22" t="s">
        <v>1430</v>
      </c>
      <c r="D22" t="s">
        <v>477</v>
      </c>
      <c r="E22" t="s">
        <v>582</v>
      </c>
      <c r="F22" t="s">
        <v>654</v>
      </c>
      <c r="G22" s="8" t="s">
        <v>171</v>
      </c>
      <c r="H22" s="8" t="s">
        <v>169</v>
      </c>
      <c r="I22" s="8" t="s">
        <v>505</v>
      </c>
      <c r="J22" t="s">
        <v>94</v>
      </c>
      <c r="K22" t="s">
        <v>1431</v>
      </c>
      <c r="L22" s="22"/>
      <c r="M22" s="109">
        <f xml:space="preserve"> M21+(ckAwdTable[ILN]&lt;"M")</f>
        <v>21</v>
      </c>
      <c r="N22" t="s">
        <v>95</v>
      </c>
      <c r="O22" t="s">
        <v>868</v>
      </c>
      <c r="P22" s="15" t="str">
        <f>HYPERLINK("https://www.ejacket.nsf.gov/ej/showProposal.do?ID="&amp;ckAwdTable[[#This Row],[prop_id]],"eJ")</f>
        <v>eJ</v>
      </c>
      <c r="Q22" s="8" t="s">
        <v>478</v>
      </c>
      <c r="R22" t="s">
        <v>868</v>
      </c>
      <c r="S22" t="s">
        <v>869</v>
      </c>
      <c r="T22" t="s">
        <v>1528</v>
      </c>
      <c r="U22" s="8" t="s">
        <v>1529</v>
      </c>
      <c r="V22" t="s">
        <v>231</v>
      </c>
      <c r="W22" s="113" t="str">
        <f>HYPERLINK("mailto:"&amp; ckAwdTable[[#This Row],[email]]&amp;"&amp;subject=Your NSF Proposal:  "&amp;ckAwdTable[[#This Row],[prop_id]], ckAwdTable[[#This Row],[email]])</f>
        <v>aene@bu.edu</v>
      </c>
      <c r="X22" s="30">
        <v>43101</v>
      </c>
      <c r="Y22">
        <v>60</v>
      </c>
      <c r="AA22" s="21" t="s">
        <v>13</v>
      </c>
      <c r="AB22" s="21" t="s">
        <v>382</v>
      </c>
      <c r="AC22"/>
      <c r="AD22" s="21" t="s">
        <v>13</v>
      </c>
      <c r="AE22" s="21" t="s">
        <v>506</v>
      </c>
      <c r="AF22" s="13">
        <v>507423</v>
      </c>
      <c r="AG22" s="124">
        <v>0</v>
      </c>
      <c r="AH22" s="1">
        <v>507423</v>
      </c>
      <c r="AI22" s="1"/>
      <c r="AJ22" s="1">
        <v>15000</v>
      </c>
      <c r="AM22" s="21">
        <v>5</v>
      </c>
      <c r="AN22" s="21">
        <v>5</v>
      </c>
      <c r="AO22" s="21">
        <v>5</v>
      </c>
      <c r="AP22" s="21"/>
      <c r="AQ22" s="21"/>
      <c r="AR22" s="126" t="s">
        <v>172</v>
      </c>
      <c r="AS22" s="21" t="s">
        <v>493</v>
      </c>
      <c r="AT22" s="21" t="str">
        <f>IFERROR(IF(FIND("?",ckAwdTable[abst_narr_txt]),SummarizeQuestMarks(ckAwdTable[abst_narr_txt]),""),"")</f>
        <v/>
      </c>
      <c r="AU22" s="119"/>
      <c r="AV22" t="s">
        <v>1531</v>
      </c>
      <c r="AW22" t="b">
        <f>AND(ckAwdTable[[#This Row],[ILN]]&gt;"M", SUBSTITUTE(ckAwdTable[[#This Row],[prop_titl_txt]]," ","")&lt;&gt;SUBSTITUTE(AV21," ",""))</f>
        <v>0</v>
      </c>
      <c r="AX22" s="8" t="s">
        <v>1532</v>
      </c>
    </row>
    <row r="23" spans="2:50" x14ac:dyDescent="0.4">
      <c r="B23" s="30">
        <v>42935.491666666669</v>
      </c>
      <c r="C23" t="s">
        <v>1430</v>
      </c>
      <c r="D23" t="s">
        <v>477</v>
      </c>
      <c r="E23" t="s">
        <v>582</v>
      </c>
      <c r="F23" t="s">
        <v>654</v>
      </c>
      <c r="G23" s="8" t="s">
        <v>171</v>
      </c>
      <c r="H23" s="8" t="s">
        <v>169</v>
      </c>
      <c r="I23" s="8" t="s">
        <v>505</v>
      </c>
      <c r="J23" t="s">
        <v>94</v>
      </c>
      <c r="K23" t="s">
        <v>1431</v>
      </c>
      <c r="L23" s="22">
        <v>43082.663078703707</v>
      </c>
      <c r="M23" s="109">
        <f xml:space="preserve"> M22+(ckAwdTable[ILN]&lt;"M")</f>
        <v>22</v>
      </c>
      <c r="N23" t="s">
        <v>95</v>
      </c>
      <c r="O23" t="s">
        <v>875</v>
      </c>
      <c r="P23" s="15" t="str">
        <f>HYPERLINK("https://www.ejacket.nsf.gov/ej/showProposal.do?ID="&amp;ckAwdTable[[#This Row],[prop_id]],"eJ")</f>
        <v>eJ</v>
      </c>
      <c r="Q23" s="8" t="s">
        <v>478</v>
      </c>
      <c r="R23" t="s">
        <v>875</v>
      </c>
      <c r="S23" t="s">
        <v>876</v>
      </c>
      <c r="T23" t="s">
        <v>1534</v>
      </c>
      <c r="U23" s="8" t="s">
        <v>1535</v>
      </c>
      <c r="V23" t="s">
        <v>97</v>
      </c>
      <c r="W23" s="113" t="str">
        <f>HYPERLINK("mailto:"&amp; ckAwdTable[[#This Row],[email]]&amp;"&amp;subject=Your NSF Proposal:  "&amp;ckAwdTable[[#This Row],[prop_id]], ckAwdTable[[#This Row],[email]])</f>
        <v>pvaliant@gmail.com</v>
      </c>
      <c r="X23" s="30">
        <v>43252</v>
      </c>
      <c r="Y23">
        <v>60</v>
      </c>
      <c r="AA23" s="21" t="s">
        <v>13</v>
      </c>
      <c r="AB23" s="21" t="s">
        <v>382</v>
      </c>
      <c r="AC23"/>
      <c r="AD23" s="21" t="s">
        <v>13</v>
      </c>
      <c r="AE23" s="21" t="s">
        <v>506</v>
      </c>
      <c r="AF23" s="13">
        <v>666111</v>
      </c>
      <c r="AG23" s="124">
        <v>0</v>
      </c>
      <c r="AH23" s="1">
        <v>666111</v>
      </c>
      <c r="AI23" s="1"/>
      <c r="AJ23" s="1">
        <v>10618</v>
      </c>
      <c r="AM23" s="21">
        <v>5</v>
      </c>
      <c r="AN23" s="21">
        <v>5</v>
      </c>
      <c r="AO23" s="21">
        <v>5</v>
      </c>
      <c r="AP23" s="21"/>
      <c r="AQ23" s="21"/>
      <c r="AR23" s="126" t="s">
        <v>172</v>
      </c>
      <c r="AS23" s="21" t="s">
        <v>493</v>
      </c>
      <c r="AT23" s="21" t="str">
        <f>IFERROR(IF(FIND("?",ckAwdTable[abst_narr_txt]),SummarizeQuestMarks(ckAwdTable[abst_narr_txt]),""),"")</f>
        <v/>
      </c>
      <c r="AU23" s="119"/>
      <c r="AV23" t="s">
        <v>1537</v>
      </c>
      <c r="AW23" t="b">
        <f>AND(ckAwdTable[[#This Row],[ILN]]&gt;"M", SUBSTITUTE(ckAwdTable[[#This Row],[prop_titl_txt]]," ","")&lt;&gt;SUBSTITUTE(AV22," ",""))</f>
        <v>0</v>
      </c>
      <c r="AX23" s="8" t="s">
        <v>1538</v>
      </c>
    </row>
    <row r="24" spans="2:50" x14ac:dyDescent="0.4">
      <c r="B24" s="30">
        <v>42935.535416666666</v>
      </c>
      <c r="C24" t="s">
        <v>1430</v>
      </c>
      <c r="D24" t="s">
        <v>477</v>
      </c>
      <c r="E24" t="s">
        <v>582</v>
      </c>
      <c r="F24" t="s">
        <v>611</v>
      </c>
      <c r="G24" s="8" t="s">
        <v>171</v>
      </c>
      <c r="H24" s="8" t="s">
        <v>169</v>
      </c>
      <c r="I24" s="8" t="s">
        <v>505</v>
      </c>
      <c r="J24" t="s">
        <v>94</v>
      </c>
      <c r="K24" t="s">
        <v>1431</v>
      </c>
      <c r="L24" s="22"/>
      <c r="M24" s="109">
        <f xml:space="preserve"> M23+(ckAwdTable[ILN]&lt;"M")</f>
        <v>23</v>
      </c>
      <c r="N24" t="s">
        <v>95</v>
      </c>
      <c r="O24" t="s">
        <v>885</v>
      </c>
      <c r="P24" s="15" t="str">
        <f>HYPERLINK("https://www.ejacket.nsf.gov/ej/showProposal.do?ID="&amp;ckAwdTable[[#This Row],[prop_id]],"eJ")</f>
        <v>eJ</v>
      </c>
      <c r="Q24" s="8" t="s">
        <v>478</v>
      </c>
      <c r="R24" t="s">
        <v>885</v>
      </c>
      <c r="S24" t="s">
        <v>886</v>
      </c>
      <c r="T24" t="s">
        <v>1540</v>
      </c>
      <c r="U24" s="8" t="s">
        <v>1477</v>
      </c>
      <c r="V24" t="s">
        <v>306</v>
      </c>
      <c r="W24" s="113" t="str">
        <f>HYPERLINK("mailto:"&amp; ckAwdTable[[#This Row],[email]]&amp;"&amp;subject=Your NSF Proposal:  "&amp;ckAwdTable[[#This Row],[prop_id]], ckAwdTable[[#This Row],[email]])</f>
        <v>rutameht@illinois.edu</v>
      </c>
      <c r="X24" s="30">
        <v>43132</v>
      </c>
      <c r="Y24">
        <v>60</v>
      </c>
      <c r="AA24" s="21" t="s">
        <v>13</v>
      </c>
      <c r="AB24" s="21" t="s">
        <v>382</v>
      </c>
      <c r="AC24"/>
      <c r="AD24" s="21" t="s">
        <v>13</v>
      </c>
      <c r="AE24" s="21" t="s">
        <v>506</v>
      </c>
      <c r="AF24" s="13">
        <v>499906</v>
      </c>
      <c r="AG24" s="124">
        <v>0</v>
      </c>
      <c r="AH24" s="1">
        <v>499906</v>
      </c>
      <c r="AI24" s="1"/>
      <c r="AJ24" s="1">
        <v>10000</v>
      </c>
      <c r="AM24" s="21">
        <v>5</v>
      </c>
      <c r="AN24" s="21">
        <v>4</v>
      </c>
      <c r="AO24" s="21">
        <v>4</v>
      </c>
      <c r="AP24" s="21"/>
      <c r="AQ24" s="21"/>
      <c r="AR24" s="126" t="s">
        <v>172</v>
      </c>
      <c r="AS24" s="21" t="s">
        <v>493</v>
      </c>
      <c r="AT24" s="21" t="str">
        <f>IFERROR(IF(FIND("?",ckAwdTable[abst_narr_txt]),SummarizeQuestMarks(ckAwdTable[abst_narr_txt]),""),"")</f>
        <v/>
      </c>
      <c r="AU24" s="119"/>
      <c r="AV24" t="s">
        <v>1542</v>
      </c>
      <c r="AW24" t="b">
        <f>AND(ckAwdTable[[#This Row],[ILN]]&gt;"M", SUBSTITUTE(ckAwdTable[[#This Row],[prop_titl_txt]]," ","")&lt;&gt;SUBSTITUTE(AV23," ",""))</f>
        <v>0</v>
      </c>
      <c r="AX24" s="8" t="s">
        <v>1543</v>
      </c>
    </row>
    <row r="25" spans="2:50" x14ac:dyDescent="0.4">
      <c r="B25" s="30">
        <v>42935.536805555559</v>
      </c>
      <c r="C25" t="s">
        <v>1430</v>
      </c>
      <c r="D25" t="s">
        <v>477</v>
      </c>
      <c r="E25" t="s">
        <v>582</v>
      </c>
      <c r="F25" t="s">
        <v>611</v>
      </c>
      <c r="G25" s="8" t="s">
        <v>171</v>
      </c>
      <c r="H25" s="8" t="s">
        <v>169</v>
      </c>
      <c r="I25" s="8" t="s">
        <v>505</v>
      </c>
      <c r="J25" t="s">
        <v>94</v>
      </c>
      <c r="K25" t="s">
        <v>1431</v>
      </c>
      <c r="L25" s="22"/>
      <c r="M25" s="109">
        <f xml:space="preserve"> M24+(ckAwdTable[ILN]&lt;"M")</f>
        <v>24</v>
      </c>
      <c r="N25" t="s">
        <v>95</v>
      </c>
      <c r="O25" t="s">
        <v>896</v>
      </c>
      <c r="P25" s="15" t="str">
        <f>HYPERLINK("https://www.ejacket.nsf.gov/ej/showProposal.do?ID="&amp;ckAwdTable[[#This Row],[prop_id]],"eJ")</f>
        <v>eJ</v>
      </c>
      <c r="Q25" s="8" t="s">
        <v>478</v>
      </c>
      <c r="R25" t="s">
        <v>896</v>
      </c>
      <c r="S25" t="s">
        <v>897</v>
      </c>
      <c r="T25" t="s">
        <v>1544</v>
      </c>
      <c r="U25" s="8" t="s">
        <v>552</v>
      </c>
      <c r="V25" t="s">
        <v>498</v>
      </c>
      <c r="W25" s="113" t="str">
        <f>HYPERLINK("mailto:"&amp; ckAwdTable[[#This Row],[email]]&amp;"&amp;subject=Your NSF Proposal:  "&amp;ckAwdTable[[#This Row],[prop_id]], ckAwdTable[[#This Row],[email]])</f>
        <v>gillat.kol@gmail.com</v>
      </c>
      <c r="X25" s="30">
        <v>43132</v>
      </c>
      <c r="Y25">
        <v>60</v>
      </c>
      <c r="AA25" s="21" t="s">
        <v>13</v>
      </c>
      <c r="AB25" s="21" t="s">
        <v>382</v>
      </c>
      <c r="AC25"/>
      <c r="AD25" s="21" t="s">
        <v>13</v>
      </c>
      <c r="AF25" s="13">
        <v>550000</v>
      </c>
      <c r="AG25" s="124">
        <v>0</v>
      </c>
      <c r="AH25" s="1">
        <v>550000</v>
      </c>
      <c r="AI25" s="1"/>
      <c r="AJ25" s="1"/>
      <c r="AM25" s="21">
        <v>5</v>
      </c>
      <c r="AN25" s="21">
        <v>5</v>
      </c>
      <c r="AO25" s="21">
        <v>5</v>
      </c>
      <c r="AP25" s="21"/>
      <c r="AQ25" s="21"/>
      <c r="AR25" s="126" t="s">
        <v>172</v>
      </c>
      <c r="AS25" s="21" t="s">
        <v>493</v>
      </c>
      <c r="AT25" s="21" t="str">
        <f>IFERROR(IF(FIND("?",ckAwdTable[abst_narr_txt]),SummarizeQuestMarks(ckAwdTable[abst_narr_txt]),""),"")</f>
        <v/>
      </c>
      <c r="AU25" s="119"/>
      <c r="AV25" t="s">
        <v>1546</v>
      </c>
      <c r="AW25" t="b">
        <f>AND(ckAwdTable[[#This Row],[ILN]]&gt;"M", SUBSTITUTE(ckAwdTable[[#This Row],[prop_titl_txt]]," ","")&lt;&gt;SUBSTITUTE(AV24," ",""))</f>
        <v>0</v>
      </c>
      <c r="AX25" s="8" t="s">
        <v>1547</v>
      </c>
    </row>
    <row r="26" spans="2:50" x14ac:dyDescent="0.4">
      <c r="B26" s="30">
        <v>42935.54583333333</v>
      </c>
      <c r="C26" t="s">
        <v>1430</v>
      </c>
      <c r="D26" t="s">
        <v>477</v>
      </c>
      <c r="E26" t="s">
        <v>582</v>
      </c>
      <c r="F26" t="s">
        <v>654</v>
      </c>
      <c r="G26" s="8" t="s">
        <v>171</v>
      </c>
      <c r="H26" s="8" t="s">
        <v>169</v>
      </c>
      <c r="I26" s="8" t="s">
        <v>505</v>
      </c>
      <c r="J26" t="s">
        <v>94</v>
      </c>
      <c r="K26" t="s">
        <v>1431</v>
      </c>
      <c r="L26" s="22">
        <v>43082.668912037036</v>
      </c>
      <c r="M26" s="109">
        <f xml:space="preserve"> M25+(ckAwdTable[ILN]&lt;"M")</f>
        <v>25</v>
      </c>
      <c r="N26" t="s">
        <v>95</v>
      </c>
      <c r="O26" t="s">
        <v>927</v>
      </c>
      <c r="P26" s="15" t="str">
        <f>HYPERLINK("https://www.ejacket.nsf.gov/ej/showProposal.do?ID="&amp;ckAwdTable[[#This Row],[prop_id]],"eJ")</f>
        <v>eJ</v>
      </c>
      <c r="Q26" s="8" t="s">
        <v>478</v>
      </c>
      <c r="R26" t="s">
        <v>927</v>
      </c>
      <c r="S26" t="s">
        <v>928</v>
      </c>
      <c r="T26" t="s">
        <v>1549</v>
      </c>
      <c r="U26" s="8" t="s">
        <v>1550</v>
      </c>
      <c r="V26" t="s">
        <v>1548</v>
      </c>
      <c r="W26" s="113" t="str">
        <f>HYPERLINK("mailto:"&amp; ckAwdTable[[#This Row],[email]]&amp;"&amp;subject=Your NSF Proposal:  "&amp;ckAwdTable[[#This Row],[prop_id]], ckAwdTable[[#This Row],[email]])</f>
        <v>sharathr@vt.edu</v>
      </c>
      <c r="X26" s="30">
        <v>43110</v>
      </c>
      <c r="Y26">
        <v>60</v>
      </c>
      <c r="AA26" s="21" t="s">
        <v>13</v>
      </c>
      <c r="AB26" s="21" t="s">
        <v>382</v>
      </c>
      <c r="AC26"/>
      <c r="AD26" s="21" t="s">
        <v>13</v>
      </c>
      <c r="AE26" s="21" t="s">
        <v>506</v>
      </c>
      <c r="AF26" s="13">
        <v>533991</v>
      </c>
      <c r="AG26" s="124">
        <v>0</v>
      </c>
      <c r="AH26" s="1">
        <v>533991</v>
      </c>
      <c r="AI26" s="1"/>
      <c r="AJ26" s="1">
        <v>7500</v>
      </c>
      <c r="AM26" s="21">
        <v>5</v>
      </c>
      <c r="AN26" s="21">
        <v>5</v>
      </c>
      <c r="AO26" s="21">
        <v>6.5</v>
      </c>
      <c r="AP26" s="21"/>
      <c r="AQ26" s="21"/>
      <c r="AR26" s="126" t="s">
        <v>172</v>
      </c>
      <c r="AS26" s="21" t="s">
        <v>493</v>
      </c>
      <c r="AT26" s="21" t="str">
        <f>IFERROR(IF(FIND("?",ckAwdTable[abst_narr_txt]),SummarizeQuestMarks(ckAwdTable[abst_narr_txt]),""),"")</f>
        <v/>
      </c>
      <c r="AU26" s="119"/>
      <c r="AV26" t="s">
        <v>1552</v>
      </c>
      <c r="AW26" t="b">
        <f>AND(ckAwdTable[[#This Row],[ILN]]&gt;"M", SUBSTITUTE(ckAwdTable[[#This Row],[prop_titl_txt]]," ","")&lt;&gt;SUBSTITUTE(AV25," ",""))</f>
        <v>0</v>
      </c>
      <c r="AX26" s="8" t="s">
        <v>1553</v>
      </c>
    </row>
    <row r="27" spans="2:50" x14ac:dyDescent="0.4">
      <c r="B27" s="30">
        <v>42935.576388888891</v>
      </c>
      <c r="C27" t="s">
        <v>1430</v>
      </c>
      <c r="D27" t="s">
        <v>477</v>
      </c>
      <c r="E27" t="s">
        <v>582</v>
      </c>
      <c r="F27" t="s">
        <v>611</v>
      </c>
      <c r="G27" s="8" t="s">
        <v>171</v>
      </c>
      <c r="H27" s="8" t="s">
        <v>169</v>
      </c>
      <c r="I27" s="8" t="s">
        <v>505</v>
      </c>
      <c r="J27" t="s">
        <v>94</v>
      </c>
      <c r="K27" t="s">
        <v>1431</v>
      </c>
      <c r="L27" s="22"/>
      <c r="M27" s="109">
        <f xml:space="preserve"> M26+(ckAwdTable[ILN]&lt;"M")</f>
        <v>26</v>
      </c>
      <c r="N27" t="s">
        <v>95</v>
      </c>
      <c r="O27" t="s">
        <v>936</v>
      </c>
      <c r="P27" s="15" t="str">
        <f>HYPERLINK("https://www.ejacket.nsf.gov/ej/showProposal.do?ID="&amp;ckAwdTable[[#This Row],[prop_id]],"eJ")</f>
        <v>eJ</v>
      </c>
      <c r="Q27" s="8" t="s">
        <v>478</v>
      </c>
      <c r="R27" t="s">
        <v>936</v>
      </c>
      <c r="S27" t="s">
        <v>937</v>
      </c>
      <c r="T27" t="s">
        <v>1554</v>
      </c>
      <c r="U27" s="8" t="s">
        <v>501</v>
      </c>
      <c r="V27" t="s">
        <v>230</v>
      </c>
      <c r="W27" s="113" t="str">
        <f>HYPERLINK("mailto:"&amp; ckAwdTable[[#This Row],[email]]&amp;"&amp;subject=Your NSF Proposal:  "&amp;ckAwdTable[[#This Row],[prop_id]], ckAwdTable[[#This Row],[email]])</f>
        <v xml:space="preserve"> hardt@eecs.berkeley.edu</v>
      </c>
      <c r="X27" s="30">
        <v>43132</v>
      </c>
      <c r="Y27">
        <v>60</v>
      </c>
      <c r="AA27" s="21" t="s">
        <v>13</v>
      </c>
      <c r="AB27" s="21" t="s">
        <v>382</v>
      </c>
      <c r="AC27"/>
      <c r="AD27" s="21" t="s">
        <v>13</v>
      </c>
      <c r="AF27" s="13">
        <v>499434</v>
      </c>
      <c r="AG27" s="124">
        <v>0</v>
      </c>
      <c r="AH27" s="1">
        <v>499434</v>
      </c>
      <c r="AI27" s="1"/>
      <c r="AJ27" s="1"/>
      <c r="AM27" s="21">
        <v>5</v>
      </c>
      <c r="AN27" s="21">
        <v>5</v>
      </c>
      <c r="AO27" s="21">
        <v>0.8</v>
      </c>
      <c r="AP27" s="21"/>
      <c r="AQ27" s="21"/>
      <c r="AR27" s="126" t="s">
        <v>172</v>
      </c>
      <c r="AS27" s="21" t="s">
        <v>493</v>
      </c>
      <c r="AT27" s="21" t="str">
        <f>IFERROR(IF(FIND("?",ckAwdTable[abst_narr_txt]),SummarizeQuestMarks(ckAwdTable[abst_narr_txt]),""),"")</f>
        <v/>
      </c>
      <c r="AU27" s="119"/>
      <c r="AV27" t="s">
        <v>1556</v>
      </c>
      <c r="AW27" t="b">
        <f>AND(ckAwdTable[[#This Row],[ILN]]&gt;"M", SUBSTITUTE(ckAwdTable[[#This Row],[prop_titl_txt]]," ","")&lt;&gt;SUBSTITUTE(AV26," ",""))</f>
        <v>0</v>
      </c>
      <c r="AX27" s="8" t="s">
        <v>1557</v>
      </c>
    </row>
    <row r="28" spans="2:50" x14ac:dyDescent="0.4">
      <c r="B28" s="30">
        <v>42935.599305555559</v>
      </c>
      <c r="C28" t="s">
        <v>1430</v>
      </c>
      <c r="D28" t="s">
        <v>477</v>
      </c>
      <c r="E28" t="s">
        <v>582</v>
      </c>
      <c r="F28" t="s">
        <v>611</v>
      </c>
      <c r="G28" s="8" t="s">
        <v>171</v>
      </c>
      <c r="H28" s="8" t="s">
        <v>169</v>
      </c>
      <c r="I28" s="8" t="s">
        <v>505</v>
      </c>
      <c r="J28" t="s">
        <v>94</v>
      </c>
      <c r="K28" t="s">
        <v>1431</v>
      </c>
      <c r="L28" s="22"/>
      <c r="M28" s="109">
        <f xml:space="preserve"> M27+(ckAwdTable[ILN]&lt;"M")</f>
        <v>27</v>
      </c>
      <c r="N28" t="s">
        <v>95</v>
      </c>
      <c r="O28" t="s">
        <v>944</v>
      </c>
      <c r="P28" s="15" t="str">
        <f>HYPERLINK("https://www.ejacket.nsf.gov/ej/showProposal.do?ID="&amp;ckAwdTable[[#This Row],[prop_id]],"eJ")</f>
        <v>eJ</v>
      </c>
      <c r="Q28" s="8" t="s">
        <v>478</v>
      </c>
      <c r="R28" t="s">
        <v>944</v>
      </c>
      <c r="S28" t="s">
        <v>945</v>
      </c>
      <c r="T28" t="s">
        <v>1558</v>
      </c>
      <c r="U28" s="8" t="s">
        <v>502</v>
      </c>
      <c r="V28" t="s">
        <v>231</v>
      </c>
      <c r="W28" s="113" t="str">
        <f>HYPERLINK("mailto:"&amp; ckAwdTable[[#This Row],[email]]&amp;"&amp;subject=Your NSF Proposal:  "&amp;ckAwdTable[[#This Row],[prop_id]], ckAwdTable[[#This Row],[email]])</f>
        <v>jullman@ccs.neu.edu</v>
      </c>
      <c r="X28" s="30">
        <v>43282</v>
      </c>
      <c r="Y28">
        <v>60</v>
      </c>
      <c r="AA28" s="21" t="s">
        <v>13</v>
      </c>
      <c r="AB28" s="21" t="s">
        <v>382</v>
      </c>
      <c r="AC28"/>
      <c r="AD28" s="21" t="s">
        <v>13</v>
      </c>
      <c r="AE28" s="21" t="s">
        <v>506</v>
      </c>
      <c r="AF28" s="13">
        <v>545883</v>
      </c>
      <c r="AG28" s="124">
        <v>0</v>
      </c>
      <c r="AH28" s="1">
        <v>545883</v>
      </c>
      <c r="AI28" s="1"/>
      <c r="AJ28" s="1">
        <v>15928</v>
      </c>
      <c r="AM28" s="21">
        <v>5</v>
      </c>
      <c r="AN28" s="21">
        <v>5</v>
      </c>
      <c r="AO28" s="21">
        <v>5</v>
      </c>
      <c r="AP28" s="21"/>
      <c r="AQ28" s="21"/>
      <c r="AR28" s="126" t="s">
        <v>172</v>
      </c>
      <c r="AS28" s="21" t="s">
        <v>493</v>
      </c>
      <c r="AT28" s="21" t="str">
        <f>IFERROR(IF(FIND("?",ckAwdTable[abst_narr_txt]),SummarizeQuestMarks(ckAwdTable[abst_narr_txt]),""),"")</f>
        <v/>
      </c>
      <c r="AU28" s="119"/>
      <c r="AV28" t="s">
        <v>1559</v>
      </c>
      <c r="AW28" t="b">
        <f>AND(ckAwdTable[[#This Row],[ILN]]&gt;"M", SUBSTITUTE(ckAwdTable[[#This Row],[prop_titl_txt]]," ","")&lt;&gt;SUBSTITUTE(AV27," ",""))</f>
        <v>0</v>
      </c>
      <c r="AX28" s="8" t="s">
        <v>1560</v>
      </c>
    </row>
    <row r="29" spans="2:50" x14ac:dyDescent="0.4">
      <c r="B29" s="30">
        <v>42935.603472222225</v>
      </c>
      <c r="C29" t="s">
        <v>1430</v>
      </c>
      <c r="D29" t="s">
        <v>477</v>
      </c>
      <c r="E29" t="s">
        <v>582</v>
      </c>
      <c r="F29" t="s">
        <v>611</v>
      </c>
      <c r="G29" s="8" t="s">
        <v>171</v>
      </c>
      <c r="H29" s="8" t="s">
        <v>169</v>
      </c>
      <c r="I29" s="8" t="s">
        <v>505</v>
      </c>
      <c r="J29" t="s">
        <v>94</v>
      </c>
      <c r="K29" t="s">
        <v>1431</v>
      </c>
      <c r="L29" s="22">
        <v>43082.663194444445</v>
      </c>
      <c r="M29" s="109">
        <f xml:space="preserve"> M28+(ckAwdTable[ILN]&lt;"M")</f>
        <v>28</v>
      </c>
      <c r="N29" t="s">
        <v>95</v>
      </c>
      <c r="O29" t="s">
        <v>952</v>
      </c>
      <c r="P29" s="15" t="str">
        <f>HYPERLINK("https://www.ejacket.nsf.gov/ej/showProposal.do?ID="&amp;ckAwdTable[[#This Row],[prop_id]],"eJ")</f>
        <v>eJ</v>
      </c>
      <c r="Q29" s="8" t="s">
        <v>478</v>
      </c>
      <c r="R29" t="s">
        <v>952</v>
      </c>
      <c r="S29" t="s">
        <v>953</v>
      </c>
      <c r="T29" t="s">
        <v>1561</v>
      </c>
      <c r="U29" s="8" t="s">
        <v>1562</v>
      </c>
      <c r="V29" t="s">
        <v>498</v>
      </c>
      <c r="W29" s="113" t="str">
        <f>HYPERLINK("mailto:"&amp; ckAwdTable[[#This Row],[email]]&amp;"&amp;subject=Your NSF Proposal:  "&amp;ckAwdTable[[#This Row],[prop_id]], ckAwdTable[[#This Row],[email]])</f>
        <v>pranjal.iitm@gmail.com</v>
      </c>
      <c r="X29" s="30">
        <v>43101</v>
      </c>
      <c r="Y29">
        <v>60</v>
      </c>
      <c r="AA29" s="21" t="s">
        <v>13</v>
      </c>
      <c r="AB29" s="21" t="s">
        <v>382</v>
      </c>
      <c r="AC29"/>
      <c r="AD29" s="21" t="s">
        <v>13</v>
      </c>
      <c r="AE29" s="21" t="s">
        <v>2006</v>
      </c>
      <c r="AF29" s="13">
        <v>695874</v>
      </c>
      <c r="AG29" s="124">
        <v>0</v>
      </c>
      <c r="AH29" s="1">
        <v>695874</v>
      </c>
      <c r="AI29" s="1"/>
      <c r="AJ29" s="1">
        <v>12875</v>
      </c>
      <c r="AM29" s="21">
        <v>5</v>
      </c>
      <c r="AN29" s="21">
        <v>5</v>
      </c>
      <c r="AO29" s="21">
        <v>5</v>
      </c>
      <c r="AP29" s="21"/>
      <c r="AQ29" s="21"/>
      <c r="AR29" s="126" t="s">
        <v>172</v>
      </c>
      <c r="AS29" s="21" t="s">
        <v>493</v>
      </c>
      <c r="AT29" s="21" t="str">
        <f>IFERROR(IF(FIND("?",ckAwdTable[abst_narr_txt]),SummarizeQuestMarks(ckAwdTable[abst_narr_txt]),""),"")</f>
        <v/>
      </c>
      <c r="AU29" s="119"/>
      <c r="AV29" t="s">
        <v>1564</v>
      </c>
      <c r="AW29" t="b">
        <f>AND(ckAwdTable[[#This Row],[ILN]]&gt;"M", SUBSTITUTE(ckAwdTable[[#This Row],[prop_titl_txt]]," ","")&lt;&gt;SUBSTITUTE(AV28," ",""))</f>
        <v>0</v>
      </c>
      <c r="AX29" s="8" t="s">
        <v>1565</v>
      </c>
    </row>
    <row r="30" spans="2:50" x14ac:dyDescent="0.4">
      <c r="B30" s="30">
        <v>42935.620138888888</v>
      </c>
      <c r="C30" t="s">
        <v>1430</v>
      </c>
      <c r="D30" t="s">
        <v>477</v>
      </c>
      <c r="E30" t="s">
        <v>582</v>
      </c>
      <c r="F30" t="s">
        <v>654</v>
      </c>
      <c r="G30" s="8" t="s">
        <v>171</v>
      </c>
      <c r="H30" s="8" t="s">
        <v>169</v>
      </c>
      <c r="I30" s="8" t="s">
        <v>505</v>
      </c>
      <c r="J30" t="s">
        <v>94</v>
      </c>
      <c r="K30" t="s">
        <v>1431</v>
      </c>
      <c r="L30" s="22"/>
      <c r="M30" s="109">
        <f xml:space="preserve"> M29+(ckAwdTable[ILN]&lt;"M")</f>
        <v>29</v>
      </c>
      <c r="N30" t="s">
        <v>95</v>
      </c>
      <c r="O30" t="s">
        <v>961</v>
      </c>
      <c r="P30" s="15" t="str">
        <f>HYPERLINK("https://www.ejacket.nsf.gov/ej/showProposal.do?ID="&amp;ckAwdTable[[#This Row],[prop_id]],"eJ")</f>
        <v>eJ</v>
      </c>
      <c r="Q30" s="8" t="s">
        <v>478</v>
      </c>
      <c r="R30" t="s">
        <v>961</v>
      </c>
      <c r="S30" t="s">
        <v>489</v>
      </c>
      <c r="T30" t="s">
        <v>1566</v>
      </c>
      <c r="U30" s="8" t="s">
        <v>502</v>
      </c>
      <c r="V30" t="s">
        <v>231</v>
      </c>
      <c r="W30" s="113" t="str">
        <f>HYPERLINK("mailto:"&amp; ckAwdTable[[#This Row],[email]]&amp;"&amp;subject=Your NSF Proposal:  "&amp;ckAwdTable[[#This Row],[prop_id]], ckAwdTable[[#This Row],[email]])</f>
        <v>hu.nguyen@neu.edu</v>
      </c>
      <c r="X30" s="30">
        <v>43252</v>
      </c>
      <c r="Y30">
        <v>60</v>
      </c>
      <c r="AA30" s="21" t="s">
        <v>13</v>
      </c>
      <c r="AB30" s="21" t="s">
        <v>382</v>
      </c>
      <c r="AC30"/>
      <c r="AD30" s="21" t="s">
        <v>13</v>
      </c>
      <c r="AE30" s="21" t="s">
        <v>506</v>
      </c>
      <c r="AF30" s="13">
        <v>551453</v>
      </c>
      <c r="AG30" s="124">
        <v>0</v>
      </c>
      <c r="AH30" s="1">
        <v>551453</v>
      </c>
      <c r="AI30" s="1"/>
      <c r="AJ30" s="1">
        <v>13273</v>
      </c>
      <c r="AM30" s="21">
        <v>5</v>
      </c>
      <c r="AN30" s="21">
        <v>5</v>
      </c>
      <c r="AO30" s="21">
        <v>5</v>
      </c>
      <c r="AP30" s="21"/>
      <c r="AQ30" s="21"/>
      <c r="AR30" s="126" t="s">
        <v>172</v>
      </c>
      <c r="AS30" s="21" t="s">
        <v>493</v>
      </c>
      <c r="AT30" s="21" t="str">
        <f>IFERROR(IF(FIND("?",ckAwdTable[abst_narr_txt]),SummarizeQuestMarks(ckAwdTable[abst_narr_txt]),""),"")</f>
        <v/>
      </c>
      <c r="AU30" s="119"/>
      <c r="AV30" t="s">
        <v>1568</v>
      </c>
      <c r="AW30" t="b">
        <f>AND(ckAwdTable[[#This Row],[ILN]]&gt;"M", SUBSTITUTE(ckAwdTable[[#This Row],[prop_titl_txt]]," ","")&lt;&gt;SUBSTITUTE(AV29," ",""))</f>
        <v>0</v>
      </c>
      <c r="AX30" s="8" t="s">
        <v>1569</v>
      </c>
    </row>
    <row r="31" spans="2:50" x14ac:dyDescent="0.4">
      <c r="B31" s="30">
        <v>42935.633333333331</v>
      </c>
      <c r="C31" t="s">
        <v>1430</v>
      </c>
      <c r="D31" t="s">
        <v>477</v>
      </c>
      <c r="E31" t="s">
        <v>582</v>
      </c>
      <c r="F31" t="s">
        <v>604</v>
      </c>
      <c r="G31" s="8" t="s">
        <v>171</v>
      </c>
      <c r="H31" s="8" t="s">
        <v>169</v>
      </c>
      <c r="I31" s="8" t="s">
        <v>505</v>
      </c>
      <c r="J31" t="s">
        <v>94</v>
      </c>
      <c r="K31" t="s">
        <v>1431</v>
      </c>
      <c r="L31" s="22"/>
      <c r="M31" s="109">
        <f xml:space="preserve"> M30+(ckAwdTable[ILN]&lt;"M")</f>
        <v>30</v>
      </c>
      <c r="N31" t="s">
        <v>95</v>
      </c>
      <c r="O31" t="s">
        <v>971</v>
      </c>
      <c r="P31" s="15" t="str">
        <f>HYPERLINK("https://www.ejacket.nsf.gov/ej/showProposal.do?ID="&amp;ckAwdTable[[#This Row],[prop_id]],"eJ")</f>
        <v>eJ</v>
      </c>
      <c r="Q31" s="8" t="s">
        <v>478</v>
      </c>
      <c r="R31" t="s">
        <v>971</v>
      </c>
      <c r="S31" t="s">
        <v>972</v>
      </c>
      <c r="T31" t="s">
        <v>1445</v>
      </c>
      <c r="U31" s="8" t="s">
        <v>1570</v>
      </c>
      <c r="V31" t="s">
        <v>310</v>
      </c>
      <c r="W31" s="113" t="str">
        <f>HYPERLINK("mailto:"&amp; ckAwdTable[[#This Row],[email]]&amp;"&amp;subject=Your NSF Proposal:  "&amp;ckAwdTable[[#This Row],[prop_id]], ckAwdTable[[#This Row],[email]])</f>
        <v>Benjamin.Raichel@utdallas.edu</v>
      </c>
      <c r="X31" s="30">
        <v>43344</v>
      </c>
      <c r="Y31">
        <v>60</v>
      </c>
      <c r="AA31" s="21" t="s">
        <v>13</v>
      </c>
      <c r="AB31" s="21" t="s">
        <v>382</v>
      </c>
      <c r="AC31"/>
      <c r="AD31" s="21" t="s">
        <v>13</v>
      </c>
      <c r="AE31" s="21" t="s">
        <v>506</v>
      </c>
      <c r="AF31" s="13">
        <v>582785</v>
      </c>
      <c r="AG31" s="124">
        <v>0</v>
      </c>
      <c r="AH31" s="1">
        <v>582785</v>
      </c>
      <c r="AI31" s="1"/>
      <c r="AJ31" s="1">
        <v>7500</v>
      </c>
      <c r="AM31" s="21">
        <v>10</v>
      </c>
      <c r="AN31" s="21">
        <v>5</v>
      </c>
      <c r="AO31" s="21">
        <v>5</v>
      </c>
      <c r="AP31" s="21"/>
      <c r="AQ31" s="21"/>
      <c r="AR31" s="126" t="s">
        <v>172</v>
      </c>
      <c r="AS31" s="21" t="s">
        <v>493</v>
      </c>
      <c r="AT31" s="21" t="str">
        <f>IFERROR(IF(FIND("?",ckAwdTable[abst_narr_txt]),SummarizeQuestMarks(ckAwdTable[abst_narr_txt]),""),"")</f>
        <v/>
      </c>
      <c r="AU31" s="119"/>
      <c r="AV31" t="s">
        <v>1571</v>
      </c>
      <c r="AW31" t="b">
        <f>AND(ckAwdTable[[#This Row],[ILN]]&gt;"M", SUBSTITUTE(ckAwdTable[[#This Row],[prop_titl_txt]]," ","")&lt;&gt;SUBSTITUTE(AV30," ",""))</f>
        <v>0</v>
      </c>
      <c r="AX31" s="8" t="s">
        <v>1572</v>
      </c>
    </row>
    <row r="32" spans="2:50" x14ac:dyDescent="0.4">
      <c r="B32" s="30">
        <v>42935.638888888891</v>
      </c>
      <c r="C32" t="s">
        <v>1430</v>
      </c>
      <c r="D32" t="s">
        <v>477</v>
      </c>
      <c r="E32" t="s">
        <v>582</v>
      </c>
      <c r="F32" t="s">
        <v>654</v>
      </c>
      <c r="G32" s="8" t="s">
        <v>171</v>
      </c>
      <c r="H32" s="8" t="s">
        <v>169</v>
      </c>
      <c r="I32" s="8" t="s">
        <v>505</v>
      </c>
      <c r="J32" t="s">
        <v>94</v>
      </c>
      <c r="K32" t="s">
        <v>1431</v>
      </c>
      <c r="L32" s="22"/>
      <c r="M32" s="109">
        <f xml:space="preserve"> M31+(ckAwdTable[ILN]&lt;"M")</f>
        <v>31</v>
      </c>
      <c r="N32" t="s">
        <v>95</v>
      </c>
      <c r="O32" t="s">
        <v>979</v>
      </c>
      <c r="P32" s="15" t="str">
        <f>HYPERLINK("https://www.ejacket.nsf.gov/ej/showProposal.do?ID="&amp;ckAwdTable[[#This Row],[prop_id]],"eJ")</f>
        <v>eJ</v>
      </c>
      <c r="Q32" s="8" t="s">
        <v>478</v>
      </c>
      <c r="R32" t="s">
        <v>979</v>
      </c>
      <c r="S32" t="s">
        <v>980</v>
      </c>
      <c r="T32" t="s">
        <v>1573</v>
      </c>
      <c r="U32" s="8" t="s">
        <v>497</v>
      </c>
      <c r="V32" t="s">
        <v>496</v>
      </c>
      <c r="W32" s="113" t="str">
        <f>HYPERLINK("mailto:"&amp; ckAwdTable[[#This Row],[email]]&amp;"&amp;subject=Your NSF Proposal:  "&amp;ckAwdTable[[#This Row],[prop_id]], ckAwdTable[[#This Row],[email]])</f>
        <v>haeupler@cs.cmu.edu</v>
      </c>
      <c r="X32" s="30">
        <v>43101</v>
      </c>
      <c r="Y32">
        <v>60</v>
      </c>
      <c r="AA32" s="21" t="s">
        <v>13</v>
      </c>
      <c r="AB32" s="21" t="s">
        <v>382</v>
      </c>
      <c r="AC32"/>
      <c r="AD32" s="21" t="s">
        <v>13</v>
      </c>
      <c r="AF32" s="13">
        <v>613868</v>
      </c>
      <c r="AG32" s="124">
        <v>0</v>
      </c>
      <c r="AH32" s="1">
        <v>613868</v>
      </c>
      <c r="AI32" s="1"/>
      <c r="AJ32" s="1"/>
      <c r="AM32" s="21">
        <v>5</v>
      </c>
      <c r="AN32" s="21">
        <v>5</v>
      </c>
      <c r="AO32" s="21">
        <v>1.25</v>
      </c>
      <c r="AP32" s="21"/>
      <c r="AQ32" s="21"/>
      <c r="AR32" s="126" t="s">
        <v>172</v>
      </c>
      <c r="AS32" s="21" t="s">
        <v>493</v>
      </c>
      <c r="AT32" s="21" t="str">
        <f>IFERROR(IF(FIND("?",ckAwdTable[abst_narr_txt]),SummarizeQuestMarks(ckAwdTable[abst_narr_txt]),""),"")</f>
        <v/>
      </c>
      <c r="AU32" s="119"/>
      <c r="AV32" t="s">
        <v>1575</v>
      </c>
      <c r="AW32" t="b">
        <f>AND(ckAwdTable[[#This Row],[ILN]]&gt;"M", SUBSTITUTE(ckAwdTable[[#This Row],[prop_titl_txt]]," ","")&lt;&gt;SUBSTITUTE(AV31," ",""))</f>
        <v>0</v>
      </c>
      <c r="AX32" s="8" t="s">
        <v>1576</v>
      </c>
    </row>
    <row r="33" spans="2:50" x14ac:dyDescent="0.4">
      <c r="B33" s="30">
        <v>42935.654166666667</v>
      </c>
      <c r="C33" t="s">
        <v>1430</v>
      </c>
      <c r="D33" t="s">
        <v>477</v>
      </c>
      <c r="E33" t="s">
        <v>582</v>
      </c>
      <c r="F33" t="s">
        <v>611</v>
      </c>
      <c r="G33" s="8" t="s">
        <v>171</v>
      </c>
      <c r="H33" s="8" t="s">
        <v>169</v>
      </c>
      <c r="I33" s="8" t="s">
        <v>505</v>
      </c>
      <c r="J33" t="s">
        <v>94</v>
      </c>
      <c r="K33" t="s">
        <v>1431</v>
      </c>
      <c r="L33" s="22">
        <v>43082.669247685182</v>
      </c>
      <c r="M33" s="109">
        <f xml:space="preserve"> M32+(ckAwdTable[ILN]&lt;"M")</f>
        <v>32</v>
      </c>
      <c r="N33" t="s">
        <v>95</v>
      </c>
      <c r="O33" t="s">
        <v>992</v>
      </c>
      <c r="P33" s="15" t="str">
        <f>HYPERLINK("https://www.ejacket.nsf.gov/ej/showProposal.do?ID="&amp;ckAwdTable[[#This Row],[prop_id]],"eJ")</f>
        <v>eJ</v>
      </c>
      <c r="Q33" s="8" t="s">
        <v>478</v>
      </c>
      <c r="R33" t="s">
        <v>992</v>
      </c>
      <c r="S33" t="s">
        <v>993</v>
      </c>
      <c r="T33" t="s">
        <v>1577</v>
      </c>
      <c r="U33" s="8" t="s">
        <v>1578</v>
      </c>
      <c r="V33" t="s">
        <v>557</v>
      </c>
      <c r="W33" s="113" t="str">
        <f>HYPERLINK("mailto:"&amp; ckAwdTable[[#This Row],[email]]&amp;"&amp;subject=Your NSF Proposal:  "&amp;ckAwdTable[[#This Row],[prop_id]], ckAwdTable[[#This Row],[email]])</f>
        <v>nxie@cs.fiu.edu</v>
      </c>
      <c r="X33" s="30">
        <v>43221</v>
      </c>
      <c r="Y33">
        <v>60</v>
      </c>
      <c r="AA33" s="21" t="s">
        <v>13</v>
      </c>
      <c r="AB33" s="21" t="s">
        <v>382</v>
      </c>
      <c r="AC33"/>
      <c r="AD33" s="21" t="s">
        <v>13</v>
      </c>
      <c r="AE33" s="21" t="s">
        <v>2007</v>
      </c>
      <c r="AF33" s="13">
        <v>520820</v>
      </c>
      <c r="AG33" s="124">
        <v>0</v>
      </c>
      <c r="AH33" s="1">
        <v>520820</v>
      </c>
      <c r="AI33" s="1"/>
      <c r="AJ33" s="1">
        <v>15000</v>
      </c>
      <c r="AM33" s="21">
        <v>5</v>
      </c>
      <c r="AN33" s="21">
        <v>5</v>
      </c>
      <c r="AO33" s="21">
        <v>7.5</v>
      </c>
      <c r="AP33" s="21"/>
      <c r="AQ33" s="21"/>
      <c r="AR33" s="126" t="s">
        <v>172</v>
      </c>
      <c r="AS33" s="21" t="s">
        <v>493</v>
      </c>
      <c r="AT33" s="21" t="str">
        <f>IFERROR(IF(FIND("?",ckAwdTable[abst_narr_txt]),SummarizeQuestMarks(ckAwdTable[abst_narr_txt]),""),"")</f>
        <v/>
      </c>
      <c r="AU33" s="119"/>
      <c r="AV33" t="s">
        <v>1580</v>
      </c>
      <c r="AW33" t="b">
        <f>AND(ckAwdTable[[#This Row],[ILN]]&gt;"M", SUBSTITUTE(ckAwdTable[[#This Row],[prop_titl_txt]]," ","")&lt;&gt;SUBSTITUTE(AV32," ",""))</f>
        <v>0</v>
      </c>
      <c r="AX33" s="8" t="s">
        <v>1581</v>
      </c>
    </row>
    <row r="34" spans="2:50" x14ac:dyDescent="0.4">
      <c r="B34" s="30">
        <v>42935.679166666669</v>
      </c>
      <c r="C34" t="s">
        <v>1430</v>
      </c>
      <c r="D34" t="s">
        <v>477</v>
      </c>
      <c r="E34" t="s">
        <v>582</v>
      </c>
      <c r="F34" t="s">
        <v>611</v>
      </c>
      <c r="G34" s="8" t="s">
        <v>171</v>
      </c>
      <c r="H34" s="8" t="s">
        <v>169</v>
      </c>
      <c r="I34" s="8" t="s">
        <v>505</v>
      </c>
      <c r="J34" t="s">
        <v>94</v>
      </c>
      <c r="K34" t="s">
        <v>1431</v>
      </c>
      <c r="L34" s="22"/>
      <c r="M34" s="109">
        <f xml:space="preserve"> M33+(ckAwdTable[ILN]&lt;"M")</f>
        <v>33</v>
      </c>
      <c r="N34" t="s">
        <v>95</v>
      </c>
      <c r="O34" t="s">
        <v>1004</v>
      </c>
      <c r="P34" s="15" t="str">
        <f>HYPERLINK("https://www.ejacket.nsf.gov/ej/showProposal.do?ID="&amp;ckAwdTable[[#This Row],[prop_id]],"eJ")</f>
        <v>eJ</v>
      </c>
      <c r="Q34" s="8" t="s">
        <v>478</v>
      </c>
      <c r="R34" t="s">
        <v>1004</v>
      </c>
      <c r="S34" t="s">
        <v>1005</v>
      </c>
      <c r="T34" t="s">
        <v>1582</v>
      </c>
      <c r="U34" s="8" t="s">
        <v>550</v>
      </c>
      <c r="V34" t="s">
        <v>310</v>
      </c>
      <c r="W34" s="113" t="str">
        <f>HYPERLINK("mailto:"&amp; ckAwdTable[[#This Row],[email]]&amp;"&amp;subject=Your NSF Proposal:  "&amp;ckAwdTable[[#This Row],[prop_id]], ckAwdTable[[#This Row],[email]])</f>
        <v>ecprice@cs.utexas.edu</v>
      </c>
      <c r="X34" s="30">
        <v>43344</v>
      </c>
      <c r="Y34">
        <v>60</v>
      </c>
      <c r="AA34" s="21" t="s">
        <v>13</v>
      </c>
      <c r="AB34" s="21" t="s">
        <v>382</v>
      </c>
      <c r="AC34"/>
      <c r="AD34" s="21" t="s">
        <v>13</v>
      </c>
      <c r="AF34" s="13">
        <v>499575</v>
      </c>
      <c r="AG34" s="124">
        <v>0</v>
      </c>
      <c r="AH34" s="1">
        <v>499575</v>
      </c>
      <c r="AI34" s="1"/>
      <c r="AJ34" s="1"/>
      <c r="AM34" s="21">
        <v>5</v>
      </c>
      <c r="AN34" s="21">
        <v>5</v>
      </c>
      <c r="AO34" s="21">
        <v>5</v>
      </c>
      <c r="AP34" s="21"/>
      <c r="AQ34" s="21"/>
      <c r="AR34" s="126" t="s">
        <v>172</v>
      </c>
      <c r="AS34" s="21" t="s">
        <v>493</v>
      </c>
      <c r="AT34" s="21" t="str">
        <f>IFERROR(IF(FIND("?",ckAwdTable[abst_narr_txt]),SummarizeQuestMarks(ckAwdTable[abst_narr_txt]),""),"")</f>
        <v/>
      </c>
      <c r="AU34" s="119"/>
      <c r="AV34" t="s">
        <v>1583</v>
      </c>
      <c r="AW34" t="b">
        <f>AND(ckAwdTable[[#This Row],[ILN]]&gt;"M", SUBSTITUTE(ckAwdTable[[#This Row],[prop_titl_txt]]," ","")&lt;&gt;SUBSTITUTE(AV33," ",""))</f>
        <v>0</v>
      </c>
      <c r="AX34" s="8" t="s">
        <v>1584</v>
      </c>
    </row>
    <row r="35" spans="2:50" x14ac:dyDescent="0.4">
      <c r="B35" s="30">
        <v>42935.680555555555</v>
      </c>
      <c r="C35" t="s">
        <v>1430</v>
      </c>
      <c r="D35" t="s">
        <v>477</v>
      </c>
      <c r="E35" t="s">
        <v>582</v>
      </c>
      <c r="F35" t="s">
        <v>604</v>
      </c>
      <c r="G35" s="8" t="s">
        <v>171</v>
      </c>
      <c r="H35" s="8" t="s">
        <v>169</v>
      </c>
      <c r="I35" s="8" t="s">
        <v>505</v>
      </c>
      <c r="J35" t="s">
        <v>94</v>
      </c>
      <c r="K35" t="s">
        <v>1431</v>
      </c>
      <c r="L35" s="22">
        <v>43082.668969907405</v>
      </c>
      <c r="M35" s="109">
        <f xml:space="preserve"> M34+(ckAwdTable[ILN]&lt;"M")</f>
        <v>34</v>
      </c>
      <c r="N35" t="s">
        <v>95</v>
      </c>
      <c r="O35" t="s">
        <v>1012</v>
      </c>
      <c r="P35" s="15" t="str">
        <f>HYPERLINK("https://www.ejacket.nsf.gov/ej/showProposal.do?ID="&amp;ckAwdTable[[#This Row],[prop_id]],"eJ")</f>
        <v>eJ</v>
      </c>
      <c r="Q35" s="8" t="s">
        <v>478</v>
      </c>
      <c r="R35" t="s">
        <v>1012</v>
      </c>
      <c r="S35" t="s">
        <v>1013</v>
      </c>
      <c r="T35" t="s">
        <v>1585</v>
      </c>
      <c r="U35" s="8" t="s">
        <v>1586</v>
      </c>
      <c r="V35" t="s">
        <v>310</v>
      </c>
      <c r="W35" s="113" t="str">
        <f>HYPERLINK("mailto:"&amp; ckAwdTable[[#This Row],[email]]&amp;"&amp;subject=Your NSF Proposal:  "&amp;ckAwdTable[[#This Row],[prop_id]], ckAwdTable[[#This Row],[email]])</f>
        <v>MATTHEW.GIBSON@UTSA.EDU</v>
      </c>
      <c r="X35" s="30">
        <v>43132</v>
      </c>
      <c r="Y35">
        <v>60</v>
      </c>
      <c r="AA35" s="21" t="s">
        <v>13</v>
      </c>
      <c r="AB35" s="21" t="s">
        <v>382</v>
      </c>
      <c r="AC35"/>
      <c r="AD35" s="21" t="s">
        <v>13</v>
      </c>
      <c r="AE35" s="21" t="s">
        <v>506</v>
      </c>
      <c r="AF35" s="13">
        <v>415497</v>
      </c>
      <c r="AG35" s="124">
        <v>0</v>
      </c>
      <c r="AH35" s="1">
        <v>415497</v>
      </c>
      <c r="AI35" s="1"/>
      <c r="AJ35" s="1">
        <v>12250</v>
      </c>
      <c r="AL35" s="1">
        <v>16000</v>
      </c>
      <c r="AM35" s="21">
        <v>5</v>
      </c>
      <c r="AN35" s="21">
        <v>5</v>
      </c>
      <c r="AO35" s="21">
        <v>5</v>
      </c>
      <c r="AP35" s="21"/>
      <c r="AQ35" s="21"/>
      <c r="AR35" s="126" t="s">
        <v>172</v>
      </c>
      <c r="AS35" s="21" t="s">
        <v>493</v>
      </c>
      <c r="AT35" s="21" t="str">
        <f>IFERROR(IF(FIND("?",ckAwdTable[abst_narr_txt]),SummarizeQuestMarks(ckAwdTable[abst_narr_txt]),""),"")</f>
        <v/>
      </c>
      <c r="AU35" s="119"/>
      <c r="AV35" t="s">
        <v>1588</v>
      </c>
      <c r="AW35" t="b">
        <f>AND(ckAwdTable[[#This Row],[ILN]]&gt;"M", SUBSTITUTE(ckAwdTable[[#This Row],[prop_titl_txt]]," ","")&lt;&gt;SUBSTITUTE(AV34," ",""))</f>
        <v>0</v>
      </c>
      <c r="AX35" s="8" t="s">
        <v>1589</v>
      </c>
    </row>
    <row r="36" spans="2:50" x14ac:dyDescent="0.4">
      <c r="B36" s="30">
        <v>42935.680555555555</v>
      </c>
      <c r="C36" t="s">
        <v>1430</v>
      </c>
      <c r="D36" t="s">
        <v>477</v>
      </c>
      <c r="E36" t="s">
        <v>582</v>
      </c>
      <c r="F36" t="s">
        <v>611</v>
      </c>
      <c r="G36" s="8" t="s">
        <v>171</v>
      </c>
      <c r="H36" s="8" t="s">
        <v>169</v>
      </c>
      <c r="I36" s="8" t="s">
        <v>505</v>
      </c>
      <c r="J36" t="s">
        <v>94</v>
      </c>
      <c r="K36" t="s">
        <v>1431</v>
      </c>
      <c r="L36" s="22">
        <v>43082.663263888891</v>
      </c>
      <c r="M36" s="109">
        <f xml:space="preserve"> M35+(ckAwdTable[ILN]&lt;"M")</f>
        <v>35</v>
      </c>
      <c r="N36" t="s">
        <v>95</v>
      </c>
      <c r="O36" t="s">
        <v>1021</v>
      </c>
      <c r="P36" s="15" t="str">
        <f>HYPERLINK("https://www.ejacket.nsf.gov/ej/showProposal.do?ID="&amp;ckAwdTable[[#This Row],[prop_id]],"eJ")</f>
        <v>eJ</v>
      </c>
      <c r="Q36" s="8" t="s">
        <v>478</v>
      </c>
      <c r="R36" t="s">
        <v>1021</v>
      </c>
      <c r="S36" t="s">
        <v>1022</v>
      </c>
      <c r="T36" t="s">
        <v>1590</v>
      </c>
      <c r="U36" s="8" t="s">
        <v>1591</v>
      </c>
      <c r="V36" t="s">
        <v>498</v>
      </c>
      <c r="W36" s="113" t="str">
        <f>HYPERLINK("mailto:"&amp; ckAwdTable[[#This Row],[email]]&amp;"&amp;subject=Your NSF Proposal:  "&amp;ckAwdTable[[#This Row],[prop_id]], ckAwdTable[[#This Row],[email]])</f>
        <v>periklis.research@gmail.com</v>
      </c>
      <c r="X36" s="30">
        <v>43252</v>
      </c>
      <c r="Y36">
        <v>60</v>
      </c>
      <c r="AA36" s="21" t="s">
        <v>13</v>
      </c>
      <c r="AB36" s="21" t="s">
        <v>382</v>
      </c>
      <c r="AC36"/>
      <c r="AD36" s="21" t="s">
        <v>13</v>
      </c>
      <c r="AE36" s="21" t="s">
        <v>2008</v>
      </c>
      <c r="AF36" s="13">
        <v>667571</v>
      </c>
      <c r="AG36" s="124">
        <v>0</v>
      </c>
      <c r="AH36" s="1">
        <v>667571</v>
      </c>
      <c r="AI36" s="1"/>
      <c r="AJ36" s="1">
        <v>25000</v>
      </c>
      <c r="AM36" s="21">
        <v>5</v>
      </c>
      <c r="AN36" s="21">
        <v>5</v>
      </c>
      <c r="AO36" s="21">
        <v>5</v>
      </c>
      <c r="AP36" s="21"/>
      <c r="AQ36" s="21"/>
      <c r="AR36" s="126" t="s">
        <v>172</v>
      </c>
      <c r="AS36" s="21" t="s">
        <v>493</v>
      </c>
      <c r="AT36" s="21" t="str">
        <f>IFERROR(IF(FIND("?",ckAwdTable[abst_narr_txt]),SummarizeQuestMarks(ckAwdTable[abst_narr_txt]),""),"")</f>
        <v/>
      </c>
      <c r="AU36" s="119"/>
      <c r="AV36" t="s">
        <v>1592</v>
      </c>
      <c r="AW36" t="b">
        <f>AND(ckAwdTable[[#This Row],[ILN]]&gt;"M", SUBSTITUTE(ckAwdTable[[#This Row],[prop_titl_txt]]," ","")&lt;&gt;SUBSTITUTE(AV35," ",""))</f>
        <v>0</v>
      </c>
      <c r="AX36" s="8" t="s">
        <v>1301</v>
      </c>
    </row>
    <row r="37" spans="2:50" x14ac:dyDescent="0.4">
      <c r="B37" s="30">
        <v>42935.68472222222</v>
      </c>
      <c r="C37" t="s">
        <v>1430</v>
      </c>
      <c r="D37" t="s">
        <v>477</v>
      </c>
      <c r="E37" t="s">
        <v>582</v>
      </c>
      <c r="F37" t="s">
        <v>611</v>
      </c>
      <c r="G37" s="8" t="s">
        <v>171</v>
      </c>
      <c r="H37" s="8" t="s">
        <v>169</v>
      </c>
      <c r="I37" s="8" t="s">
        <v>505</v>
      </c>
      <c r="J37" t="s">
        <v>94</v>
      </c>
      <c r="K37" t="s">
        <v>1431</v>
      </c>
      <c r="L37" s="22">
        <v>43082.66333333333</v>
      </c>
      <c r="M37" s="109">
        <f xml:space="preserve"> M36+(ckAwdTable[ILN]&lt;"M")</f>
        <v>36</v>
      </c>
      <c r="N37" t="s">
        <v>95</v>
      </c>
      <c r="O37" t="s">
        <v>1030</v>
      </c>
      <c r="P37" s="15" t="str">
        <f>HYPERLINK("https://www.ejacket.nsf.gov/ej/showProposal.do?ID="&amp;ckAwdTable[[#This Row],[prop_id]],"eJ")</f>
        <v>eJ</v>
      </c>
      <c r="Q37" s="8" t="s">
        <v>478</v>
      </c>
      <c r="R37" t="s">
        <v>1030</v>
      </c>
      <c r="S37" t="s">
        <v>1031</v>
      </c>
      <c r="T37" t="s">
        <v>1593</v>
      </c>
      <c r="U37" s="8" t="s">
        <v>1594</v>
      </c>
      <c r="V37" t="s">
        <v>496</v>
      </c>
      <c r="W37" s="113" t="str">
        <f>HYPERLINK("mailto:"&amp; ckAwdTable[[#This Row],[email]]&amp;"&amp;subject=Your NSF Proposal:  "&amp;ckAwdTable[[#This Row],[prop_id]], ckAwdTable[[#This Row],[email]])</f>
        <v>gkatz@drexel.edu</v>
      </c>
      <c r="X37" s="30">
        <v>43132</v>
      </c>
      <c r="Y37">
        <v>60</v>
      </c>
      <c r="AA37" s="21" t="s">
        <v>13</v>
      </c>
      <c r="AB37" s="21" t="s">
        <v>382</v>
      </c>
      <c r="AC37"/>
      <c r="AD37" s="21" t="s">
        <v>13</v>
      </c>
      <c r="AE37" s="21" t="s">
        <v>506</v>
      </c>
      <c r="AF37" s="13">
        <v>559983</v>
      </c>
      <c r="AG37" s="124">
        <v>0</v>
      </c>
      <c r="AH37" s="1">
        <v>559983</v>
      </c>
      <c r="AI37" s="1"/>
      <c r="AJ37" s="1">
        <v>10000</v>
      </c>
      <c r="AM37" s="21">
        <v>5</v>
      </c>
      <c r="AN37" s="21">
        <v>5</v>
      </c>
      <c r="AO37" s="21">
        <v>5</v>
      </c>
      <c r="AP37" s="21"/>
      <c r="AQ37" s="21"/>
      <c r="AR37" s="126" t="s">
        <v>172</v>
      </c>
      <c r="AS37" s="21" t="s">
        <v>493</v>
      </c>
      <c r="AT37" s="21" t="str">
        <f>IFERROR(IF(FIND("?",ckAwdTable[abst_narr_txt]),SummarizeQuestMarks(ckAwdTable[abst_narr_txt]),""),"")</f>
        <v/>
      </c>
      <c r="AU37" s="119"/>
      <c r="AV37" t="s">
        <v>1595</v>
      </c>
      <c r="AW37" t="b">
        <f>AND(ckAwdTable[[#This Row],[ILN]]&gt;"M", SUBSTITUTE(ckAwdTable[[#This Row],[prop_titl_txt]]," ","")&lt;&gt;SUBSTITUTE(AV36," ",""))</f>
        <v>0</v>
      </c>
      <c r="AX37" s="8" t="s">
        <v>1288</v>
      </c>
    </row>
    <row r="38" spans="2:50" x14ac:dyDescent="0.4">
      <c r="B38" s="30">
        <v>42935.69027777778</v>
      </c>
      <c r="C38" t="s">
        <v>1430</v>
      </c>
      <c r="D38" t="s">
        <v>477</v>
      </c>
      <c r="E38" t="s">
        <v>582</v>
      </c>
      <c r="F38" t="s">
        <v>604</v>
      </c>
      <c r="G38" s="8" t="s">
        <v>171</v>
      </c>
      <c r="H38" s="8" t="s">
        <v>169</v>
      </c>
      <c r="I38" s="8" t="s">
        <v>505</v>
      </c>
      <c r="J38" t="s">
        <v>94</v>
      </c>
      <c r="K38" t="s">
        <v>1431</v>
      </c>
      <c r="L38" s="22"/>
      <c r="M38" s="109">
        <f xml:space="preserve"> M37+(ckAwdTable[ILN]&lt;"M")</f>
        <v>37</v>
      </c>
      <c r="N38" t="s">
        <v>95</v>
      </c>
      <c r="O38" t="s">
        <v>1039</v>
      </c>
      <c r="P38" s="15" t="str">
        <f>HYPERLINK("https://www.ejacket.nsf.gov/ej/showProposal.do?ID="&amp;ckAwdTable[[#This Row],[prop_id]],"eJ")</f>
        <v>eJ</v>
      </c>
      <c r="Q38" s="8" t="s">
        <v>478</v>
      </c>
      <c r="R38" t="s">
        <v>1039</v>
      </c>
      <c r="S38" t="s">
        <v>1040</v>
      </c>
      <c r="T38" t="s">
        <v>1534</v>
      </c>
      <c r="U38" s="8" t="s">
        <v>550</v>
      </c>
      <c r="V38" t="s">
        <v>310</v>
      </c>
      <c r="W38" s="113" t="str">
        <f>HYPERLINK("mailto:"&amp; ckAwdTable[[#This Row],[email]]&amp;"&amp;subject=Your NSF Proposal:  "&amp;ckAwdTable[[#This Row],[prop_id]], ckAwdTable[[#This Row],[email]])</f>
        <v>evouga@cs.utexas.edu</v>
      </c>
      <c r="X38" s="30">
        <v>43344</v>
      </c>
      <c r="Y38">
        <v>60</v>
      </c>
      <c r="AA38" s="21" t="s">
        <v>13</v>
      </c>
      <c r="AB38" s="21" t="s">
        <v>382</v>
      </c>
      <c r="AC38"/>
      <c r="AD38" s="21" t="s">
        <v>13</v>
      </c>
      <c r="AE38" s="21" t="s">
        <v>506</v>
      </c>
      <c r="AF38" s="13">
        <v>523537</v>
      </c>
      <c r="AG38" s="124">
        <v>0</v>
      </c>
      <c r="AH38" s="1">
        <v>523537</v>
      </c>
      <c r="AI38" s="1"/>
      <c r="AJ38" s="1">
        <v>15000</v>
      </c>
      <c r="AM38" s="21">
        <v>7</v>
      </c>
      <c r="AN38" s="21">
        <v>5</v>
      </c>
      <c r="AO38" s="21">
        <v>2</v>
      </c>
      <c r="AP38" s="21"/>
      <c r="AQ38" s="21"/>
      <c r="AR38" s="126" t="s">
        <v>172</v>
      </c>
      <c r="AS38" s="21" t="s">
        <v>493</v>
      </c>
      <c r="AT38" s="21" t="str">
        <f>IFERROR(IF(FIND("?",ckAwdTable[abst_narr_txt]),SummarizeQuestMarks(ckAwdTable[abst_narr_txt]),""),"")</f>
        <v/>
      </c>
      <c r="AU38" s="119"/>
      <c r="AV38" t="s">
        <v>1596</v>
      </c>
      <c r="AW38" t="b">
        <f>AND(ckAwdTable[[#This Row],[ILN]]&gt;"M", SUBSTITUTE(ckAwdTable[[#This Row],[prop_titl_txt]]," ","")&lt;&gt;SUBSTITUTE(AV37," ",""))</f>
        <v>0</v>
      </c>
      <c r="AX38" s="8" t="s">
        <v>1597</v>
      </c>
    </row>
    <row r="39" spans="2:50" x14ac:dyDescent="0.4">
      <c r="B39" s="30">
        <v>42935.696527777778</v>
      </c>
      <c r="C39" t="s">
        <v>1430</v>
      </c>
      <c r="D39" t="s">
        <v>477</v>
      </c>
      <c r="E39" t="s">
        <v>582</v>
      </c>
      <c r="F39" t="s">
        <v>604</v>
      </c>
      <c r="G39" s="8" t="s">
        <v>171</v>
      </c>
      <c r="H39" s="8" t="s">
        <v>169</v>
      </c>
      <c r="I39" s="8" t="s">
        <v>505</v>
      </c>
      <c r="J39" t="s">
        <v>94</v>
      </c>
      <c r="K39" t="s">
        <v>1431</v>
      </c>
      <c r="L39" s="22"/>
      <c r="M39" s="109">
        <f xml:space="preserve"> M38+(ckAwdTable[ILN]&lt;"M")</f>
        <v>38</v>
      </c>
      <c r="N39" t="s">
        <v>95</v>
      </c>
      <c r="O39" t="s">
        <v>1048</v>
      </c>
      <c r="P39" s="15" t="str">
        <f>HYPERLINK("https://www.ejacket.nsf.gov/ej/showProposal.do?ID="&amp;ckAwdTable[[#This Row],[prop_id]],"eJ")</f>
        <v>eJ</v>
      </c>
      <c r="Q39" s="8" t="s">
        <v>478</v>
      </c>
      <c r="R39" t="s">
        <v>1048</v>
      </c>
      <c r="S39" t="s">
        <v>1049</v>
      </c>
      <c r="T39" t="s">
        <v>1599</v>
      </c>
      <c r="U39" s="8" t="s">
        <v>1600</v>
      </c>
      <c r="V39" t="s">
        <v>1598</v>
      </c>
      <c r="W39" s="113" t="str">
        <f>HYPERLINK("mailto:"&amp; ckAwdTable[[#This Row],[email]]&amp;"&amp;subject=Your NSF Proposal:  "&amp;ckAwdTable[[#This Row],[prop_id]], ckAwdTable[[#This Row],[email]])</f>
        <v>nayyeria@eecs.oregonstate.edu</v>
      </c>
      <c r="X39" s="30">
        <v>43344</v>
      </c>
      <c r="Y39">
        <v>60</v>
      </c>
      <c r="AA39" s="21" t="s">
        <v>13</v>
      </c>
      <c r="AB39" s="21" t="s">
        <v>382</v>
      </c>
      <c r="AC39"/>
      <c r="AD39" s="21" t="s">
        <v>13</v>
      </c>
      <c r="AE39" s="21" t="s">
        <v>506</v>
      </c>
      <c r="AF39" s="13">
        <v>607459</v>
      </c>
      <c r="AG39" s="124">
        <v>0</v>
      </c>
      <c r="AH39" s="1">
        <v>607459</v>
      </c>
      <c r="AI39" s="1"/>
      <c r="AJ39" s="1">
        <v>23133</v>
      </c>
      <c r="AL39" s="1">
        <v>5500</v>
      </c>
      <c r="AM39" s="21">
        <v>5</v>
      </c>
      <c r="AN39" s="21">
        <v>5</v>
      </c>
      <c r="AO39" s="21">
        <v>4.5</v>
      </c>
      <c r="AP39" s="21"/>
      <c r="AQ39" s="21"/>
      <c r="AR39" s="126" t="s">
        <v>172</v>
      </c>
      <c r="AS39" s="21" t="s">
        <v>493</v>
      </c>
      <c r="AT39" s="21" t="str">
        <f>IFERROR(IF(FIND("?",ckAwdTable[abst_narr_txt]),SummarizeQuestMarks(ckAwdTable[abst_narr_txt]),""),"")</f>
        <v/>
      </c>
      <c r="AU39" s="119"/>
      <c r="AV39" t="s">
        <v>1601</v>
      </c>
      <c r="AW39" t="b">
        <f>AND(ckAwdTable[[#This Row],[ILN]]&gt;"M", SUBSTITUTE(ckAwdTable[[#This Row],[prop_titl_txt]]," ","")&lt;&gt;SUBSTITUTE(AV38," ",""))</f>
        <v>0</v>
      </c>
      <c r="AX39" s="8" t="s">
        <v>1602</v>
      </c>
    </row>
    <row r="40" spans="2:50" x14ac:dyDescent="0.4">
      <c r="B40" s="30">
        <v>42935.70416666667</v>
      </c>
      <c r="C40" t="s">
        <v>1430</v>
      </c>
      <c r="D40" t="s">
        <v>477</v>
      </c>
      <c r="E40" t="s">
        <v>582</v>
      </c>
      <c r="F40" t="s">
        <v>654</v>
      </c>
      <c r="G40" s="8" t="s">
        <v>171</v>
      </c>
      <c r="H40" s="8" t="s">
        <v>169</v>
      </c>
      <c r="I40" s="8" t="s">
        <v>505</v>
      </c>
      <c r="J40" t="s">
        <v>94</v>
      </c>
      <c r="K40" t="s">
        <v>1431</v>
      </c>
      <c r="L40" s="22"/>
      <c r="M40" s="109">
        <f xml:space="preserve"> M39+(ckAwdTable[ILN]&lt;"M")</f>
        <v>39</v>
      </c>
      <c r="N40" t="s">
        <v>95</v>
      </c>
      <c r="O40" t="s">
        <v>1056</v>
      </c>
      <c r="P40" s="15" t="str">
        <f>HYPERLINK("https://www.ejacket.nsf.gov/ej/showProposal.do?ID="&amp;ckAwdTable[[#This Row],[prop_id]],"eJ")</f>
        <v>eJ</v>
      </c>
      <c r="Q40" s="8" t="s">
        <v>478</v>
      </c>
      <c r="R40" t="s">
        <v>1056</v>
      </c>
      <c r="S40" t="s">
        <v>1057</v>
      </c>
      <c r="T40" t="s">
        <v>1604</v>
      </c>
      <c r="U40" s="8" t="s">
        <v>1605</v>
      </c>
      <c r="V40" t="s">
        <v>111</v>
      </c>
      <c r="W40" s="113" t="str">
        <f>HYPERLINK("mailto:"&amp; ckAwdTable[[#This Row],[email]]&amp;"&amp;subject=Your NSF Proposal:  "&amp;ckAwdTable[[#This Row],[prop_id]], ckAwdTable[[#This Row],[email]])</f>
        <v>maxwelly@outlook.com</v>
      </c>
      <c r="X40" s="30">
        <v>43344</v>
      </c>
      <c r="Y40">
        <v>60</v>
      </c>
      <c r="AA40" s="21" t="s">
        <v>13</v>
      </c>
      <c r="AB40" s="21" t="s">
        <v>382</v>
      </c>
      <c r="AC40"/>
      <c r="AD40" s="21" t="s">
        <v>13</v>
      </c>
      <c r="AE40" s="21" t="s">
        <v>506</v>
      </c>
      <c r="AF40" s="13">
        <v>400000</v>
      </c>
      <c r="AG40" s="124">
        <v>0</v>
      </c>
      <c r="AH40" s="1">
        <v>400000</v>
      </c>
      <c r="AI40" s="1"/>
      <c r="AJ40" s="1">
        <v>15000</v>
      </c>
      <c r="AM40" s="21">
        <v>5</v>
      </c>
      <c r="AN40" s="21">
        <v>5</v>
      </c>
      <c r="AO40" s="21">
        <v>2.5</v>
      </c>
      <c r="AP40" s="21"/>
      <c r="AQ40" s="21"/>
      <c r="AR40" s="126" t="s">
        <v>172</v>
      </c>
      <c r="AS40" s="21" t="s">
        <v>493</v>
      </c>
      <c r="AT40" s="21" t="str">
        <f>IFERROR(IF(FIND("?",ckAwdTable[abst_narr_txt]),SummarizeQuestMarks(ckAwdTable[abst_narr_txt]),""),"")</f>
        <v/>
      </c>
      <c r="AU40" s="119"/>
      <c r="AV40" t="s">
        <v>1607</v>
      </c>
      <c r="AW40" t="b">
        <f>AND(ckAwdTable[[#This Row],[ILN]]&gt;"M", SUBSTITUTE(ckAwdTable[[#This Row],[prop_titl_txt]]," ","")&lt;&gt;SUBSTITUTE(AV39," ",""))</f>
        <v>0</v>
      </c>
      <c r="AX40" s="8" t="s">
        <v>1608</v>
      </c>
    </row>
    <row r="41" spans="2:50" x14ac:dyDescent="0.4">
      <c r="B41" s="30">
        <v>42935.717361111114</v>
      </c>
      <c r="C41" t="s">
        <v>1430</v>
      </c>
      <c r="D41" t="s">
        <v>477</v>
      </c>
      <c r="E41" t="s">
        <v>582</v>
      </c>
      <c r="F41" t="s">
        <v>611</v>
      </c>
      <c r="G41" s="8" t="s">
        <v>171</v>
      </c>
      <c r="H41" s="8" t="s">
        <v>169</v>
      </c>
      <c r="I41" s="8" t="s">
        <v>505</v>
      </c>
      <c r="J41" t="s">
        <v>94</v>
      </c>
      <c r="K41" t="s">
        <v>1431</v>
      </c>
      <c r="L41" s="22">
        <v>43082.663402777776</v>
      </c>
      <c r="M41" s="109">
        <f xml:space="preserve"> M40+(ckAwdTable[ILN]&lt;"M")</f>
        <v>40</v>
      </c>
      <c r="N41" t="s">
        <v>95</v>
      </c>
      <c r="O41" t="s">
        <v>1064</v>
      </c>
      <c r="P41" s="15" t="str">
        <f>HYPERLINK("https://www.ejacket.nsf.gov/ej/showProposal.do?ID="&amp;ckAwdTable[[#This Row],[prop_id]],"eJ")</f>
        <v>eJ</v>
      </c>
      <c r="Q41" s="8" t="s">
        <v>478</v>
      </c>
      <c r="R41" t="s">
        <v>1064</v>
      </c>
      <c r="S41" t="s">
        <v>1065</v>
      </c>
      <c r="T41" t="s">
        <v>1609</v>
      </c>
      <c r="U41" s="8" t="s">
        <v>556</v>
      </c>
      <c r="V41" t="s">
        <v>555</v>
      </c>
      <c r="W41" s="113" t="str">
        <f>HYPERLINK("mailto:"&amp; ckAwdTable[[#This Row],[email]]&amp;"&amp;subject=Your NSF Proposal:  "&amp;ckAwdTable[[#This Row],[prop_id]], ckAwdTable[[#This Row],[email]])</f>
        <v>bhaskara@cs.utah.edu</v>
      </c>
      <c r="X41" s="30">
        <v>43313</v>
      </c>
      <c r="Y41">
        <v>60</v>
      </c>
      <c r="AA41" s="21" t="s">
        <v>13</v>
      </c>
      <c r="AB41" s="21" t="s">
        <v>382</v>
      </c>
      <c r="AC41"/>
      <c r="AD41" s="21" t="s">
        <v>13</v>
      </c>
      <c r="AE41" s="21" t="s">
        <v>506</v>
      </c>
      <c r="AF41" s="13">
        <v>536841</v>
      </c>
      <c r="AG41" s="124">
        <v>0</v>
      </c>
      <c r="AH41" s="1">
        <v>536841</v>
      </c>
      <c r="AI41" s="1"/>
      <c r="AJ41" s="1">
        <v>27500</v>
      </c>
      <c r="AL41" s="1">
        <v>20000</v>
      </c>
      <c r="AM41" s="21">
        <v>5</v>
      </c>
      <c r="AN41" s="21">
        <v>5</v>
      </c>
      <c r="AO41" s="21">
        <v>5</v>
      </c>
      <c r="AP41" s="21"/>
      <c r="AQ41" s="21"/>
      <c r="AR41" s="126" t="s">
        <v>172</v>
      </c>
      <c r="AS41" s="21" t="s">
        <v>493</v>
      </c>
      <c r="AT41" s="21" t="str">
        <f>IFERROR(IF(FIND("?",ckAwdTable[abst_narr_txt]),SummarizeQuestMarks(ckAwdTable[abst_narr_txt]),""),"")</f>
        <v/>
      </c>
      <c r="AU41" s="119"/>
      <c r="AV41" t="s">
        <v>1610</v>
      </c>
      <c r="AW41" t="b">
        <f>AND(ckAwdTable[[#This Row],[ILN]]&gt;"M", SUBSTITUTE(ckAwdTable[[#This Row],[prop_titl_txt]]," ","")&lt;&gt;SUBSTITUTE(AV40," ",""))</f>
        <v>0</v>
      </c>
      <c r="AX41" s="8" t="s">
        <v>1611</v>
      </c>
    </row>
    <row r="42" spans="2:50" x14ac:dyDescent="0.4">
      <c r="B42" s="30">
        <v>42935.723611111112</v>
      </c>
      <c r="C42" t="s">
        <v>1430</v>
      </c>
      <c r="D42" t="s">
        <v>477</v>
      </c>
      <c r="E42" t="s">
        <v>582</v>
      </c>
      <c r="F42" t="s">
        <v>611</v>
      </c>
      <c r="G42" s="8" t="s">
        <v>171</v>
      </c>
      <c r="H42" s="8" t="s">
        <v>169</v>
      </c>
      <c r="I42" s="8" t="s">
        <v>505</v>
      </c>
      <c r="J42" t="s">
        <v>94</v>
      </c>
      <c r="K42" t="s">
        <v>1431</v>
      </c>
      <c r="L42" s="22"/>
      <c r="M42" s="109">
        <f xml:space="preserve"> M41+(ckAwdTable[ILN]&lt;"M")</f>
        <v>41</v>
      </c>
      <c r="N42" t="s">
        <v>95</v>
      </c>
      <c r="O42" t="s">
        <v>1073</v>
      </c>
      <c r="P42" s="15" t="str">
        <f>HYPERLINK("https://www.ejacket.nsf.gov/ej/showProposal.do?ID="&amp;ckAwdTable[[#This Row],[prop_id]],"eJ")</f>
        <v>eJ</v>
      </c>
      <c r="Q42" s="8" t="s">
        <v>478</v>
      </c>
      <c r="R42" t="s">
        <v>1073</v>
      </c>
      <c r="S42" t="s">
        <v>1074</v>
      </c>
      <c r="T42" t="s">
        <v>1613</v>
      </c>
      <c r="U42" s="8" t="s">
        <v>1614</v>
      </c>
      <c r="V42" t="s">
        <v>492</v>
      </c>
      <c r="W42" s="113" t="str">
        <f>HYPERLINK("mailto:"&amp; ckAwdTable[[#This Row],[email]]&amp;"&amp;subject=Your NSF Proposal:  "&amp;ckAwdTable[[#This Row],[prop_id]], ckAwdTable[[#This Row],[email]])</f>
        <v>brittany@cs.montana.edu</v>
      </c>
      <c r="X42" s="30">
        <v>43344</v>
      </c>
      <c r="Y42">
        <v>60</v>
      </c>
      <c r="Z42" t="s">
        <v>2009</v>
      </c>
      <c r="AA42" s="21" t="s">
        <v>13</v>
      </c>
      <c r="AB42" s="21" t="s">
        <v>382</v>
      </c>
      <c r="AC42"/>
      <c r="AD42" s="21" t="s">
        <v>13</v>
      </c>
      <c r="AE42" s="21" t="s">
        <v>574</v>
      </c>
      <c r="AF42" s="13">
        <v>552355</v>
      </c>
      <c r="AG42" s="124">
        <v>0</v>
      </c>
      <c r="AH42" s="1">
        <v>552355</v>
      </c>
      <c r="AI42" s="1"/>
      <c r="AJ42" s="1">
        <v>13000</v>
      </c>
      <c r="AM42" s="21">
        <v>12</v>
      </c>
      <c r="AN42" s="21">
        <v>5</v>
      </c>
      <c r="AO42" s="21">
        <v>5</v>
      </c>
      <c r="AP42" s="21"/>
      <c r="AQ42" s="21"/>
      <c r="AR42" s="126" t="s">
        <v>172</v>
      </c>
      <c r="AS42" s="21" t="s">
        <v>493</v>
      </c>
      <c r="AT42" s="21" t="str">
        <f>IFERROR(IF(FIND("?",ckAwdTable[abst_narr_txt]),SummarizeQuestMarks(ckAwdTable[abst_narr_txt]),""),"")</f>
        <v/>
      </c>
      <c r="AU42" s="119"/>
      <c r="AV42" t="s">
        <v>1615</v>
      </c>
      <c r="AW42" t="b">
        <f>AND(ckAwdTable[[#This Row],[ILN]]&gt;"M", SUBSTITUTE(ckAwdTable[[#This Row],[prop_titl_txt]]," ","")&lt;&gt;SUBSTITUTE(AV41," ",""))</f>
        <v>0</v>
      </c>
      <c r="AX42" s="8" t="s">
        <v>1616</v>
      </c>
    </row>
    <row r="43" spans="2:50" x14ac:dyDescent="0.4">
      <c r="B43" s="30">
        <v>42935.851388888892</v>
      </c>
      <c r="C43" t="s">
        <v>1430</v>
      </c>
      <c r="D43" t="s">
        <v>477</v>
      </c>
      <c r="E43" t="s">
        <v>582</v>
      </c>
      <c r="F43" t="s">
        <v>654</v>
      </c>
      <c r="G43" s="8" t="s">
        <v>171</v>
      </c>
      <c r="H43" s="8" t="s">
        <v>169</v>
      </c>
      <c r="I43" s="8" t="s">
        <v>505</v>
      </c>
      <c r="J43" t="s">
        <v>94</v>
      </c>
      <c r="K43" t="s">
        <v>1431</v>
      </c>
      <c r="L43" s="22">
        <v>43082.669027777774</v>
      </c>
      <c r="M43" s="109">
        <f xml:space="preserve"> M42+(ckAwdTable[ILN]&lt;"M")</f>
        <v>42</v>
      </c>
      <c r="N43" t="s">
        <v>95</v>
      </c>
      <c r="O43" t="s">
        <v>1082</v>
      </c>
      <c r="P43" s="15" t="str">
        <f>HYPERLINK("https://www.ejacket.nsf.gov/ej/showProposal.do?ID="&amp;ckAwdTable[[#This Row],[prop_id]],"eJ")</f>
        <v>eJ</v>
      </c>
      <c r="Q43" s="8" t="s">
        <v>478</v>
      </c>
      <c r="R43" t="s">
        <v>1082</v>
      </c>
      <c r="S43" t="s">
        <v>1083</v>
      </c>
      <c r="T43" t="s">
        <v>1617</v>
      </c>
      <c r="U43" s="8" t="s">
        <v>1618</v>
      </c>
      <c r="V43" t="s">
        <v>100</v>
      </c>
      <c r="W43" s="113" t="str">
        <f>HYPERLINK("mailto:"&amp; ckAwdTable[[#This Row],[email]]&amp;"&amp;subject=Your NSF Proposal:  "&amp;ckAwdTable[[#This Row],[prop_id]], ckAwdTable[[#This Row],[email]])</f>
        <v>nodari@hawaii.edu</v>
      </c>
      <c r="X43" s="30">
        <v>43160</v>
      </c>
      <c r="Y43">
        <v>60</v>
      </c>
      <c r="AA43" s="21" t="s">
        <v>13</v>
      </c>
      <c r="AB43" s="21" t="s">
        <v>382</v>
      </c>
      <c r="AC43"/>
      <c r="AD43" s="21" t="s">
        <v>13</v>
      </c>
      <c r="AE43" s="21" t="s">
        <v>506</v>
      </c>
      <c r="AF43" s="13">
        <v>549999</v>
      </c>
      <c r="AG43" s="124">
        <v>0</v>
      </c>
      <c r="AH43" s="1">
        <v>549999</v>
      </c>
      <c r="AI43" s="1"/>
      <c r="AJ43" s="1">
        <v>20000</v>
      </c>
      <c r="AM43" s="21">
        <v>5</v>
      </c>
      <c r="AN43" s="21">
        <v>5</v>
      </c>
      <c r="AO43" s="21">
        <v>5</v>
      </c>
      <c r="AP43" s="21">
        <v>4.5199999999999996</v>
      </c>
      <c r="AQ43" s="21"/>
      <c r="AR43" s="126" t="s">
        <v>172</v>
      </c>
      <c r="AS43" s="21" t="s">
        <v>493</v>
      </c>
      <c r="AT43" s="21" t="str">
        <f>IFERROR(IF(FIND("?",ckAwdTable[abst_narr_txt]),SummarizeQuestMarks(ckAwdTable[abst_narr_txt]),""),"")</f>
        <v/>
      </c>
      <c r="AU43" s="119"/>
      <c r="AV43" t="s">
        <v>1619</v>
      </c>
      <c r="AW43" t="b">
        <f>AND(ckAwdTable[[#This Row],[ILN]]&gt;"M", SUBSTITUTE(ckAwdTable[[#This Row],[prop_titl_txt]]," ","")&lt;&gt;SUBSTITUTE(AV42," ",""))</f>
        <v>0</v>
      </c>
      <c r="AX43" s="8" t="s">
        <v>1620</v>
      </c>
    </row>
    <row r="44" spans="2:50" x14ac:dyDescent="0.4">
      <c r="B44" s="30">
        <v>42950.663888888892</v>
      </c>
      <c r="C44" t="s">
        <v>1621</v>
      </c>
      <c r="D44" t="s">
        <v>1622</v>
      </c>
      <c r="E44" t="s">
        <v>580</v>
      </c>
      <c r="F44" t="s">
        <v>1093</v>
      </c>
      <c r="G44" s="8" t="s">
        <v>171</v>
      </c>
      <c r="H44" s="8" t="s">
        <v>169</v>
      </c>
      <c r="I44" s="8" t="s">
        <v>505</v>
      </c>
      <c r="J44" t="s">
        <v>94</v>
      </c>
      <c r="K44" t="s">
        <v>1623</v>
      </c>
      <c r="L44" s="22"/>
      <c r="M44" s="109">
        <f xml:space="preserve"> M43+(ckAwdTable[ILN]&lt;"M")</f>
        <v>43</v>
      </c>
      <c r="N44" t="s">
        <v>95</v>
      </c>
      <c r="O44" t="s">
        <v>1091</v>
      </c>
      <c r="P44" s="15" t="str">
        <f>HYPERLINK("https://www.ejacket.nsf.gov/ej/showProposal.do?ID="&amp;ckAwdTable[[#This Row],[prop_id]],"eJ")</f>
        <v>eJ</v>
      </c>
      <c r="Q44" s="8" t="s">
        <v>1625</v>
      </c>
      <c r="R44" t="s">
        <v>1091</v>
      </c>
      <c r="S44" t="s">
        <v>1092</v>
      </c>
      <c r="T44" t="s">
        <v>1626</v>
      </c>
      <c r="U44" s="8" t="s">
        <v>552</v>
      </c>
      <c r="V44" t="s">
        <v>498</v>
      </c>
      <c r="W44" s="113" t="str">
        <f>HYPERLINK("mailto:"&amp; ckAwdTable[[#This Row],[email]]&amp;"&amp;subject=Your NSF Proposal:  "&amp;ckAwdTable[[#This Row],[prop_id]], ckAwdTable[[#This Row],[email]])</f>
        <v>ani.majumdar@princeton.edu</v>
      </c>
      <c r="X44" s="30">
        <v>42979</v>
      </c>
      <c r="Y44">
        <v>24</v>
      </c>
      <c r="AA44" s="21" t="s">
        <v>13</v>
      </c>
      <c r="AB44" s="21" t="s">
        <v>382</v>
      </c>
      <c r="AC44"/>
      <c r="AD44" s="21" t="s">
        <v>13</v>
      </c>
      <c r="AF44" s="13">
        <v>175000</v>
      </c>
      <c r="AG44" s="124">
        <v>0</v>
      </c>
      <c r="AH44" s="1">
        <v>175000</v>
      </c>
      <c r="AI44" s="1"/>
      <c r="AJ44" s="1"/>
      <c r="AM44" s="21">
        <v>2</v>
      </c>
      <c r="AN44" s="21"/>
      <c r="AO44" s="21"/>
      <c r="AP44" s="21"/>
      <c r="AQ44" s="21"/>
      <c r="AR44" s="126" t="s">
        <v>172</v>
      </c>
      <c r="AS44" s="21" t="s">
        <v>493</v>
      </c>
      <c r="AT44" s="21" t="str">
        <f>IFERROR(IF(FIND("?",ckAwdTable[abst_narr_txt]),SummarizeQuestMarks(ckAwdTable[abst_narr_txt]),""),"")</f>
        <v/>
      </c>
      <c r="AU44" s="119"/>
      <c r="AV44" t="s">
        <v>1628</v>
      </c>
      <c r="AW44" t="b">
        <f>AND(ckAwdTable[[#This Row],[ILN]]&gt;"M", SUBSTITUTE(ckAwdTable[[#This Row],[prop_titl_txt]]," ","")&lt;&gt;SUBSTITUTE(AV43," ",""))</f>
        <v>0</v>
      </c>
      <c r="AX44" s="8" t="s">
        <v>1629</v>
      </c>
    </row>
    <row r="45" spans="2:50" x14ac:dyDescent="0.4">
      <c r="B45" s="30">
        <v>42954.456944444442</v>
      </c>
      <c r="C45" t="s">
        <v>1621</v>
      </c>
      <c r="D45" t="s">
        <v>477</v>
      </c>
      <c r="E45" t="s">
        <v>578</v>
      </c>
      <c r="F45" t="s">
        <v>611</v>
      </c>
      <c r="G45" s="8" t="s">
        <v>171</v>
      </c>
      <c r="H45" s="8" t="s">
        <v>169</v>
      </c>
      <c r="I45" s="8" t="s">
        <v>505</v>
      </c>
      <c r="J45" t="s">
        <v>94</v>
      </c>
      <c r="K45" t="s">
        <v>1630</v>
      </c>
      <c r="L45" s="22">
        <v>43082.662870370368</v>
      </c>
      <c r="M45" s="109">
        <f xml:space="preserve"> M44+(ckAwdTable[ILN]&lt;"M")</f>
        <v>44</v>
      </c>
      <c r="N45" t="s">
        <v>95</v>
      </c>
      <c r="O45" t="s">
        <v>1118</v>
      </c>
      <c r="P45" s="15" t="str">
        <f>HYPERLINK("https://www.ejacket.nsf.gov/ej/showProposal.do?ID="&amp;ckAwdTable[[#This Row],[prop_id]],"eJ")</f>
        <v>eJ</v>
      </c>
      <c r="Q45" s="8" t="s">
        <v>478</v>
      </c>
      <c r="R45" t="s">
        <v>1118</v>
      </c>
      <c r="S45" t="s">
        <v>1119</v>
      </c>
      <c r="T45" t="s">
        <v>1633</v>
      </c>
      <c r="U45" s="8" t="s">
        <v>1634</v>
      </c>
      <c r="V45" t="s">
        <v>1632</v>
      </c>
      <c r="W45" s="113" t="str">
        <f>HYPERLINK("mailto:"&amp; ckAwdTable[[#This Row],[email]]&amp;"&amp;subject=Your NSF Proposal:  "&amp;ckAwdTable[[#This Row],[prop_id]], ckAwdTable[[#This Row],[email]])</f>
        <v>wtong@georgiasouthern.edu</v>
      </c>
      <c r="X45" s="30">
        <v>43235</v>
      </c>
      <c r="Y45">
        <v>24</v>
      </c>
      <c r="AA45" s="21" t="s">
        <v>13</v>
      </c>
      <c r="AB45" s="21" t="s">
        <v>382</v>
      </c>
      <c r="AC45"/>
      <c r="AD45" s="21" t="s">
        <v>13</v>
      </c>
      <c r="AE45" s="21" t="s">
        <v>2010</v>
      </c>
      <c r="AF45" s="13">
        <v>162689</v>
      </c>
      <c r="AG45" s="124">
        <v>0</v>
      </c>
      <c r="AH45" s="1">
        <v>162689</v>
      </c>
      <c r="AI45" s="1"/>
      <c r="AJ45" s="1">
        <v>8120</v>
      </c>
      <c r="AM45" s="21">
        <v>4</v>
      </c>
      <c r="AN45" s="21"/>
      <c r="AO45" s="21"/>
      <c r="AP45" s="21"/>
      <c r="AQ45" s="21"/>
      <c r="AR45" s="126" t="s">
        <v>172</v>
      </c>
      <c r="AS45" s="21" t="s">
        <v>493</v>
      </c>
      <c r="AT45" s="21" t="str">
        <f>IFERROR(IF(FIND("?",ckAwdTable[abst_narr_txt]),SummarizeQuestMarks(ckAwdTable[abst_narr_txt]),""),"")</f>
        <v/>
      </c>
      <c r="AU45" s="119"/>
      <c r="AV45" t="s">
        <v>1636</v>
      </c>
      <c r="AW45" t="b">
        <f>AND(ckAwdTable[[#This Row],[ILN]]&gt;"M", SUBSTITUTE(ckAwdTable[[#This Row],[prop_titl_txt]]," ","")&lt;&gt;SUBSTITUTE(AV44," ",""))</f>
        <v>0</v>
      </c>
      <c r="AX45" s="8" t="s">
        <v>1637</v>
      </c>
    </row>
    <row r="46" spans="2:50" x14ac:dyDescent="0.4">
      <c r="B46" s="30">
        <v>42954.500694444447</v>
      </c>
      <c r="C46" t="s">
        <v>1621</v>
      </c>
      <c r="D46" t="s">
        <v>477</v>
      </c>
      <c r="E46" t="s">
        <v>578</v>
      </c>
      <c r="F46" t="s">
        <v>654</v>
      </c>
      <c r="G46" s="8" t="s">
        <v>171</v>
      </c>
      <c r="H46" s="8" t="s">
        <v>169</v>
      </c>
      <c r="I46" s="8" t="s">
        <v>505</v>
      </c>
      <c r="J46" t="s">
        <v>94</v>
      </c>
      <c r="K46" t="s">
        <v>1630</v>
      </c>
      <c r="L46" s="22">
        <v>43082.669131944444</v>
      </c>
      <c r="M46" s="109">
        <f xml:space="preserve"> M45+(ckAwdTable[ILN]&lt;"M")</f>
        <v>45</v>
      </c>
      <c r="N46" t="s">
        <v>95</v>
      </c>
      <c r="O46" t="s">
        <v>1126</v>
      </c>
      <c r="P46" s="15" t="str">
        <f>HYPERLINK("https://www.ejacket.nsf.gov/ej/showProposal.do?ID="&amp;ckAwdTable[[#This Row],[prop_id]],"eJ")</f>
        <v>eJ</v>
      </c>
      <c r="Q46" s="8" t="s">
        <v>478</v>
      </c>
      <c r="R46" t="s">
        <v>1126</v>
      </c>
      <c r="S46" t="s">
        <v>631</v>
      </c>
      <c r="T46" t="s">
        <v>1638</v>
      </c>
      <c r="U46" s="8" t="s">
        <v>1634</v>
      </c>
      <c r="V46" t="s">
        <v>1632</v>
      </c>
      <c r="W46" s="113" t="str">
        <f>HYPERLINK("mailto:"&amp; ckAwdTable[[#This Row],[email]]&amp;"&amp;subject=Your NSF Proposal:  "&amp;ckAwdTable[[#This Row],[prop_id]], ckAwdTable[[#This Row],[email]])</f>
        <v>kwang@georgiasouthern.edu</v>
      </c>
      <c r="X46" s="30">
        <v>43101</v>
      </c>
      <c r="Y46">
        <v>24</v>
      </c>
      <c r="AA46" s="21" t="s">
        <v>13</v>
      </c>
      <c r="AB46" s="21" t="s">
        <v>382</v>
      </c>
      <c r="AC46"/>
      <c r="AD46" s="21" t="s">
        <v>13</v>
      </c>
      <c r="AF46" s="13">
        <v>168126</v>
      </c>
      <c r="AG46" s="124">
        <v>0</v>
      </c>
      <c r="AH46" s="1">
        <v>168126</v>
      </c>
      <c r="AI46" s="1"/>
      <c r="AJ46" s="1"/>
      <c r="AM46" s="21">
        <v>4</v>
      </c>
      <c r="AN46" s="21"/>
      <c r="AO46" s="21"/>
      <c r="AP46" s="21"/>
      <c r="AQ46" s="21"/>
      <c r="AR46" s="126" t="s">
        <v>172</v>
      </c>
      <c r="AS46" s="21" t="s">
        <v>493</v>
      </c>
      <c r="AT46" s="21" t="str">
        <f>IFERROR(IF(FIND("?",ckAwdTable[abst_narr_txt]),SummarizeQuestMarks(ckAwdTable[abst_narr_txt]),""),"")</f>
        <v/>
      </c>
      <c r="AU46" s="119"/>
      <c r="AV46" t="s">
        <v>1640</v>
      </c>
      <c r="AW46" t="b">
        <f>AND(ckAwdTable[[#This Row],[ILN]]&gt;"M", SUBSTITUTE(ckAwdTable[[#This Row],[prop_titl_txt]]," ","")&lt;&gt;SUBSTITUTE(AV45," ",""))</f>
        <v>0</v>
      </c>
      <c r="AX46" s="8" t="s">
        <v>1641</v>
      </c>
    </row>
    <row r="47" spans="2:50" x14ac:dyDescent="0.4">
      <c r="B47" s="30">
        <v>42955.429861111108</v>
      </c>
      <c r="C47" t="s">
        <v>1621</v>
      </c>
      <c r="D47" t="s">
        <v>477</v>
      </c>
      <c r="E47" t="s">
        <v>578</v>
      </c>
      <c r="F47" t="s">
        <v>654</v>
      </c>
      <c r="G47" s="8" t="s">
        <v>171</v>
      </c>
      <c r="H47" s="8" t="s">
        <v>169</v>
      </c>
      <c r="I47" s="8" t="s">
        <v>505</v>
      </c>
      <c r="J47" t="s">
        <v>94</v>
      </c>
      <c r="K47" t="s">
        <v>1630</v>
      </c>
      <c r="L47" s="22"/>
      <c r="M47" s="109">
        <f xml:space="preserve"> M46+(ckAwdTable[ILN]&lt;"M")</f>
        <v>46</v>
      </c>
      <c r="N47" t="s">
        <v>95</v>
      </c>
      <c r="O47" t="s">
        <v>1133</v>
      </c>
      <c r="P47" s="15" t="str">
        <f>HYPERLINK("https://www.ejacket.nsf.gov/ej/showProposal.do?ID="&amp;ckAwdTable[[#This Row],[prop_id]],"eJ")</f>
        <v>eJ</v>
      </c>
      <c r="Q47" s="8" t="s">
        <v>478</v>
      </c>
      <c r="R47" t="s">
        <v>1133</v>
      </c>
      <c r="S47" t="s">
        <v>1134</v>
      </c>
      <c r="T47" t="s">
        <v>1642</v>
      </c>
      <c r="U47" s="8" t="s">
        <v>566</v>
      </c>
      <c r="V47" t="s">
        <v>494</v>
      </c>
      <c r="W47" s="113" t="str">
        <f>HYPERLINK("mailto:"&amp; ckAwdTable[[#This Row],[email]]&amp;"&amp;subject=Your NSF Proposal:  "&amp;ckAwdTable[[#This Row],[prop_id]], ckAwdTable[[#This Row],[email]])</f>
        <v>yzhoucs@indiana.edu</v>
      </c>
      <c r="X47" s="30">
        <v>43101</v>
      </c>
      <c r="Y47">
        <v>24</v>
      </c>
      <c r="AA47" s="21" t="s">
        <v>13</v>
      </c>
      <c r="AB47" s="21" t="s">
        <v>382</v>
      </c>
      <c r="AC47"/>
      <c r="AD47" s="21" t="s">
        <v>13</v>
      </c>
      <c r="AE47" s="21" t="s">
        <v>506</v>
      </c>
      <c r="AF47" s="13">
        <v>174974</v>
      </c>
      <c r="AG47" s="124">
        <v>0</v>
      </c>
      <c r="AH47" s="1">
        <v>174974</v>
      </c>
      <c r="AI47" s="1"/>
      <c r="AJ47" s="1">
        <v>8400</v>
      </c>
      <c r="AM47" s="21">
        <v>3</v>
      </c>
      <c r="AN47" s="21"/>
      <c r="AO47" s="21"/>
      <c r="AP47" s="21"/>
      <c r="AQ47" s="21"/>
      <c r="AR47" s="126" t="s">
        <v>172</v>
      </c>
      <c r="AS47" s="21" t="s">
        <v>493</v>
      </c>
      <c r="AT47" s="21" t="str">
        <f>IFERROR(IF(FIND("?",ckAwdTable[abst_narr_txt]),SummarizeQuestMarks(ckAwdTable[abst_narr_txt]),""),"")</f>
        <v/>
      </c>
      <c r="AU47" s="119"/>
      <c r="AV47" t="s">
        <v>1644</v>
      </c>
      <c r="AW47" t="b">
        <f>AND(ckAwdTable[[#This Row],[ILN]]&gt;"M", SUBSTITUTE(ckAwdTable[[#This Row],[prop_titl_txt]]," ","")&lt;&gt;SUBSTITUTE(AV46," ",""))</f>
        <v>0</v>
      </c>
      <c r="AX47" s="8" t="s">
        <v>1645</v>
      </c>
    </row>
    <row r="48" spans="2:50" x14ac:dyDescent="0.4">
      <c r="B48" s="30">
        <v>42955.700694444444</v>
      </c>
      <c r="C48" t="s">
        <v>1621</v>
      </c>
      <c r="D48" t="s">
        <v>477</v>
      </c>
      <c r="E48" t="s">
        <v>578</v>
      </c>
      <c r="F48" t="s">
        <v>611</v>
      </c>
      <c r="G48" s="8" t="s">
        <v>171</v>
      </c>
      <c r="H48" s="8" t="s">
        <v>169</v>
      </c>
      <c r="I48" s="8" t="s">
        <v>505</v>
      </c>
      <c r="J48" t="s">
        <v>94</v>
      </c>
      <c r="K48" t="s">
        <v>1630</v>
      </c>
      <c r="L48" s="22"/>
      <c r="M48" s="109">
        <f xml:space="preserve"> M47+(ckAwdTable[ILN]&lt;"M")</f>
        <v>47</v>
      </c>
      <c r="N48" t="s">
        <v>95</v>
      </c>
      <c r="O48" t="s">
        <v>1141</v>
      </c>
      <c r="P48" s="15" t="str">
        <f>HYPERLINK("https://www.ejacket.nsf.gov/ej/showProposal.do?ID="&amp;ckAwdTable[[#This Row],[prop_id]],"eJ")</f>
        <v>eJ</v>
      </c>
      <c r="Q48" s="8" t="s">
        <v>478</v>
      </c>
      <c r="R48" t="s">
        <v>1141</v>
      </c>
      <c r="S48" t="s">
        <v>965</v>
      </c>
      <c r="T48" t="s">
        <v>1647</v>
      </c>
      <c r="U48" s="8" t="s">
        <v>1477</v>
      </c>
      <c r="V48" t="s">
        <v>306</v>
      </c>
      <c r="W48" s="113" t="str">
        <f>HYPERLINK("mailto:"&amp; ckAwdTable[[#This Row],[email]]&amp;"&amp;subject=Your NSF Proposal:  "&amp;ckAwdTable[[#This Row],[prop_id]], ckAwdTable[[#This Row],[email]])</f>
        <v>jugal@illinois.edu</v>
      </c>
      <c r="X48" s="30">
        <v>43146</v>
      </c>
      <c r="Y48">
        <v>24</v>
      </c>
      <c r="AA48" s="21" t="s">
        <v>13</v>
      </c>
      <c r="AB48" s="21" t="s">
        <v>382</v>
      </c>
      <c r="AC48"/>
      <c r="AD48" s="21" t="s">
        <v>13</v>
      </c>
      <c r="AE48" s="21" t="s">
        <v>506</v>
      </c>
      <c r="AF48" s="13">
        <v>175000</v>
      </c>
      <c r="AG48" s="124">
        <v>0</v>
      </c>
      <c r="AH48" s="1">
        <v>175000</v>
      </c>
      <c r="AI48" s="1"/>
      <c r="AJ48" s="1">
        <v>4000</v>
      </c>
      <c r="AM48" s="21">
        <v>4</v>
      </c>
      <c r="AN48" s="21"/>
      <c r="AO48" s="21"/>
      <c r="AP48" s="21"/>
      <c r="AQ48" s="21"/>
      <c r="AR48" s="126" t="s">
        <v>172</v>
      </c>
      <c r="AS48" s="21" t="s">
        <v>493</v>
      </c>
      <c r="AT48" s="21" t="str">
        <f>IFERROR(IF(FIND("?",ckAwdTable[abst_narr_txt]),SummarizeQuestMarks(ckAwdTable[abst_narr_txt]),""),"")</f>
        <v/>
      </c>
      <c r="AU48" s="119"/>
      <c r="AV48" t="s">
        <v>1649</v>
      </c>
      <c r="AW48" t="b">
        <f>AND(ckAwdTable[[#This Row],[ILN]]&gt;"M", SUBSTITUTE(ckAwdTable[[#This Row],[prop_titl_txt]]," ","")&lt;&gt;SUBSTITUTE(AV47," ",""))</f>
        <v>0</v>
      </c>
      <c r="AX48" s="8" t="s">
        <v>1650</v>
      </c>
    </row>
    <row r="49" spans="1:50" x14ac:dyDescent="0.4">
      <c r="A49" s="30">
        <v>43081.686678240738</v>
      </c>
      <c r="B49" s="30">
        <v>42956.439583333333</v>
      </c>
      <c r="C49" t="s">
        <v>1621</v>
      </c>
      <c r="D49" t="s">
        <v>1622</v>
      </c>
      <c r="E49" t="s">
        <v>580</v>
      </c>
      <c r="F49" t="s">
        <v>2046</v>
      </c>
      <c r="G49" s="8" t="s">
        <v>2073</v>
      </c>
      <c r="H49" s="8" t="s">
        <v>169</v>
      </c>
      <c r="I49" s="8" t="s">
        <v>505</v>
      </c>
      <c r="J49" t="s">
        <v>94</v>
      </c>
      <c r="K49" t="s">
        <v>1623</v>
      </c>
      <c r="L49" s="22">
        <v>43070.440868055557</v>
      </c>
      <c r="M49" s="109">
        <f xml:space="preserve"> M48+(ckAwdTable[ILN]&lt;"M")</f>
        <v>48</v>
      </c>
      <c r="N49" t="s">
        <v>95</v>
      </c>
      <c r="O49" t="s">
        <v>2044</v>
      </c>
      <c r="P49" s="15" t="str">
        <f>HYPERLINK("https://www.ejacket.nsf.gov/ej/showProposal.do?ID="&amp;ckAwdTable[[#This Row],[prop_id]],"eJ")</f>
        <v>eJ</v>
      </c>
      <c r="Q49" s="8" t="s">
        <v>1625</v>
      </c>
      <c r="R49" t="s">
        <v>2044</v>
      </c>
      <c r="S49" t="s">
        <v>2045</v>
      </c>
      <c r="T49" t="s">
        <v>2074</v>
      </c>
      <c r="U49" s="8" t="s">
        <v>497</v>
      </c>
      <c r="V49" t="s">
        <v>496</v>
      </c>
      <c r="W49" s="113" t="str">
        <f>HYPERLINK("mailto:"&amp; ckAwdTable[[#This Row],[email]]&amp;"&amp;subject=Your NSF Proposal:  "&amp;ckAwdTable[[#This Row],[prop_id]], ckAwdTable[[#This Row],[email]])</f>
        <v>feifang@cmu.edu</v>
      </c>
      <c r="X49" s="30">
        <v>43101</v>
      </c>
      <c r="Y49">
        <v>24</v>
      </c>
      <c r="AA49" s="21" t="s">
        <v>13</v>
      </c>
      <c r="AB49" s="21" t="s">
        <v>382</v>
      </c>
      <c r="AC49"/>
      <c r="AD49" s="21" t="s">
        <v>13</v>
      </c>
      <c r="AE49" s="21" t="s">
        <v>506</v>
      </c>
      <c r="AF49" s="13">
        <v>175000</v>
      </c>
      <c r="AG49" s="124">
        <v>0</v>
      </c>
      <c r="AH49" s="1">
        <v>175000</v>
      </c>
      <c r="AI49" s="1"/>
      <c r="AJ49" s="1">
        <v>7798</v>
      </c>
      <c r="AM49" s="21">
        <v>2</v>
      </c>
      <c r="AN49" s="21"/>
      <c r="AO49" s="21"/>
      <c r="AP49" s="21"/>
      <c r="AQ49" s="21"/>
      <c r="AR49" s="126" t="s">
        <v>2076</v>
      </c>
      <c r="AS49" s="21" t="s">
        <v>493</v>
      </c>
      <c r="AT49" s="21" t="str">
        <f>IFERROR(IF(FIND("?",ckAwdTable[abst_narr_txt]),SummarizeQuestMarks(ckAwdTable[abst_narr_txt]),""),"")</f>
        <v/>
      </c>
      <c r="AU49" s="119"/>
      <c r="AV49" t="s">
        <v>2077</v>
      </c>
      <c r="AW49" t="b">
        <f>AND(ckAwdTable[[#This Row],[ILN]]&gt;"M", SUBSTITUTE(ckAwdTable[[#This Row],[prop_titl_txt]]," ","")&lt;&gt;SUBSTITUTE(AV48," ",""))</f>
        <v>0</v>
      </c>
      <c r="AX49" s="8" t="s">
        <v>2078</v>
      </c>
    </row>
    <row r="50" spans="1:50" x14ac:dyDescent="0.4">
      <c r="B50" s="30">
        <v>42956.472222222219</v>
      </c>
      <c r="C50" t="s">
        <v>1621</v>
      </c>
      <c r="D50" t="s">
        <v>477</v>
      </c>
      <c r="E50" t="s">
        <v>578</v>
      </c>
      <c r="F50" t="s">
        <v>604</v>
      </c>
      <c r="G50" s="8" t="s">
        <v>171</v>
      </c>
      <c r="H50" s="8" t="s">
        <v>169</v>
      </c>
      <c r="I50" s="8" t="s">
        <v>505</v>
      </c>
      <c r="J50" t="s">
        <v>94</v>
      </c>
      <c r="K50" t="s">
        <v>1630</v>
      </c>
      <c r="L50" s="22">
        <v>43082.662800925929</v>
      </c>
      <c r="M50" s="109">
        <f xml:space="preserve"> M49+(ckAwdTable[ILN]&lt;"M")</f>
        <v>49</v>
      </c>
      <c r="N50" t="s">
        <v>95</v>
      </c>
      <c r="O50" t="s">
        <v>1147</v>
      </c>
      <c r="P50" s="15" t="str">
        <f>HYPERLINK("https://www.ejacket.nsf.gov/ej/showProposal.do?ID="&amp;ckAwdTable[[#This Row],[prop_id]],"eJ")</f>
        <v>eJ</v>
      </c>
      <c r="Q50" s="8" t="s">
        <v>478</v>
      </c>
      <c r="R50" t="s">
        <v>1147</v>
      </c>
      <c r="S50" t="s">
        <v>1148</v>
      </c>
      <c r="T50" t="s">
        <v>1651</v>
      </c>
      <c r="U50" s="8" t="s">
        <v>558</v>
      </c>
      <c r="V50" t="s">
        <v>557</v>
      </c>
      <c r="W50" s="113" t="str">
        <f>HYPERLINK("mailto:"&amp; ckAwdTable[[#This Row],[email]]&amp;"&amp;subject=Your NSF Proposal:  "&amp;ckAwdTable[[#This Row],[prop_id]], ckAwdTable[[#This Row],[email]])</f>
        <v>hcharkhgard@usf.edu</v>
      </c>
      <c r="X50" s="30">
        <v>43221</v>
      </c>
      <c r="Y50">
        <v>24</v>
      </c>
      <c r="AA50" s="21" t="s">
        <v>13</v>
      </c>
      <c r="AB50" s="21" t="s">
        <v>382</v>
      </c>
      <c r="AC50"/>
      <c r="AD50" s="21" t="s">
        <v>13</v>
      </c>
      <c r="AF50" s="13">
        <v>172682</v>
      </c>
      <c r="AG50" s="124">
        <v>0</v>
      </c>
      <c r="AH50" s="1">
        <v>172682</v>
      </c>
      <c r="AI50" s="1"/>
      <c r="AJ50" s="1"/>
      <c r="AM50" s="21">
        <v>4</v>
      </c>
      <c r="AN50" s="21"/>
      <c r="AO50" s="21"/>
      <c r="AP50" s="21"/>
      <c r="AQ50" s="21"/>
      <c r="AR50" s="126" t="s">
        <v>172</v>
      </c>
      <c r="AS50" s="21" t="s">
        <v>493</v>
      </c>
      <c r="AT50" s="21" t="str">
        <f>IFERROR(IF(FIND("?",ckAwdTable[abst_narr_txt]),SummarizeQuestMarks(ckAwdTable[abst_narr_txt]),""),"")</f>
        <v/>
      </c>
      <c r="AU50" s="119"/>
      <c r="AV50" t="s">
        <v>1653</v>
      </c>
      <c r="AW50" t="b">
        <f>AND(ckAwdTable[[#This Row],[ILN]]&gt;"M", SUBSTITUTE(ckAwdTable[[#This Row],[prop_titl_txt]]," ","")&lt;&gt;SUBSTITUTE(AV49," ",""))</f>
        <v>0</v>
      </c>
      <c r="AX50" s="8" t="s">
        <v>1654</v>
      </c>
    </row>
    <row r="51" spans="1:50" ht="409.6" x14ac:dyDescent="0.4">
      <c r="B51" s="30">
        <v>42956.581944444442</v>
      </c>
      <c r="C51" t="s">
        <v>1621</v>
      </c>
      <c r="D51" t="s">
        <v>477</v>
      </c>
      <c r="E51" t="s">
        <v>578</v>
      </c>
      <c r="F51" t="s">
        <v>654</v>
      </c>
      <c r="G51" s="8" t="s">
        <v>171</v>
      </c>
      <c r="H51" s="8" t="s">
        <v>169</v>
      </c>
      <c r="I51" s="8" t="s">
        <v>505</v>
      </c>
      <c r="J51" t="s">
        <v>94</v>
      </c>
      <c r="K51" t="s">
        <v>1630</v>
      </c>
      <c r="L51" s="22"/>
      <c r="M51" s="109">
        <f xml:space="preserve"> M50+(ckAwdTable[ILN]&lt;"M")</f>
        <v>50</v>
      </c>
      <c r="N51" t="s">
        <v>95</v>
      </c>
      <c r="O51" t="s">
        <v>1155</v>
      </c>
      <c r="P51" s="15" t="str">
        <f>HYPERLINK("https://www.ejacket.nsf.gov/ej/showProposal.do?ID="&amp;ckAwdTable[[#This Row],[prop_id]],"eJ")</f>
        <v>eJ</v>
      </c>
      <c r="Q51" s="8" t="s">
        <v>478</v>
      </c>
      <c r="R51" t="s">
        <v>1155</v>
      </c>
      <c r="S51" t="s">
        <v>1156</v>
      </c>
      <c r="T51" t="s">
        <v>1655</v>
      </c>
      <c r="U51" s="8" t="s">
        <v>1656</v>
      </c>
      <c r="V51" t="s">
        <v>1470</v>
      </c>
      <c r="W51" s="113" t="str">
        <f>HYPERLINK("mailto:"&amp; ckAwdTable[[#This Row],[email]]&amp;"&amp;subject=Your NSF Proposal:  "&amp;ckAwdTable[[#This Row],[prop_id]], ckAwdTable[[#This Row],[email]])</f>
        <v>Mayank.Goswami@qc.cuny.edu</v>
      </c>
      <c r="X51" s="30">
        <v>43344</v>
      </c>
      <c r="Y51">
        <v>24</v>
      </c>
      <c r="AA51" s="21" t="s">
        <v>13</v>
      </c>
      <c r="AB51" s="21" t="s">
        <v>382</v>
      </c>
      <c r="AC51"/>
      <c r="AD51" s="21" t="s">
        <v>13</v>
      </c>
      <c r="AE51" s="21" t="s">
        <v>2011</v>
      </c>
      <c r="AF51" s="13">
        <v>175000</v>
      </c>
      <c r="AG51" s="124">
        <v>0</v>
      </c>
      <c r="AH51" s="1">
        <v>175000</v>
      </c>
      <c r="AI51" s="1"/>
      <c r="AJ51" s="1">
        <v>10000</v>
      </c>
      <c r="AM51" s="21">
        <v>2</v>
      </c>
      <c r="AN51" s="21"/>
      <c r="AO51" s="21"/>
      <c r="AP51" s="21"/>
      <c r="AQ51" s="21"/>
      <c r="AR51" s="126" t="s">
        <v>172</v>
      </c>
      <c r="AS51" s="21" t="s">
        <v>493</v>
      </c>
      <c r="AT51" s="21" t="str">
        <f>IFERROR(IF(FIND("?",ckAwdTable[abst_narr_txt]),SummarizeQuestMarks(ckAwdTable[abst_narr_txt]),""),"")</f>
        <v/>
      </c>
      <c r="AU51" s="119" t="s">
        <v>1160</v>
      </c>
      <c r="AV51" t="s">
        <v>1658</v>
      </c>
      <c r="AW51" t="b">
        <f>AND(ckAwdTable[[#This Row],[ILN]]&gt;"M", SUBSTITUTE(ckAwdTable[[#This Row],[prop_titl_txt]]," ","")&lt;&gt;SUBSTITUTE(AV50," ",""))</f>
        <v>0</v>
      </c>
      <c r="AX51" s="8" t="s">
        <v>1659</v>
      </c>
    </row>
    <row r="52" spans="1:50" x14ac:dyDescent="0.4">
      <c r="B52" s="30">
        <v>42956.588888888888</v>
      </c>
      <c r="C52" t="s">
        <v>1621</v>
      </c>
      <c r="D52" t="s">
        <v>1622</v>
      </c>
      <c r="E52" t="s">
        <v>580</v>
      </c>
      <c r="F52" t="s">
        <v>1166</v>
      </c>
      <c r="G52" s="8" t="s">
        <v>171</v>
      </c>
      <c r="H52" s="8" t="s">
        <v>169</v>
      </c>
      <c r="I52" s="8" t="s">
        <v>505</v>
      </c>
      <c r="J52" t="s">
        <v>94</v>
      </c>
      <c r="K52" t="s">
        <v>1623</v>
      </c>
      <c r="L52" s="22"/>
      <c r="M52" s="109">
        <f xml:space="preserve"> M51+(ckAwdTable[ILN]&lt;"M")</f>
        <v>51</v>
      </c>
      <c r="N52" t="s">
        <v>95</v>
      </c>
      <c r="O52" t="s">
        <v>1164</v>
      </c>
      <c r="P52" s="15" t="str">
        <f>HYPERLINK("https://www.ejacket.nsf.gov/ej/showProposal.do?ID="&amp;ckAwdTable[[#This Row],[prop_id]],"eJ")</f>
        <v>eJ</v>
      </c>
      <c r="Q52" s="8" t="s">
        <v>1625</v>
      </c>
      <c r="R52" t="s">
        <v>1164</v>
      </c>
      <c r="S52" t="s">
        <v>1165</v>
      </c>
      <c r="T52" t="s">
        <v>1660</v>
      </c>
      <c r="U52" s="8" t="s">
        <v>1661</v>
      </c>
      <c r="V52" t="s">
        <v>1632</v>
      </c>
      <c r="W52" s="113" t="str">
        <f>HYPERLINK("mailto:"&amp; ckAwdTable[[#This Row],[email]]&amp;"&amp;subject=Your NSF Proposal:  "&amp;ckAwdTable[[#This Row],[prop_id]], ckAwdTable[[#This Row],[email]])</f>
        <v>tzhao80@gatech.edu</v>
      </c>
      <c r="X52" s="30">
        <v>43235</v>
      </c>
      <c r="Y52">
        <v>24</v>
      </c>
      <c r="AA52" s="21" t="s">
        <v>13</v>
      </c>
      <c r="AB52" s="21" t="s">
        <v>382</v>
      </c>
      <c r="AC52"/>
      <c r="AD52" s="21" t="s">
        <v>13</v>
      </c>
      <c r="AF52" s="13">
        <v>175000</v>
      </c>
      <c r="AG52" s="124">
        <v>0</v>
      </c>
      <c r="AH52" s="1">
        <v>175000</v>
      </c>
      <c r="AI52" s="1"/>
      <c r="AJ52" s="1"/>
      <c r="AM52" s="21">
        <v>6</v>
      </c>
      <c r="AN52" s="21"/>
      <c r="AO52" s="21"/>
      <c r="AP52" s="21"/>
      <c r="AQ52" s="21"/>
      <c r="AR52" s="126" t="s">
        <v>172</v>
      </c>
      <c r="AS52" s="21" t="s">
        <v>493</v>
      </c>
      <c r="AT52" s="21" t="str">
        <f>IFERROR(IF(FIND("?",ckAwdTable[abst_narr_txt]),SummarizeQuestMarks(ckAwdTable[abst_narr_txt]),""),"")</f>
        <v/>
      </c>
      <c r="AU52" s="119"/>
      <c r="AV52" t="s">
        <v>1663</v>
      </c>
      <c r="AW52" t="b">
        <f>AND(ckAwdTable[[#This Row],[ILN]]&gt;"M", SUBSTITUTE(ckAwdTable[[#This Row],[prop_titl_txt]]," ","")&lt;&gt;SUBSTITUTE(AV51," ",""))</f>
        <v>0</v>
      </c>
      <c r="AX52" s="8" t="s">
        <v>1664</v>
      </c>
    </row>
    <row r="53" spans="1:50" x14ac:dyDescent="0.4">
      <c r="B53" s="30">
        <v>42956.621527777781</v>
      </c>
      <c r="C53" t="s">
        <v>1621</v>
      </c>
      <c r="D53" t="s">
        <v>477</v>
      </c>
      <c r="E53" t="s">
        <v>578</v>
      </c>
      <c r="F53" t="s">
        <v>611</v>
      </c>
      <c r="G53" s="8" t="s">
        <v>171</v>
      </c>
      <c r="H53" s="8" t="s">
        <v>169</v>
      </c>
      <c r="I53" s="8" t="s">
        <v>505</v>
      </c>
      <c r="J53" t="s">
        <v>94</v>
      </c>
      <c r="K53" t="s">
        <v>1630</v>
      </c>
      <c r="L53" s="22"/>
      <c r="M53" s="109">
        <f xml:space="preserve"> M52+(ckAwdTable[ILN]&lt;"M")</f>
        <v>52</v>
      </c>
      <c r="N53" t="s">
        <v>95</v>
      </c>
      <c r="O53" t="s">
        <v>1194</v>
      </c>
      <c r="P53" s="15" t="str">
        <f>HYPERLINK("https://www.ejacket.nsf.gov/ej/showProposal.do?ID="&amp;ckAwdTable[[#This Row],[prop_id]],"eJ")</f>
        <v>eJ</v>
      </c>
      <c r="Q53" s="8" t="s">
        <v>478</v>
      </c>
      <c r="R53" t="s">
        <v>1194</v>
      </c>
      <c r="S53" t="s">
        <v>1195</v>
      </c>
      <c r="T53" t="s">
        <v>1666</v>
      </c>
      <c r="U53" s="8" t="s">
        <v>1477</v>
      </c>
      <c r="V53" t="s">
        <v>306</v>
      </c>
      <c r="W53" s="113" t="str">
        <f>HYPERLINK("mailto:"&amp; ckAwdTable[[#This Row],[email]]&amp;"&amp;subject=Your NSF Proposal:  "&amp;ckAwdTable[[#This Row],[prop_id]], ckAwdTable[[#This Row],[email]])</f>
        <v>ruoyus@illinois.edu</v>
      </c>
      <c r="X53" s="30">
        <v>43282</v>
      </c>
      <c r="Y53">
        <v>24</v>
      </c>
      <c r="AA53" s="21" t="s">
        <v>13</v>
      </c>
      <c r="AB53" s="21" t="s">
        <v>382</v>
      </c>
      <c r="AC53"/>
      <c r="AD53" s="21" t="s">
        <v>13</v>
      </c>
      <c r="AE53" s="21" t="s">
        <v>506</v>
      </c>
      <c r="AF53" s="13">
        <v>175000</v>
      </c>
      <c r="AG53" s="124">
        <v>0</v>
      </c>
      <c r="AH53" s="1">
        <v>175000</v>
      </c>
      <c r="AI53" s="1"/>
      <c r="AJ53" s="1">
        <v>4000</v>
      </c>
      <c r="AM53" s="21">
        <v>4</v>
      </c>
      <c r="AN53" s="21"/>
      <c r="AO53" s="21"/>
      <c r="AP53" s="21"/>
      <c r="AQ53" s="21"/>
      <c r="AR53" s="126" t="s">
        <v>172</v>
      </c>
      <c r="AS53" s="21" t="s">
        <v>493</v>
      </c>
      <c r="AT53" s="21" t="str">
        <f>IFERROR(IF(FIND("?",ckAwdTable[abst_narr_txt]),SummarizeQuestMarks(ckAwdTable[abst_narr_txt]),""),"")</f>
        <v/>
      </c>
      <c r="AU53" s="119"/>
      <c r="AV53" t="s">
        <v>1668</v>
      </c>
      <c r="AW53" t="b">
        <f>AND(ckAwdTable[[#This Row],[ILN]]&gt;"M", SUBSTITUTE(ckAwdTable[[#This Row],[prop_titl_txt]]," ","")&lt;&gt;SUBSTITUTE(AV52," ",""))</f>
        <v>0</v>
      </c>
      <c r="AX53" s="8" t="s">
        <v>1669</v>
      </c>
    </row>
    <row r="54" spans="1:50" x14ac:dyDescent="0.4">
      <c r="B54" s="30">
        <v>42956.647916666669</v>
      </c>
      <c r="C54" t="s">
        <v>1621</v>
      </c>
      <c r="D54" t="s">
        <v>477</v>
      </c>
      <c r="E54" t="s">
        <v>578</v>
      </c>
      <c r="F54" t="s">
        <v>604</v>
      </c>
      <c r="G54" s="8" t="s">
        <v>171</v>
      </c>
      <c r="H54" s="8" t="s">
        <v>169</v>
      </c>
      <c r="I54" s="8" t="s">
        <v>505</v>
      </c>
      <c r="J54" t="s">
        <v>94</v>
      </c>
      <c r="K54" t="s">
        <v>1630</v>
      </c>
      <c r="L54" s="22">
        <v>43082.669189814813</v>
      </c>
      <c r="M54" s="109">
        <f xml:space="preserve"> M53+(ckAwdTable[ILN]&lt;"M")</f>
        <v>53</v>
      </c>
      <c r="N54" t="s">
        <v>95</v>
      </c>
      <c r="O54" t="s">
        <v>1201</v>
      </c>
      <c r="P54" s="15" t="str">
        <f>HYPERLINK("https://www.ejacket.nsf.gov/ej/showProposal.do?ID="&amp;ckAwdTable[[#This Row],[prop_id]],"eJ")</f>
        <v>eJ</v>
      </c>
      <c r="Q54" s="8" t="s">
        <v>478</v>
      </c>
      <c r="R54" t="s">
        <v>1201</v>
      </c>
      <c r="S54" t="s">
        <v>1202</v>
      </c>
      <c r="T54" t="s">
        <v>1671</v>
      </c>
      <c r="U54" s="8" t="s">
        <v>1672</v>
      </c>
      <c r="V54" t="s">
        <v>117</v>
      </c>
      <c r="W54" s="113" t="str">
        <f>HYPERLINK("mailto:"&amp; ckAwdTable[[#This Row],[email]]&amp;"&amp;subject=Your NSF Proposal:  "&amp;ckAwdTable[[#This Row],[prop_id]], ckAwdTable[[#This Row],[email]])</f>
        <v>osan@okstate.edu</v>
      </c>
      <c r="X54" s="30">
        <v>43252</v>
      </c>
      <c r="Y54">
        <v>24</v>
      </c>
      <c r="AA54" s="21" t="s">
        <v>13</v>
      </c>
      <c r="AB54" s="21" t="s">
        <v>382</v>
      </c>
      <c r="AC54"/>
      <c r="AD54" s="21" t="s">
        <v>13</v>
      </c>
      <c r="AF54" s="13">
        <v>170144</v>
      </c>
      <c r="AG54" s="124">
        <v>0</v>
      </c>
      <c r="AH54" s="1">
        <v>170144</v>
      </c>
      <c r="AI54" s="1"/>
      <c r="AJ54" s="1"/>
      <c r="AM54" s="21">
        <v>4</v>
      </c>
      <c r="AN54" s="21"/>
      <c r="AO54" s="21"/>
      <c r="AP54" s="21"/>
      <c r="AQ54" s="21"/>
      <c r="AR54" s="126" t="s">
        <v>172</v>
      </c>
      <c r="AS54" s="21" t="s">
        <v>493</v>
      </c>
      <c r="AT54" s="21" t="str">
        <f>IFERROR(IF(FIND("?",ckAwdTable[abst_narr_txt]),SummarizeQuestMarks(ckAwdTable[abst_narr_txt]),""),"")</f>
        <v/>
      </c>
      <c r="AU54" s="119"/>
      <c r="AV54" t="s">
        <v>1674</v>
      </c>
      <c r="AW54" t="b">
        <f>AND(ckAwdTable[[#This Row],[ILN]]&gt;"M", SUBSTITUTE(ckAwdTable[[#This Row],[prop_titl_txt]]," ","")&lt;&gt;SUBSTITUTE(AV53," ",""))</f>
        <v>0</v>
      </c>
      <c r="AX54" s="8" t="s">
        <v>1675</v>
      </c>
    </row>
    <row r="55" spans="1:50" x14ac:dyDescent="0.4">
      <c r="B55" s="30">
        <v>42956.648611111108</v>
      </c>
      <c r="C55" t="s">
        <v>1621</v>
      </c>
      <c r="D55" t="s">
        <v>477</v>
      </c>
      <c r="E55" t="s">
        <v>578</v>
      </c>
      <c r="F55" t="s">
        <v>611</v>
      </c>
      <c r="G55" s="8" t="s">
        <v>171</v>
      </c>
      <c r="H55" s="8" t="s">
        <v>169</v>
      </c>
      <c r="I55" s="8" t="s">
        <v>505</v>
      </c>
      <c r="J55" t="s">
        <v>94</v>
      </c>
      <c r="K55" t="s">
        <v>1630</v>
      </c>
      <c r="L55" s="22">
        <v>43082.662939814814</v>
      </c>
      <c r="M55" s="109">
        <f xml:space="preserve"> M54+(ckAwdTable[ILN]&lt;"M")</f>
        <v>54</v>
      </c>
      <c r="N55" t="s">
        <v>95</v>
      </c>
      <c r="O55" t="s">
        <v>1209</v>
      </c>
      <c r="P55" s="15" t="str">
        <f>HYPERLINK("https://www.ejacket.nsf.gov/ej/showProposal.do?ID="&amp;ckAwdTable[[#This Row],[prop_id]],"eJ")</f>
        <v>eJ</v>
      </c>
      <c r="Q55" s="8" t="s">
        <v>478</v>
      </c>
      <c r="R55" t="s">
        <v>1209</v>
      </c>
      <c r="S55" t="s">
        <v>1210</v>
      </c>
      <c r="T55" t="s">
        <v>1651</v>
      </c>
      <c r="U55" s="8" t="s">
        <v>1676</v>
      </c>
      <c r="V55" t="s">
        <v>1470</v>
      </c>
      <c r="W55" s="113" t="str">
        <f>HYPERLINK("mailto:"&amp; ckAwdTable[[#This Row],[email]]&amp;"&amp;subject=Your NSF Proposal:  "&amp;ckAwdTable[[#This Row],[prop_id]], ckAwdTable[[#This Row],[email]])</f>
        <v>hhvcs@rit.edu</v>
      </c>
      <c r="X55" s="30">
        <v>43344</v>
      </c>
      <c r="Y55">
        <v>24</v>
      </c>
      <c r="AA55" s="21" t="s">
        <v>13</v>
      </c>
      <c r="AB55" s="21" t="s">
        <v>382</v>
      </c>
      <c r="AC55"/>
      <c r="AD55" s="21" t="s">
        <v>13</v>
      </c>
      <c r="AE55" s="21" t="s">
        <v>2012</v>
      </c>
      <c r="AF55" s="13">
        <v>173878</v>
      </c>
      <c r="AG55" s="124">
        <v>0</v>
      </c>
      <c r="AH55" s="1">
        <v>173878</v>
      </c>
      <c r="AI55" s="1"/>
      <c r="AJ55" s="1">
        <v>3000</v>
      </c>
      <c r="AM55" s="21">
        <v>2</v>
      </c>
      <c r="AN55" s="21"/>
      <c r="AO55" s="21"/>
      <c r="AP55" s="21"/>
      <c r="AQ55" s="21"/>
      <c r="AR55" s="126" t="s">
        <v>172</v>
      </c>
      <c r="AS55" s="21" t="s">
        <v>493</v>
      </c>
      <c r="AT55" s="21" t="str">
        <f>IFERROR(IF(FIND("?",ckAwdTable[abst_narr_txt]),SummarizeQuestMarks(ckAwdTable[abst_narr_txt]),""),"")</f>
        <v/>
      </c>
      <c r="AU55" s="119"/>
      <c r="AV55" t="s">
        <v>1678</v>
      </c>
      <c r="AW55" t="b">
        <f>AND(ckAwdTable[[#This Row],[ILN]]&gt;"M", SUBSTITUTE(ckAwdTable[[#This Row],[prop_titl_txt]]," ","")&lt;&gt;SUBSTITUTE(AV54," ",""))</f>
        <v>0</v>
      </c>
      <c r="AX55" s="8" t="s">
        <v>1679</v>
      </c>
    </row>
    <row r="56" spans="1:50" x14ac:dyDescent="0.4">
      <c r="B56" s="30">
        <v>42956.678472222222</v>
      </c>
      <c r="C56" t="s">
        <v>1621</v>
      </c>
      <c r="D56" t="s">
        <v>477</v>
      </c>
      <c r="E56" t="s">
        <v>578</v>
      </c>
      <c r="F56" t="s">
        <v>611</v>
      </c>
      <c r="G56" s="8" t="s">
        <v>171</v>
      </c>
      <c r="H56" s="8" t="s">
        <v>169</v>
      </c>
      <c r="I56" s="8" t="s">
        <v>505</v>
      </c>
      <c r="J56" t="s">
        <v>94</v>
      </c>
      <c r="K56" t="s">
        <v>1630</v>
      </c>
      <c r="L56" s="22"/>
      <c r="M56" s="109">
        <f xml:space="preserve"> M55+(ckAwdTable[ILN]&lt;"M")</f>
        <v>55</v>
      </c>
      <c r="N56" t="s">
        <v>95</v>
      </c>
      <c r="O56" t="s">
        <v>1217</v>
      </c>
      <c r="P56" s="15" t="str">
        <f>HYPERLINK("https://www.ejacket.nsf.gov/ej/showProposal.do?ID="&amp;ckAwdTable[[#This Row],[prop_id]],"eJ")</f>
        <v>eJ</v>
      </c>
      <c r="Q56" s="8" t="s">
        <v>478</v>
      </c>
      <c r="R56" t="s">
        <v>1217</v>
      </c>
      <c r="S56" t="s">
        <v>1218</v>
      </c>
      <c r="T56" t="s">
        <v>1524</v>
      </c>
      <c r="U56" s="8" t="s">
        <v>1477</v>
      </c>
      <c r="V56" t="s">
        <v>306</v>
      </c>
      <c r="W56" s="113" t="str">
        <f>HYPERLINK("mailto:"&amp; ckAwdTable[[#This Row],[email]]&amp;"&amp;subject=Your NSF Proposal:  "&amp;ckAwdTable[[#This Row],[prop_id]], ckAwdTable[[#This Row],[email]])</f>
        <v>miforbes@illinois.edu</v>
      </c>
      <c r="X56" s="30">
        <v>43101</v>
      </c>
      <c r="Y56">
        <v>24</v>
      </c>
      <c r="AA56" s="21" t="s">
        <v>13</v>
      </c>
      <c r="AB56" s="21" t="s">
        <v>382</v>
      </c>
      <c r="AC56"/>
      <c r="AD56" s="21" t="s">
        <v>13</v>
      </c>
      <c r="AE56" s="21" t="s">
        <v>2011</v>
      </c>
      <c r="AF56" s="13">
        <v>175000</v>
      </c>
      <c r="AG56" s="124">
        <v>0</v>
      </c>
      <c r="AH56" s="1">
        <v>175000</v>
      </c>
      <c r="AI56" s="1"/>
      <c r="AJ56" s="1">
        <v>8737</v>
      </c>
      <c r="AM56" s="21">
        <v>2</v>
      </c>
      <c r="AN56" s="21"/>
      <c r="AO56" s="21"/>
      <c r="AP56" s="21"/>
      <c r="AQ56" s="21"/>
      <c r="AR56" s="126" t="s">
        <v>172</v>
      </c>
      <c r="AS56" s="21" t="s">
        <v>493</v>
      </c>
      <c r="AT56" s="21" t="str">
        <f>IFERROR(IF(FIND("?",ckAwdTable[abst_narr_txt]),SummarizeQuestMarks(ckAwdTable[abst_narr_txt]),""),"")</f>
        <v/>
      </c>
      <c r="AU56" s="119"/>
      <c r="AV56" t="s">
        <v>1682</v>
      </c>
      <c r="AW56" t="b">
        <f>AND(ckAwdTable[[#This Row],[ILN]]&gt;"M", SUBSTITUTE(ckAwdTable[[#This Row],[prop_titl_txt]]," ","")&lt;&gt;SUBSTITUTE(AV55," ",""))</f>
        <v>0</v>
      </c>
      <c r="AX56" s="8" t="s">
        <v>1683</v>
      </c>
    </row>
    <row r="57" spans="1:50" x14ac:dyDescent="0.4">
      <c r="B57" s="30">
        <v>42956.695833333331</v>
      </c>
      <c r="C57" t="s">
        <v>1621</v>
      </c>
      <c r="D57" t="s">
        <v>477</v>
      </c>
      <c r="E57" t="s">
        <v>578</v>
      </c>
      <c r="F57" t="s">
        <v>611</v>
      </c>
      <c r="G57" s="8" t="s">
        <v>171</v>
      </c>
      <c r="H57" s="8" t="s">
        <v>169</v>
      </c>
      <c r="I57" s="8" t="s">
        <v>505</v>
      </c>
      <c r="J57" t="s">
        <v>94</v>
      </c>
      <c r="K57" t="s">
        <v>1630</v>
      </c>
      <c r="L57" s="22">
        <v>43082.66300925926</v>
      </c>
      <c r="M57" s="109">
        <f xml:space="preserve"> M56+(ckAwdTable[ILN]&lt;"M")</f>
        <v>56</v>
      </c>
      <c r="N57" t="s">
        <v>95</v>
      </c>
      <c r="O57" t="s">
        <v>1224</v>
      </c>
      <c r="P57" s="15" t="str">
        <f>HYPERLINK("https://www.ejacket.nsf.gov/ej/showProposal.do?ID="&amp;ckAwdTable[[#This Row],[prop_id]],"eJ")</f>
        <v>eJ</v>
      </c>
      <c r="Q57" s="8" t="s">
        <v>478</v>
      </c>
      <c r="R57" t="s">
        <v>1224</v>
      </c>
      <c r="S57" t="s">
        <v>1225</v>
      </c>
      <c r="T57" t="s">
        <v>1684</v>
      </c>
      <c r="U57" s="8" t="s">
        <v>1685</v>
      </c>
      <c r="V57" t="s">
        <v>562</v>
      </c>
      <c r="W57" s="113" t="str">
        <f>HYPERLINK("mailto:"&amp; ckAwdTable[[#This Row],[email]]&amp;"&amp;subject=Your NSF Proposal:  "&amp;ckAwdTable[[#This Row],[prop_id]], ckAwdTable[[#This Row],[email]])</f>
        <v>adres@asu.edu</v>
      </c>
      <c r="X57" s="30">
        <v>43328</v>
      </c>
      <c r="Y57">
        <v>24</v>
      </c>
      <c r="AA57" s="21" t="s">
        <v>13</v>
      </c>
      <c r="AB57" s="21" t="s">
        <v>382</v>
      </c>
      <c r="AC57"/>
      <c r="AD57" s="21" t="s">
        <v>13</v>
      </c>
      <c r="AE57" s="21" t="s">
        <v>2011</v>
      </c>
      <c r="AF57" s="13">
        <v>175000</v>
      </c>
      <c r="AG57" s="124">
        <v>0</v>
      </c>
      <c r="AH57" s="1">
        <v>175000</v>
      </c>
      <c r="AI57" s="1"/>
      <c r="AJ57" s="1">
        <v>6581</v>
      </c>
      <c r="AM57" s="21">
        <v>3</v>
      </c>
      <c r="AN57" s="21"/>
      <c r="AO57" s="21"/>
      <c r="AP57" s="21"/>
      <c r="AQ57" s="21"/>
      <c r="AR57" s="126" t="s">
        <v>172</v>
      </c>
      <c r="AS57" s="21" t="s">
        <v>493</v>
      </c>
      <c r="AT57" s="21" t="str">
        <f>IFERROR(IF(FIND("?",ckAwdTable[abst_narr_txt]),SummarizeQuestMarks(ckAwdTable[abst_narr_txt]),""),"")</f>
        <v/>
      </c>
      <c r="AU57" s="119"/>
      <c r="AV57" t="s">
        <v>1687</v>
      </c>
      <c r="AW57" t="b">
        <f>AND(ckAwdTable[[#This Row],[ILN]]&gt;"M", SUBSTITUTE(ckAwdTable[[#This Row],[prop_titl_txt]]," ","")&lt;&gt;SUBSTITUTE(AV56," ",""))</f>
        <v>0</v>
      </c>
      <c r="AX57" s="8" t="s">
        <v>1688</v>
      </c>
    </row>
    <row r="58" spans="1:50" x14ac:dyDescent="0.4">
      <c r="B58" s="30">
        <v>42956.697222222225</v>
      </c>
      <c r="C58" t="s">
        <v>1621</v>
      </c>
      <c r="D58" t="s">
        <v>477</v>
      </c>
      <c r="E58" t="s">
        <v>578</v>
      </c>
      <c r="F58" t="s">
        <v>604</v>
      </c>
      <c r="G58" s="8" t="s">
        <v>171</v>
      </c>
      <c r="H58" s="8" t="s">
        <v>169</v>
      </c>
      <c r="I58" s="8" t="s">
        <v>505</v>
      </c>
      <c r="J58" t="s">
        <v>94</v>
      </c>
      <c r="K58" t="s">
        <v>1630</v>
      </c>
      <c r="L58" s="22">
        <v>43076.608877314815</v>
      </c>
      <c r="M58" s="109">
        <f xml:space="preserve"> M57+(ckAwdTable[ILN]&lt;"M")</f>
        <v>57</v>
      </c>
      <c r="N58" t="s">
        <v>95</v>
      </c>
      <c r="O58" t="s">
        <v>1232</v>
      </c>
      <c r="P58" s="15" t="str">
        <f>HYPERLINK("https://www.ejacket.nsf.gov/ej/showProposal.do?ID="&amp;ckAwdTable[[#This Row],[prop_id]],"eJ")</f>
        <v>eJ</v>
      </c>
      <c r="Q58" s="8" t="s">
        <v>478</v>
      </c>
      <c r="R58" t="s">
        <v>1232</v>
      </c>
      <c r="S58" t="s">
        <v>1233</v>
      </c>
      <c r="T58" t="s">
        <v>1689</v>
      </c>
      <c r="U58" s="8" t="s">
        <v>1690</v>
      </c>
      <c r="V58" t="s">
        <v>310</v>
      </c>
      <c r="W58" s="113" t="str">
        <f>HYPERLINK("mailto:"&amp; ckAwdTable[[#This Row],[email]]&amp;"&amp;subject=Your NSF Proposal:  "&amp;ckAwdTable[[#This Row],[prop_id]], ckAwdTable[[#This Row],[email]])</f>
        <v>shima.hm@tamu.edu</v>
      </c>
      <c r="X58" s="30">
        <v>43252</v>
      </c>
      <c r="Y58">
        <v>24</v>
      </c>
      <c r="AA58" s="21" t="s">
        <v>13</v>
      </c>
      <c r="AB58" s="21" t="s">
        <v>382</v>
      </c>
      <c r="AC58"/>
      <c r="AD58" s="21" t="s">
        <v>13</v>
      </c>
      <c r="AF58" s="13">
        <v>175000</v>
      </c>
      <c r="AG58" s="124">
        <v>0</v>
      </c>
      <c r="AH58" s="1">
        <v>175000</v>
      </c>
      <c r="AI58" s="1"/>
      <c r="AJ58" s="1"/>
      <c r="AM58" s="21">
        <v>4</v>
      </c>
      <c r="AN58" s="21"/>
      <c r="AO58" s="21"/>
      <c r="AP58" s="21"/>
      <c r="AQ58" s="21"/>
      <c r="AR58" s="126" t="s">
        <v>172</v>
      </c>
      <c r="AS58" s="21" t="s">
        <v>493</v>
      </c>
      <c r="AT58" s="21" t="str">
        <f>IFERROR(IF(FIND("?",ckAwdTable[abst_narr_txt]),SummarizeQuestMarks(ckAwdTable[abst_narr_txt]),""),"")</f>
        <v/>
      </c>
      <c r="AU58" s="119"/>
      <c r="AV58" t="s">
        <v>1692</v>
      </c>
      <c r="AW58" t="b">
        <f>AND(ckAwdTable[[#This Row],[ILN]]&gt;"M", SUBSTITUTE(ckAwdTable[[#This Row],[prop_titl_txt]]," ","")&lt;&gt;SUBSTITUTE(AV57," ",""))</f>
        <v>0</v>
      </c>
      <c r="AX58" s="8" t="s">
        <v>1693</v>
      </c>
    </row>
    <row r="59" spans="1:50" x14ac:dyDescent="0.4">
      <c r="B59" s="30">
        <v>42956.697916666664</v>
      </c>
      <c r="C59" t="s">
        <v>1621</v>
      </c>
      <c r="D59" t="s">
        <v>477</v>
      </c>
      <c r="E59" t="s">
        <v>578</v>
      </c>
      <c r="F59" t="s">
        <v>611</v>
      </c>
      <c r="G59" s="8" t="s">
        <v>171</v>
      </c>
      <c r="H59" s="8" t="s">
        <v>169</v>
      </c>
      <c r="I59" s="8" t="s">
        <v>505</v>
      </c>
      <c r="J59" t="s">
        <v>94</v>
      </c>
      <c r="K59" t="s">
        <v>1630</v>
      </c>
      <c r="L59" s="22"/>
      <c r="M59" s="109">
        <f xml:space="preserve"> M58+(ckAwdTable[ILN]&lt;"M")</f>
        <v>58</v>
      </c>
      <c r="N59" t="s">
        <v>95</v>
      </c>
      <c r="O59" t="s">
        <v>1241</v>
      </c>
      <c r="P59" s="15" t="str">
        <f>HYPERLINK("https://www.ejacket.nsf.gov/ej/showProposal.do?ID="&amp;ckAwdTable[[#This Row],[prop_id]],"eJ")</f>
        <v>eJ</v>
      </c>
      <c r="Q59" s="8" t="s">
        <v>478</v>
      </c>
      <c r="R59" t="s">
        <v>1241</v>
      </c>
      <c r="S59" t="s">
        <v>1031</v>
      </c>
      <c r="T59" t="s">
        <v>1593</v>
      </c>
      <c r="U59" s="8" t="s">
        <v>1594</v>
      </c>
      <c r="V59" t="s">
        <v>496</v>
      </c>
      <c r="W59" s="113" t="str">
        <f>HYPERLINK("mailto:"&amp; ckAwdTable[[#This Row],[email]]&amp;"&amp;subject=Your NSF Proposal:  "&amp;ckAwdTable[[#This Row],[prop_id]], ckAwdTable[[#This Row],[email]])</f>
        <v>gkatz@drexel.edu</v>
      </c>
      <c r="X59" s="30">
        <v>43132</v>
      </c>
      <c r="Y59">
        <v>24</v>
      </c>
      <c r="AA59" s="21" t="s">
        <v>13</v>
      </c>
      <c r="AB59" s="21" t="s">
        <v>382</v>
      </c>
      <c r="AC59"/>
      <c r="AD59" s="21" t="s">
        <v>13</v>
      </c>
      <c r="AE59" s="21" t="s">
        <v>506</v>
      </c>
      <c r="AF59" s="13">
        <v>174930</v>
      </c>
      <c r="AG59" s="124">
        <v>0</v>
      </c>
      <c r="AH59" s="1">
        <v>174930</v>
      </c>
      <c r="AI59" s="1"/>
      <c r="AJ59" s="1">
        <v>9000</v>
      </c>
      <c r="AM59" s="21">
        <v>2</v>
      </c>
      <c r="AN59" s="21"/>
      <c r="AO59" s="21"/>
      <c r="AP59" s="21"/>
      <c r="AQ59" s="21"/>
      <c r="AR59" s="126" t="s">
        <v>172</v>
      </c>
      <c r="AS59" s="21" t="s">
        <v>493</v>
      </c>
      <c r="AT59" s="21" t="str">
        <f>IFERROR(IF(FIND("?",ckAwdTable[abst_narr_txt]),SummarizeQuestMarks(ckAwdTable[abst_narr_txt]),""),"")</f>
        <v/>
      </c>
      <c r="AU59" s="119"/>
      <c r="AV59" t="s">
        <v>1694</v>
      </c>
      <c r="AW59" t="b">
        <f>AND(ckAwdTable[[#This Row],[ILN]]&gt;"M", SUBSTITUTE(ckAwdTable[[#This Row],[prop_titl_txt]]," ","")&lt;&gt;SUBSTITUTE(AV58," ",""))</f>
        <v>0</v>
      </c>
      <c r="AX59" s="8" t="s">
        <v>1288</v>
      </c>
    </row>
    <row r="60" spans="1:50" x14ac:dyDescent="0.4">
      <c r="B60" s="30">
        <v>42956.717361111114</v>
      </c>
      <c r="C60" t="s">
        <v>1621</v>
      </c>
      <c r="D60" t="s">
        <v>477</v>
      </c>
      <c r="E60" t="s">
        <v>578</v>
      </c>
      <c r="F60" t="s">
        <v>604</v>
      </c>
      <c r="G60" s="8" t="s">
        <v>171</v>
      </c>
      <c r="H60" s="8" t="s">
        <v>169</v>
      </c>
      <c r="I60" s="8" t="s">
        <v>505</v>
      </c>
      <c r="J60" t="s">
        <v>94</v>
      </c>
      <c r="K60" t="s">
        <v>1630</v>
      </c>
      <c r="L60" s="22">
        <v>43076.608923611115</v>
      </c>
      <c r="M60" s="109">
        <f xml:space="preserve"> M59+(ckAwdTable[ILN]&lt;"M")</f>
        <v>59</v>
      </c>
      <c r="N60" t="s">
        <v>95</v>
      </c>
      <c r="O60" t="s">
        <v>1247</v>
      </c>
      <c r="P60" s="15" t="str">
        <f>HYPERLINK("https://www.ejacket.nsf.gov/ej/showProposal.do?ID="&amp;ckAwdTable[[#This Row],[prop_id]],"eJ")</f>
        <v>eJ</v>
      </c>
      <c r="Q60" s="8" t="s">
        <v>478</v>
      </c>
      <c r="R60" t="s">
        <v>1247</v>
      </c>
      <c r="S60" t="s">
        <v>1248</v>
      </c>
      <c r="T60" t="s">
        <v>1695</v>
      </c>
      <c r="U60" s="8" t="s">
        <v>1696</v>
      </c>
      <c r="V60" t="s">
        <v>310</v>
      </c>
      <c r="W60" s="113" t="str">
        <f>HYPERLINK("mailto:"&amp; ckAwdTable[[#This Row],[email]]&amp;"&amp;subject=Your NSF Proposal:  "&amp;ckAwdTable[[#This Row],[prop_id]], ckAwdTable[[#This Row],[email]])</f>
        <v>harsha@smu.edu</v>
      </c>
      <c r="X60" s="30">
        <v>43101</v>
      </c>
      <c r="Y60">
        <v>24</v>
      </c>
      <c r="AA60" s="21" t="s">
        <v>13</v>
      </c>
      <c r="AB60" s="21" t="s">
        <v>382</v>
      </c>
      <c r="AC60"/>
      <c r="AD60" s="21" t="s">
        <v>13</v>
      </c>
      <c r="AF60" s="13">
        <v>175000</v>
      </c>
      <c r="AG60" s="124">
        <v>0</v>
      </c>
      <c r="AH60" s="1">
        <v>175000</v>
      </c>
      <c r="AI60" s="1"/>
      <c r="AJ60" s="1"/>
      <c r="AM60" s="21">
        <v>4</v>
      </c>
      <c r="AN60" s="21"/>
      <c r="AO60" s="21"/>
      <c r="AP60" s="21"/>
      <c r="AQ60" s="21"/>
      <c r="AR60" s="126" t="s">
        <v>172</v>
      </c>
      <c r="AS60" s="21" t="s">
        <v>493</v>
      </c>
      <c r="AT60" s="21" t="str">
        <f>IFERROR(IF(FIND("?",ckAwdTable[abst_narr_txt]),SummarizeQuestMarks(ckAwdTable[abst_narr_txt]),""),"")</f>
        <v/>
      </c>
      <c r="AU60" s="119"/>
      <c r="AV60" t="s">
        <v>1698</v>
      </c>
      <c r="AW60" t="b">
        <f>AND(ckAwdTable[[#This Row],[ILN]]&gt;"M", SUBSTITUTE(ckAwdTable[[#This Row],[prop_titl_txt]]," ","")&lt;&gt;SUBSTITUTE(AV59," ",""))</f>
        <v>0</v>
      </c>
      <c r="AX60" s="8" t="s">
        <v>1699</v>
      </c>
    </row>
    <row r="61" spans="1:50" x14ac:dyDescent="0.4">
      <c r="B61" s="30">
        <v>42956.746527777781</v>
      </c>
      <c r="C61" t="s">
        <v>1621</v>
      </c>
      <c r="D61" t="s">
        <v>477</v>
      </c>
      <c r="E61" t="s">
        <v>578</v>
      </c>
      <c r="F61" t="s">
        <v>654</v>
      </c>
      <c r="G61" s="8" t="s">
        <v>171</v>
      </c>
      <c r="H61" s="8" t="s">
        <v>169</v>
      </c>
      <c r="I61" s="8" t="s">
        <v>505</v>
      </c>
      <c r="J61" t="s">
        <v>94</v>
      </c>
      <c r="K61" t="s">
        <v>1630</v>
      </c>
      <c r="L61" s="22"/>
      <c r="M61" s="109">
        <f xml:space="preserve"> M60+(ckAwdTable[ILN]&lt;"M")</f>
        <v>60</v>
      </c>
      <c r="N61" t="s">
        <v>95</v>
      </c>
      <c r="O61" t="s">
        <v>1255</v>
      </c>
      <c r="P61" s="15" t="str">
        <f>HYPERLINK("https://www.ejacket.nsf.gov/ej/showProposal.do?ID="&amp;ckAwdTable[[#This Row],[prop_id]],"eJ")</f>
        <v>eJ</v>
      </c>
      <c r="Q61" s="8" t="s">
        <v>478</v>
      </c>
      <c r="R61" t="s">
        <v>1255</v>
      </c>
      <c r="S61" t="s">
        <v>750</v>
      </c>
      <c r="T61" t="s">
        <v>1700</v>
      </c>
      <c r="U61" s="8" t="s">
        <v>1701</v>
      </c>
      <c r="V61" t="s">
        <v>310</v>
      </c>
      <c r="W61" s="113" t="str">
        <f>HYPERLINK("mailto:"&amp; ckAwdTable[[#This Row],[email]]&amp;"&amp;subject=Your NSF Proposal:  "&amp;ckAwdTable[[#This Row],[prop_id]], ckAwdTable[[#This Row],[email]])</f>
        <v>lchen49@central.uh.edu</v>
      </c>
      <c r="X61" s="30">
        <v>43252</v>
      </c>
      <c r="Y61">
        <v>24</v>
      </c>
      <c r="AA61" s="21" t="s">
        <v>13</v>
      </c>
      <c r="AB61" s="21" t="s">
        <v>382</v>
      </c>
      <c r="AC61"/>
      <c r="AD61" s="21" t="s">
        <v>13</v>
      </c>
      <c r="AE61" s="21" t="s">
        <v>506</v>
      </c>
      <c r="AF61" s="13">
        <v>148477</v>
      </c>
      <c r="AG61" s="124">
        <v>0</v>
      </c>
      <c r="AH61" s="1">
        <v>148477</v>
      </c>
      <c r="AI61" s="1"/>
      <c r="AJ61" s="1">
        <v>7000</v>
      </c>
      <c r="AM61" s="21">
        <v>3</v>
      </c>
      <c r="AN61" s="21"/>
      <c r="AO61" s="21"/>
      <c r="AP61" s="21"/>
      <c r="AQ61" s="21"/>
      <c r="AR61" s="126" t="s">
        <v>172</v>
      </c>
      <c r="AS61" s="21" t="s">
        <v>493</v>
      </c>
      <c r="AT61" s="21" t="str">
        <f>IFERROR(IF(FIND("?",ckAwdTable[abst_narr_txt]),SummarizeQuestMarks(ckAwdTable[abst_narr_txt]),""),"")</f>
        <v/>
      </c>
      <c r="AU61" s="119"/>
      <c r="AV61" t="s">
        <v>1702</v>
      </c>
      <c r="AW61" t="b">
        <f>AND(ckAwdTable[[#This Row],[ILN]]&gt;"M", SUBSTITUTE(ckAwdTable[[#This Row],[prop_titl_txt]]," ","")&lt;&gt;SUBSTITUTE(AV60," ",""))</f>
        <v>0</v>
      </c>
      <c r="AX61" s="8" t="s">
        <v>1703</v>
      </c>
    </row>
    <row r="62" spans="1:50" x14ac:dyDescent="0.4">
      <c r="B62" s="30">
        <v>43003.681944444441</v>
      </c>
      <c r="C62" t="s">
        <v>524</v>
      </c>
      <c r="D62" t="s">
        <v>477</v>
      </c>
      <c r="E62" t="s">
        <v>582</v>
      </c>
      <c r="F62" t="s">
        <v>611</v>
      </c>
      <c r="G62" s="8" t="s">
        <v>171</v>
      </c>
      <c r="H62" s="8" t="s">
        <v>169</v>
      </c>
      <c r="I62" s="8" t="s">
        <v>505</v>
      </c>
      <c r="J62" t="s">
        <v>94</v>
      </c>
      <c r="K62" t="s">
        <v>525</v>
      </c>
      <c r="L62" s="22"/>
      <c r="M62" s="109">
        <f xml:space="preserve"> M61+(ckAwdTable[ILN]&lt;"M")</f>
        <v>61</v>
      </c>
      <c r="N62" t="s">
        <v>491</v>
      </c>
      <c r="O62" t="s">
        <v>1260</v>
      </c>
      <c r="P62" s="15" t="str">
        <f>HYPERLINK("https://www.ejacket.nsf.gov/ej/showProposal.do?ID="&amp;ckAwdTable[[#This Row],[prop_id]],"eJ")</f>
        <v>eJ</v>
      </c>
      <c r="Q62" s="8" t="s">
        <v>478</v>
      </c>
      <c r="R62" t="s">
        <v>1260</v>
      </c>
      <c r="S62" t="s">
        <v>1261</v>
      </c>
      <c r="T62" t="s">
        <v>1705</v>
      </c>
      <c r="U62" s="8" t="s">
        <v>497</v>
      </c>
      <c r="V62" t="s">
        <v>496</v>
      </c>
      <c r="W62" s="113" t="str">
        <f>HYPERLINK("mailto:"&amp; ckAwdTable[[#This Row],[email]]&amp;"&amp;subject=Your NSF Proposal:  "&amp;ckAwdTable[[#This Row],[prop_id]], ckAwdTable[[#This Row],[email]])</f>
        <v>anupamg@cs.cmu.edu</v>
      </c>
      <c r="X62" s="30">
        <v>43344</v>
      </c>
      <c r="Y62">
        <v>48</v>
      </c>
      <c r="AA62" s="21" t="s">
        <v>13</v>
      </c>
      <c r="AB62" s="21" t="s">
        <v>382</v>
      </c>
      <c r="AC62"/>
      <c r="AD62" s="21" t="s">
        <v>13</v>
      </c>
      <c r="AF62" s="13">
        <v>600000</v>
      </c>
      <c r="AG62" s="124">
        <v>0</v>
      </c>
      <c r="AH62" s="1">
        <v>600000</v>
      </c>
      <c r="AI62" s="1"/>
      <c r="AJ62" s="1"/>
      <c r="AM62" s="21">
        <v>4</v>
      </c>
      <c r="AN62" s="21">
        <v>4</v>
      </c>
      <c r="AO62" s="21">
        <v>4</v>
      </c>
      <c r="AP62" s="21"/>
      <c r="AQ62" s="21"/>
      <c r="AR62" s="126" t="s">
        <v>172</v>
      </c>
      <c r="AS62" s="21" t="s">
        <v>493</v>
      </c>
      <c r="AT62" s="21" t="str">
        <f>IFERROR(IF(FIND("?",ckAwdTable[abst_narr_txt]),SummarizeQuestMarks(ckAwdTable[abst_narr_txt]),""),"")</f>
        <v/>
      </c>
      <c r="AU62" s="119"/>
      <c r="AV62" t="s">
        <v>1706</v>
      </c>
      <c r="AW62" t="b">
        <f>AND(ckAwdTable[[#This Row],[ILN]]&gt;"M", SUBSTITUTE(ckAwdTable[[#This Row],[prop_titl_txt]]," ","")&lt;&gt;SUBSTITUTE(AV61," ",""))</f>
        <v>0</v>
      </c>
      <c r="AX62" s="8" t="s">
        <v>1707</v>
      </c>
    </row>
    <row r="63" spans="1:50" x14ac:dyDescent="0.4">
      <c r="B63" s="30">
        <v>43004.43472222222</v>
      </c>
      <c r="C63" t="s">
        <v>524</v>
      </c>
      <c r="D63" t="s">
        <v>477</v>
      </c>
      <c r="E63" t="s">
        <v>582</v>
      </c>
      <c r="F63" t="s">
        <v>611</v>
      </c>
      <c r="G63" s="8" t="s">
        <v>171</v>
      </c>
      <c r="H63" s="8" t="s">
        <v>169</v>
      </c>
      <c r="I63" s="8" t="s">
        <v>505</v>
      </c>
      <c r="J63" t="s">
        <v>94</v>
      </c>
      <c r="K63" t="s">
        <v>525</v>
      </c>
      <c r="L63" s="22"/>
      <c r="M63" s="109">
        <f xml:space="preserve"> M62+(ckAwdTable[ILN]&lt;"M")</f>
        <v>61</v>
      </c>
      <c r="N63" t="s">
        <v>493</v>
      </c>
      <c r="O63" t="s">
        <v>1260</v>
      </c>
      <c r="P63" s="15" t="str">
        <f>HYPERLINK("https://www.ejacket.nsf.gov/ej/showProposal.do?ID="&amp;ckAwdTable[[#This Row],[prop_id]],"eJ")</f>
        <v>eJ</v>
      </c>
      <c r="Q63" s="8" t="s">
        <v>478</v>
      </c>
      <c r="R63" t="s">
        <v>1708</v>
      </c>
      <c r="S63" t="s">
        <v>844</v>
      </c>
      <c r="T63" t="s">
        <v>1516</v>
      </c>
      <c r="U63" s="8" t="s">
        <v>307</v>
      </c>
      <c r="V63" t="s">
        <v>308</v>
      </c>
      <c r="W63" s="113" t="str">
        <f>HYPERLINK("mailto:"&amp; ckAwdTable[[#This Row],[email]]&amp;"&amp;subject=Your NSF Proposal:  "&amp;ckAwdTable[[#This Row],[prop_id]], ckAwdTable[[#This Row],[email]])</f>
        <v>viswa@umich.edu</v>
      </c>
      <c r="X63" s="30">
        <v>43344</v>
      </c>
      <c r="Y63">
        <v>48</v>
      </c>
      <c r="AA63" s="21" t="s">
        <v>13</v>
      </c>
      <c r="AB63" s="21" t="s">
        <v>382</v>
      </c>
      <c r="AC63"/>
      <c r="AD63" s="21" t="s">
        <v>13</v>
      </c>
      <c r="AF63" s="13">
        <v>599999</v>
      </c>
      <c r="AG63" s="124">
        <v>0</v>
      </c>
      <c r="AH63" s="1">
        <v>599999</v>
      </c>
      <c r="AI63" s="1"/>
      <c r="AJ63" s="1"/>
      <c r="AM63" s="21">
        <v>7</v>
      </c>
      <c r="AN63" s="21">
        <v>4</v>
      </c>
      <c r="AO63" s="21"/>
      <c r="AP63" s="21"/>
      <c r="AQ63" s="21">
        <v>4</v>
      </c>
      <c r="AR63" s="126" t="s">
        <v>172</v>
      </c>
      <c r="AS63" s="21" t="s">
        <v>493</v>
      </c>
      <c r="AT63" s="21" t="str">
        <f>IFERROR(IF(FIND("?",ckAwdTable[abst_narr_txt]),SummarizeQuestMarks(ckAwdTable[abst_narr_txt]),""),"")</f>
        <v/>
      </c>
      <c r="AU63" s="119"/>
      <c r="AV63" t="s">
        <v>1706</v>
      </c>
      <c r="AW63" t="b">
        <f>AND(ckAwdTable[[#This Row],[ILN]]&gt;"M", SUBSTITUTE(ckAwdTable[[#This Row],[prop_titl_txt]]," ","")&lt;&gt;SUBSTITUTE(AV62," ",""))</f>
        <v>0</v>
      </c>
      <c r="AX63" s="8" t="s">
        <v>1518</v>
      </c>
    </row>
    <row r="64" spans="1:50" x14ac:dyDescent="0.4">
      <c r="B64" s="30">
        <v>43003.736805555556</v>
      </c>
      <c r="C64" t="s">
        <v>524</v>
      </c>
      <c r="D64" t="s">
        <v>477</v>
      </c>
      <c r="E64" t="s">
        <v>582</v>
      </c>
      <c r="F64" t="s">
        <v>654</v>
      </c>
      <c r="G64" s="8" t="s">
        <v>171</v>
      </c>
      <c r="H64" s="8" t="s">
        <v>169</v>
      </c>
      <c r="I64" s="8" t="s">
        <v>505</v>
      </c>
      <c r="J64" t="s">
        <v>94</v>
      </c>
      <c r="K64" t="s">
        <v>525</v>
      </c>
      <c r="L64" s="22">
        <v>43082.529826388891</v>
      </c>
      <c r="M64" s="109">
        <f xml:space="preserve"> M63+(ckAwdTable[ILN]&lt;"M")</f>
        <v>62</v>
      </c>
      <c r="N64" t="s">
        <v>95</v>
      </c>
      <c r="O64" t="s">
        <v>1279</v>
      </c>
      <c r="P64" s="15" t="str">
        <f>HYPERLINK("https://www.ejacket.nsf.gov/ej/showProposal.do?ID="&amp;ckAwdTable[[#This Row],[prop_id]],"eJ")</f>
        <v>eJ</v>
      </c>
      <c r="Q64" s="8" t="s">
        <v>478</v>
      </c>
      <c r="R64" t="s">
        <v>1279</v>
      </c>
      <c r="S64" t="s">
        <v>1280</v>
      </c>
      <c r="T64" t="s">
        <v>1524</v>
      </c>
      <c r="U64" s="8" t="s">
        <v>1709</v>
      </c>
      <c r="V64" t="s">
        <v>230</v>
      </c>
      <c r="W64" s="113" t="str">
        <f>HYPERLINK("mailto:"&amp; ckAwdTable[[#This Row],[email]]&amp;"&amp;subject=Your NSF Proposal:  "&amp;ckAwdTable[[#This Row],[prop_id]], ckAwdTable[[#This Row],[email]])</f>
        <v>goodrich@acm.org</v>
      </c>
      <c r="X64" s="30">
        <v>43282</v>
      </c>
      <c r="Y64">
        <v>48</v>
      </c>
      <c r="AA64" s="21" t="s">
        <v>13</v>
      </c>
      <c r="AB64" s="21" t="s">
        <v>382</v>
      </c>
      <c r="AC64"/>
      <c r="AD64" s="21" t="s">
        <v>13</v>
      </c>
      <c r="AE64" s="21" t="s">
        <v>506</v>
      </c>
      <c r="AF64" s="13">
        <v>1199544</v>
      </c>
      <c r="AG64" s="124">
        <v>0</v>
      </c>
      <c r="AH64" s="1">
        <v>1199544</v>
      </c>
      <c r="AI64" s="1"/>
      <c r="AJ64" s="1">
        <v>33265</v>
      </c>
      <c r="AM64" s="21">
        <v>8</v>
      </c>
      <c r="AN64" s="21">
        <v>12</v>
      </c>
      <c r="AO64" s="21">
        <v>12</v>
      </c>
      <c r="AP64" s="21"/>
      <c r="AQ64" s="21"/>
      <c r="AR64" s="126" t="s">
        <v>172</v>
      </c>
      <c r="AS64" s="21" t="s">
        <v>493</v>
      </c>
      <c r="AT64" s="21" t="str">
        <f>IFERROR(IF(FIND("?",ckAwdTable[abst_narr_txt]),SummarizeQuestMarks(ckAwdTable[abst_narr_txt]),""),"")</f>
        <v/>
      </c>
      <c r="AU64" s="119"/>
      <c r="AV64" t="s">
        <v>1710</v>
      </c>
      <c r="AW64" t="b">
        <f>AND(ckAwdTable[[#This Row],[ILN]]&gt;"M", SUBSTITUTE(ckAwdTable[[#This Row],[prop_titl_txt]]," ","")&lt;&gt;SUBSTITUTE(AV63," ",""))</f>
        <v>0</v>
      </c>
      <c r="AX64" s="8" t="s">
        <v>1711</v>
      </c>
    </row>
    <row r="65" spans="2:50" x14ac:dyDescent="0.4">
      <c r="B65" s="30">
        <v>43004.474999999999</v>
      </c>
      <c r="C65" t="s">
        <v>524</v>
      </c>
      <c r="D65" t="s">
        <v>477</v>
      </c>
      <c r="E65" t="s">
        <v>582</v>
      </c>
      <c r="F65" t="s">
        <v>611</v>
      </c>
      <c r="G65" s="8" t="s">
        <v>171</v>
      </c>
      <c r="H65" s="8" t="s">
        <v>169</v>
      </c>
      <c r="I65" s="8" t="s">
        <v>505</v>
      </c>
      <c r="J65" t="s">
        <v>94</v>
      </c>
      <c r="K65" t="s">
        <v>525</v>
      </c>
      <c r="L65" s="22"/>
      <c r="M65" s="109">
        <f xml:space="preserve"> M64+(ckAwdTable[ILN]&lt;"M")</f>
        <v>63</v>
      </c>
      <c r="N65" t="s">
        <v>491</v>
      </c>
      <c r="O65" t="s">
        <v>1295</v>
      </c>
      <c r="P65" s="15" t="str">
        <f>HYPERLINK("https://www.ejacket.nsf.gov/ej/showProposal.do?ID="&amp;ckAwdTable[[#This Row],[prop_id]],"eJ")</f>
        <v>eJ</v>
      </c>
      <c r="Q65" s="8" t="s">
        <v>478</v>
      </c>
      <c r="R65" t="s">
        <v>1295</v>
      </c>
      <c r="S65" t="s">
        <v>1296</v>
      </c>
      <c r="T65" t="s">
        <v>1713</v>
      </c>
      <c r="U65" s="8" t="s">
        <v>527</v>
      </c>
      <c r="V65" t="s">
        <v>496</v>
      </c>
      <c r="W65" s="113" t="str">
        <f>HYPERLINK("mailto:"&amp; ckAwdTable[[#This Row],[email]]&amp;"&amp;subject=Your NSF Proposal:  "&amp;ckAwdTable[[#This Row],[prop_id]], ckAwdTable[[#This Row],[email]])</f>
        <v>aaroth@cis.upenn.edu</v>
      </c>
      <c r="X65" s="30">
        <v>43313</v>
      </c>
      <c r="Y65">
        <v>48</v>
      </c>
      <c r="AA65" s="21" t="s">
        <v>13</v>
      </c>
      <c r="AB65" s="21" t="s">
        <v>382</v>
      </c>
      <c r="AC65"/>
      <c r="AD65" s="21" t="s">
        <v>13</v>
      </c>
      <c r="AF65" s="13">
        <v>950000</v>
      </c>
      <c r="AG65" s="124">
        <v>0</v>
      </c>
      <c r="AH65" s="1">
        <v>950000</v>
      </c>
      <c r="AI65" s="1"/>
      <c r="AJ65" s="1"/>
      <c r="AM65" s="21">
        <v>7</v>
      </c>
      <c r="AN65" s="21">
        <v>12</v>
      </c>
      <c r="AO65" s="21">
        <v>7</v>
      </c>
      <c r="AP65" s="21"/>
      <c r="AQ65" s="21"/>
      <c r="AR65" s="126" t="s">
        <v>172</v>
      </c>
      <c r="AS65" s="21" t="s">
        <v>493</v>
      </c>
      <c r="AT65" s="21" t="str">
        <f>IFERROR(IF(FIND("?",ckAwdTable[abst_narr_txt]),SummarizeQuestMarks(ckAwdTable[abst_narr_txt]),""),"")</f>
        <v/>
      </c>
      <c r="AU65" s="119"/>
      <c r="AV65" t="s">
        <v>1715</v>
      </c>
      <c r="AW65" t="b">
        <f>AND(ckAwdTable[[#This Row],[ILN]]&gt;"M", SUBSTITUTE(ckAwdTable[[#This Row],[prop_titl_txt]]," ","")&lt;&gt;SUBSTITUTE(AV64," ",""))</f>
        <v>0</v>
      </c>
      <c r="AX65" s="8" t="s">
        <v>1716</v>
      </c>
    </row>
    <row r="66" spans="2:50" x14ac:dyDescent="0.4">
      <c r="B66" s="30">
        <v>43004.605555555558</v>
      </c>
      <c r="C66" t="s">
        <v>524</v>
      </c>
      <c r="D66" t="s">
        <v>477</v>
      </c>
      <c r="E66" t="s">
        <v>582</v>
      </c>
      <c r="F66" t="s">
        <v>611</v>
      </c>
      <c r="G66" s="8" t="s">
        <v>171</v>
      </c>
      <c r="H66" s="8" t="s">
        <v>169</v>
      </c>
      <c r="I66" s="8" t="s">
        <v>505</v>
      </c>
      <c r="J66" t="s">
        <v>94</v>
      </c>
      <c r="K66" t="s">
        <v>525</v>
      </c>
      <c r="L66" s="22"/>
      <c r="M66" s="109">
        <f xml:space="preserve"> M65+(ckAwdTable[ILN]&lt;"M")</f>
        <v>63</v>
      </c>
      <c r="N66" t="s">
        <v>493</v>
      </c>
      <c r="O66" t="s">
        <v>1295</v>
      </c>
      <c r="P66" s="15" t="str">
        <f>HYPERLINK("https://www.ejacket.nsf.gov/ej/showProposal.do?ID="&amp;ckAwdTable[[#This Row],[prop_id]],"eJ")</f>
        <v>eJ</v>
      </c>
      <c r="Q66" s="8" t="s">
        <v>478</v>
      </c>
      <c r="R66" t="s">
        <v>1717</v>
      </c>
      <c r="S66" t="s">
        <v>1718</v>
      </c>
      <c r="T66" t="s">
        <v>1719</v>
      </c>
      <c r="U66" s="8" t="s">
        <v>499</v>
      </c>
      <c r="V66" t="s">
        <v>310</v>
      </c>
      <c r="W66" s="113" t="str">
        <f>HYPERLINK("mailto:"&amp; ckAwdTable[[#This Row],[email]]&amp;"&amp;subject=Your NSF Proposal:  "&amp;ckAwdTable[[#This Row],[prop_id]], ckAwdTable[[#This Row],[email]])</f>
        <v>Mallesh.Pai@rice.edu</v>
      </c>
      <c r="X66" s="30">
        <v>43313</v>
      </c>
      <c r="Y66">
        <v>48</v>
      </c>
      <c r="AA66" s="21" t="s">
        <v>13</v>
      </c>
      <c r="AB66" s="21" t="s">
        <v>382</v>
      </c>
      <c r="AC66"/>
      <c r="AD66" s="21" t="s">
        <v>13</v>
      </c>
      <c r="AF66" s="13">
        <v>250000</v>
      </c>
      <c r="AG66" s="124">
        <v>0</v>
      </c>
      <c r="AH66" s="1">
        <v>250000</v>
      </c>
      <c r="AI66" s="1"/>
      <c r="AJ66" s="1"/>
      <c r="AM66" s="21">
        <v>4</v>
      </c>
      <c r="AN66" s="21">
        <v>4</v>
      </c>
      <c r="AO66" s="21">
        <v>2</v>
      </c>
      <c r="AP66" s="21"/>
      <c r="AQ66" s="21"/>
      <c r="AR66" s="126" t="s">
        <v>172</v>
      </c>
      <c r="AS66" s="21" t="s">
        <v>493</v>
      </c>
      <c r="AT66" s="21" t="str">
        <f>IFERROR(IF(FIND("?",ckAwdTable[abst_narr_txt]),SummarizeQuestMarks(ckAwdTable[abst_narr_txt]),""),"")</f>
        <v/>
      </c>
      <c r="AU66" s="119"/>
      <c r="AV66" t="s">
        <v>1720</v>
      </c>
      <c r="AW66" t="b">
        <f>AND(ckAwdTable[[#This Row],[ILN]]&gt;"M", SUBSTITUTE(ckAwdTable[[#This Row],[prop_titl_txt]]," ","")&lt;&gt;SUBSTITUTE(AV65," ",""))</f>
        <v>0</v>
      </c>
      <c r="AX66" s="8" t="s">
        <v>1721</v>
      </c>
    </row>
    <row r="67" spans="2:50" x14ac:dyDescent="0.4">
      <c r="B67" s="30">
        <v>43004.490972222222</v>
      </c>
      <c r="C67" t="s">
        <v>524</v>
      </c>
      <c r="D67" t="s">
        <v>477</v>
      </c>
      <c r="E67" t="s">
        <v>582</v>
      </c>
      <c r="F67" t="s">
        <v>611</v>
      </c>
      <c r="G67" s="8" t="s">
        <v>171</v>
      </c>
      <c r="H67" s="8" t="s">
        <v>169</v>
      </c>
      <c r="I67" s="8" t="s">
        <v>505</v>
      </c>
      <c r="J67" t="s">
        <v>94</v>
      </c>
      <c r="K67" t="s">
        <v>525</v>
      </c>
      <c r="L67" s="22"/>
      <c r="M67" s="109">
        <f xml:space="preserve"> M66+(ckAwdTable[ILN]&lt;"M")</f>
        <v>64</v>
      </c>
      <c r="N67" t="s">
        <v>491</v>
      </c>
      <c r="O67" t="s">
        <v>1305</v>
      </c>
      <c r="P67" s="15" t="str">
        <f>HYPERLINK("https://www.ejacket.nsf.gov/ej/showProposal.do?ID="&amp;ckAwdTable[[#This Row],[prop_id]],"eJ")</f>
        <v>eJ</v>
      </c>
      <c r="Q67" s="8" t="s">
        <v>478</v>
      </c>
      <c r="R67" t="s">
        <v>1305</v>
      </c>
      <c r="S67" t="s">
        <v>1306</v>
      </c>
      <c r="T67" t="s">
        <v>1671</v>
      </c>
      <c r="U67" s="8" t="s">
        <v>1465</v>
      </c>
      <c r="V67" t="s">
        <v>230</v>
      </c>
      <c r="W67" s="113" t="str">
        <f>HYPERLINK("mailto:"&amp; ckAwdTable[[#This Row],[email]]&amp;"&amp;subject=Your NSF Proposal:  "&amp;ckAwdTable[[#This Row],[prop_id]], ckAwdTable[[#This Row],[email]])</f>
        <v>omreing@stanford.edu</v>
      </c>
      <c r="X67" s="30">
        <v>43344</v>
      </c>
      <c r="Y67">
        <v>48</v>
      </c>
      <c r="AA67" s="21" t="s">
        <v>13</v>
      </c>
      <c r="AB67" s="21" t="s">
        <v>382</v>
      </c>
      <c r="AC67"/>
      <c r="AD67" s="21" t="s">
        <v>13</v>
      </c>
      <c r="AE67" s="21" t="s">
        <v>506</v>
      </c>
      <c r="AF67" s="13">
        <v>650000</v>
      </c>
      <c r="AG67" s="124">
        <v>0</v>
      </c>
      <c r="AH67" s="1">
        <v>650000</v>
      </c>
      <c r="AI67" s="1"/>
      <c r="AJ67" s="1">
        <v>12000</v>
      </c>
      <c r="AM67" s="21">
        <v>8</v>
      </c>
      <c r="AN67" s="21">
        <v>4</v>
      </c>
      <c r="AO67" s="21">
        <v>4</v>
      </c>
      <c r="AP67" s="21"/>
      <c r="AQ67" s="21"/>
      <c r="AR67" s="126" t="s">
        <v>172</v>
      </c>
      <c r="AS67" s="21" t="s">
        <v>493</v>
      </c>
      <c r="AT67" s="21" t="str">
        <f>IFERROR(IF(FIND("?",ckAwdTable[abst_narr_txt]),SummarizeQuestMarks(ckAwdTable[abst_narr_txt]),""),"")</f>
        <v/>
      </c>
      <c r="AU67" s="119"/>
      <c r="AV67" t="s">
        <v>1723</v>
      </c>
      <c r="AW67" t="b">
        <f>AND(ckAwdTable[[#This Row],[ILN]]&gt;"M", SUBSTITUTE(ckAwdTable[[#This Row],[prop_titl_txt]]," ","")&lt;&gt;SUBSTITUTE(AV66," ",""))</f>
        <v>0</v>
      </c>
      <c r="AX67" s="8" t="s">
        <v>1724</v>
      </c>
    </row>
    <row r="68" spans="2:50" x14ac:dyDescent="0.4">
      <c r="B68" s="30">
        <v>43004.444444444445</v>
      </c>
      <c r="C68" t="s">
        <v>524</v>
      </c>
      <c r="D68" t="s">
        <v>477</v>
      </c>
      <c r="E68" t="s">
        <v>582</v>
      </c>
      <c r="F68" t="s">
        <v>611</v>
      </c>
      <c r="G68" s="8" t="s">
        <v>171</v>
      </c>
      <c r="H68" s="8" t="s">
        <v>169</v>
      </c>
      <c r="I68" s="8" t="s">
        <v>505</v>
      </c>
      <c r="J68" t="s">
        <v>94</v>
      </c>
      <c r="K68" t="s">
        <v>525</v>
      </c>
      <c r="L68" s="22"/>
      <c r="M68" s="109">
        <f xml:space="preserve"> M67+(ckAwdTable[ILN]&lt;"M")</f>
        <v>64</v>
      </c>
      <c r="N68" t="s">
        <v>493</v>
      </c>
      <c r="O68" t="s">
        <v>1305</v>
      </c>
      <c r="P68" s="15" t="str">
        <f>HYPERLINK("https://www.ejacket.nsf.gov/ej/showProposal.do?ID="&amp;ckAwdTable[[#This Row],[prop_id]],"eJ")</f>
        <v>eJ</v>
      </c>
      <c r="Q68" s="8" t="s">
        <v>478</v>
      </c>
      <c r="R68" t="s">
        <v>1725</v>
      </c>
      <c r="S68" t="s">
        <v>1726</v>
      </c>
      <c r="T68" t="s">
        <v>1727</v>
      </c>
      <c r="U68" s="8" t="s">
        <v>1728</v>
      </c>
      <c r="V68" t="s">
        <v>231</v>
      </c>
      <c r="W68" s="113" t="str">
        <f>HYPERLINK("mailto:"&amp; ckAwdTable[[#This Row],[email]]&amp;"&amp;subject=Your NSF Proposal:  "&amp;ckAwdTable[[#This Row],[prop_id]], ckAwdTable[[#This Row],[email]])</f>
        <v>salil_vadhan@harvard.edu</v>
      </c>
      <c r="X68" s="30">
        <v>43344</v>
      </c>
      <c r="Y68">
        <v>48</v>
      </c>
      <c r="AA68" s="21" t="s">
        <v>13</v>
      </c>
      <c r="AB68" s="21" t="s">
        <v>382</v>
      </c>
      <c r="AC68"/>
      <c r="AD68" s="21" t="s">
        <v>13</v>
      </c>
      <c r="AE68" s="21" t="s">
        <v>506</v>
      </c>
      <c r="AF68" s="13">
        <v>550000</v>
      </c>
      <c r="AG68" s="124">
        <v>0</v>
      </c>
      <c r="AH68" s="1">
        <v>550000</v>
      </c>
      <c r="AI68" s="1"/>
      <c r="AJ68" s="1">
        <v>14200</v>
      </c>
      <c r="AM68" s="21">
        <v>5</v>
      </c>
      <c r="AN68" s="21">
        <v>4</v>
      </c>
      <c r="AO68" s="21"/>
      <c r="AP68" s="21"/>
      <c r="AQ68" s="21">
        <v>4</v>
      </c>
      <c r="AR68" s="126" t="s">
        <v>172</v>
      </c>
      <c r="AS68" s="21" t="s">
        <v>493</v>
      </c>
      <c r="AT68" s="21" t="str">
        <f>IFERROR(IF(FIND("?",ckAwdTable[abst_narr_txt]),SummarizeQuestMarks(ckAwdTable[abst_narr_txt]),""),"")</f>
        <v/>
      </c>
      <c r="AU68" s="119"/>
      <c r="AV68" t="s">
        <v>1729</v>
      </c>
      <c r="AW68" t="b">
        <f>AND(ckAwdTable[[#This Row],[ILN]]&gt;"M", SUBSTITUTE(ckAwdTable[[#This Row],[prop_titl_txt]]," ","")&lt;&gt;SUBSTITUTE(AV67," ",""))</f>
        <v>0</v>
      </c>
      <c r="AX68" s="8" t="s">
        <v>1730</v>
      </c>
    </row>
    <row r="69" spans="2:50" x14ac:dyDescent="0.4">
      <c r="B69" s="30">
        <v>43004.497916666667</v>
      </c>
      <c r="C69" t="s">
        <v>524</v>
      </c>
      <c r="D69" t="s">
        <v>477</v>
      </c>
      <c r="E69" t="s">
        <v>582</v>
      </c>
      <c r="F69" t="s">
        <v>611</v>
      </c>
      <c r="G69" s="8" t="s">
        <v>171</v>
      </c>
      <c r="H69" s="8" t="s">
        <v>169</v>
      </c>
      <c r="I69" s="8" t="s">
        <v>505</v>
      </c>
      <c r="J69" t="s">
        <v>94</v>
      </c>
      <c r="K69" t="s">
        <v>525</v>
      </c>
      <c r="L69" s="22"/>
      <c r="M69" s="109">
        <f xml:space="preserve"> M68+(ckAwdTable[ILN]&lt;"M")</f>
        <v>65</v>
      </c>
      <c r="N69" t="s">
        <v>491</v>
      </c>
      <c r="O69" t="s">
        <v>1315</v>
      </c>
      <c r="P69" s="15" t="str">
        <f>HYPERLINK("https://www.ejacket.nsf.gov/ej/showProposal.do?ID="&amp;ckAwdTable[[#This Row],[prop_id]],"eJ")</f>
        <v>eJ</v>
      </c>
      <c r="Q69" s="8" t="s">
        <v>478</v>
      </c>
      <c r="R69" t="s">
        <v>1315</v>
      </c>
      <c r="S69" t="s">
        <v>1296</v>
      </c>
      <c r="T69" t="s">
        <v>1713</v>
      </c>
      <c r="U69" s="8" t="s">
        <v>527</v>
      </c>
      <c r="V69" t="s">
        <v>496</v>
      </c>
      <c r="W69" s="113" t="str">
        <f>HYPERLINK("mailto:"&amp; ckAwdTable[[#This Row],[email]]&amp;"&amp;subject=Your NSF Proposal:  "&amp;ckAwdTable[[#This Row],[prop_id]], ckAwdTable[[#This Row],[email]])</f>
        <v>aaroth@cis.upenn.edu</v>
      </c>
      <c r="X69" s="30">
        <v>43313</v>
      </c>
      <c r="Y69">
        <v>36</v>
      </c>
      <c r="AA69" s="21" t="s">
        <v>13</v>
      </c>
      <c r="AB69" s="21" t="s">
        <v>382</v>
      </c>
      <c r="AC69"/>
      <c r="AD69" s="21" t="s">
        <v>13</v>
      </c>
      <c r="AF69" s="13">
        <v>378000</v>
      </c>
      <c r="AG69" s="124">
        <v>0</v>
      </c>
      <c r="AH69" s="1">
        <v>378000</v>
      </c>
      <c r="AI69" s="1"/>
      <c r="AJ69" s="1"/>
      <c r="AM69" s="21">
        <v>3</v>
      </c>
      <c r="AN69" s="21">
        <v>6</v>
      </c>
      <c r="AO69" s="21">
        <v>3.93</v>
      </c>
      <c r="AP69" s="21"/>
      <c r="AQ69" s="21"/>
      <c r="AR69" s="126" t="s">
        <v>172</v>
      </c>
      <c r="AS69" s="21" t="s">
        <v>493</v>
      </c>
      <c r="AT69" s="21" t="str">
        <f>IFERROR(IF(FIND("?",ckAwdTable[abst_narr_txt]),SummarizeQuestMarks(ckAwdTable[abst_narr_txt]),""),"")</f>
        <v/>
      </c>
      <c r="AU69" s="119"/>
      <c r="AV69" t="s">
        <v>1732</v>
      </c>
      <c r="AW69" t="b">
        <f>AND(ckAwdTable[[#This Row],[ILN]]&gt;"M", SUBSTITUTE(ckAwdTable[[#This Row],[prop_titl_txt]]," ","")&lt;&gt;SUBSTITUTE(AV68," ",""))</f>
        <v>0</v>
      </c>
      <c r="AX69" s="8" t="s">
        <v>1716</v>
      </c>
    </row>
    <row r="70" spans="2:50" x14ac:dyDescent="0.4">
      <c r="B70" s="30">
        <v>43003.538194444445</v>
      </c>
      <c r="C70" t="s">
        <v>524</v>
      </c>
      <c r="D70" t="s">
        <v>477</v>
      </c>
      <c r="E70" t="s">
        <v>582</v>
      </c>
      <c r="F70" t="s">
        <v>611</v>
      </c>
      <c r="G70" s="8" t="s">
        <v>171</v>
      </c>
      <c r="H70" s="8" t="s">
        <v>169</v>
      </c>
      <c r="I70" s="8" t="s">
        <v>505</v>
      </c>
      <c r="J70" t="s">
        <v>94</v>
      </c>
      <c r="K70" t="s">
        <v>525</v>
      </c>
      <c r="L70" s="22"/>
      <c r="M70" s="109">
        <f xml:space="preserve"> M69+(ckAwdTable[ILN]&lt;"M")</f>
        <v>65</v>
      </c>
      <c r="N70" t="s">
        <v>493</v>
      </c>
      <c r="O70" t="s">
        <v>1315</v>
      </c>
      <c r="P70" s="15" t="str">
        <f>HYPERLINK("https://www.ejacket.nsf.gov/ej/showProposal.do?ID="&amp;ckAwdTable[[#This Row],[prop_id]],"eJ")</f>
        <v>eJ</v>
      </c>
      <c r="Q70" s="8" t="s">
        <v>478</v>
      </c>
      <c r="R70" t="s">
        <v>1733</v>
      </c>
      <c r="S70" t="s">
        <v>1734</v>
      </c>
      <c r="T70" t="s">
        <v>1735</v>
      </c>
      <c r="U70" s="8" t="s">
        <v>1465</v>
      </c>
      <c r="V70" t="s">
        <v>230</v>
      </c>
      <c r="W70" s="113" t="str">
        <f>HYPERLINK("mailto:"&amp; ckAwdTable[[#This Row],[email]]&amp;"&amp;subject=Your NSF Proposal:  "&amp;ckAwdTable[[#This Row],[prop_id]], ckAwdTable[[#This Row],[email]])</f>
        <v>jamesz@stanford.edu</v>
      </c>
      <c r="X70" s="30">
        <v>43313</v>
      </c>
      <c r="Y70">
        <v>36</v>
      </c>
      <c r="AA70" s="21" t="s">
        <v>13</v>
      </c>
      <c r="AB70" s="21" t="s">
        <v>382</v>
      </c>
      <c r="AC70"/>
      <c r="AD70" s="21" t="s">
        <v>13</v>
      </c>
      <c r="AF70" s="13">
        <v>276000</v>
      </c>
      <c r="AG70" s="124">
        <v>0</v>
      </c>
      <c r="AH70" s="1">
        <v>276000</v>
      </c>
      <c r="AI70" s="1"/>
      <c r="AJ70" s="1"/>
      <c r="AM70" s="21">
        <v>3</v>
      </c>
      <c r="AN70" s="21">
        <v>3</v>
      </c>
      <c r="AO70" s="21"/>
      <c r="AP70" s="21"/>
      <c r="AQ70" s="21">
        <v>2.88</v>
      </c>
      <c r="AR70" s="126" t="s">
        <v>172</v>
      </c>
      <c r="AS70" s="21" t="s">
        <v>493</v>
      </c>
      <c r="AT70" s="21" t="str">
        <f>IFERROR(IF(FIND("?",ckAwdTable[abst_narr_txt]),SummarizeQuestMarks(ckAwdTable[abst_narr_txt]),""),"")</f>
        <v/>
      </c>
      <c r="AU70" s="119"/>
      <c r="AV70" t="s">
        <v>1732</v>
      </c>
      <c r="AW70" t="b">
        <f>AND(ckAwdTable[[#This Row],[ILN]]&gt;"M", SUBSTITUTE(ckAwdTable[[#This Row],[prop_titl_txt]]," ","")&lt;&gt;SUBSTITUTE(AV69," ",""))</f>
        <v>0</v>
      </c>
      <c r="AX70" s="8" t="s">
        <v>1736</v>
      </c>
    </row>
    <row r="71" spans="2:50" x14ac:dyDescent="0.4">
      <c r="B71" s="30">
        <v>43005.559027777781</v>
      </c>
      <c r="C71" t="s">
        <v>524</v>
      </c>
      <c r="D71" t="s">
        <v>477</v>
      </c>
      <c r="E71" t="s">
        <v>582</v>
      </c>
      <c r="F71" t="s">
        <v>611</v>
      </c>
      <c r="G71" s="8" t="s">
        <v>171</v>
      </c>
      <c r="H71" s="8" t="s">
        <v>169</v>
      </c>
      <c r="I71" s="8" t="s">
        <v>505</v>
      </c>
      <c r="J71" t="s">
        <v>94</v>
      </c>
      <c r="K71" t="s">
        <v>525</v>
      </c>
      <c r="L71" s="22"/>
      <c r="M71" s="109">
        <f xml:space="preserve"> M70+(ckAwdTable[ILN]&lt;"M")</f>
        <v>65</v>
      </c>
      <c r="N71" t="s">
        <v>493</v>
      </c>
      <c r="O71" t="s">
        <v>1315</v>
      </c>
      <c r="P71" s="15" t="str">
        <f>HYPERLINK("https://www.ejacket.nsf.gov/ej/showProposal.do?ID="&amp;ckAwdTable[[#This Row],[prop_id]],"eJ")</f>
        <v>eJ</v>
      </c>
      <c r="Q71" s="8" t="s">
        <v>478</v>
      </c>
      <c r="R71" t="s">
        <v>1737</v>
      </c>
      <c r="S71" t="s">
        <v>1738</v>
      </c>
      <c r="T71" t="s">
        <v>1739</v>
      </c>
      <c r="U71" s="8" t="s">
        <v>1728</v>
      </c>
      <c r="V71" t="s">
        <v>231</v>
      </c>
      <c r="W71" s="113" t="str">
        <f>HYPERLINK("mailto:"&amp; ckAwdTable[[#This Row],[email]]&amp;"&amp;subject=Your NSF Proposal:  "&amp;ckAwdTable[[#This Row],[prop_id]], ckAwdTable[[#This Row],[email]])</f>
        <v>dwork@seas.harvard.edu</v>
      </c>
      <c r="X71" s="30">
        <v>43313</v>
      </c>
      <c r="Y71">
        <v>36</v>
      </c>
      <c r="AA71" s="21" t="s">
        <v>13</v>
      </c>
      <c r="AB71" s="21" t="s">
        <v>382</v>
      </c>
      <c r="AC71"/>
      <c r="AD71" s="21" t="s">
        <v>13</v>
      </c>
      <c r="AF71" s="13">
        <v>286000</v>
      </c>
      <c r="AG71" s="124">
        <v>0</v>
      </c>
      <c r="AH71" s="1">
        <v>286000</v>
      </c>
      <c r="AI71" s="1"/>
      <c r="AJ71" s="1"/>
      <c r="AM71" s="21">
        <v>1</v>
      </c>
      <c r="AN71" s="21">
        <v>3</v>
      </c>
      <c r="AO71" s="21"/>
      <c r="AP71" s="21"/>
      <c r="AQ71" s="21">
        <v>2.33</v>
      </c>
      <c r="AR71" s="126" t="s">
        <v>172</v>
      </c>
      <c r="AS71" s="21" t="s">
        <v>493</v>
      </c>
      <c r="AT71" s="21" t="str">
        <f>IFERROR(IF(FIND("?",ckAwdTable[abst_narr_txt]),SummarizeQuestMarks(ckAwdTable[abst_narr_txt]),""),"")</f>
        <v/>
      </c>
      <c r="AU71" s="119"/>
      <c r="AV71" t="s">
        <v>1740</v>
      </c>
      <c r="AW71" t="b">
        <f>AND(ckAwdTable[[#This Row],[ILN]]&gt;"M", SUBSTITUTE(ckAwdTable[[#This Row],[prop_titl_txt]]," ","")&lt;&gt;SUBSTITUTE(AV70," ",""))</f>
        <v>1</v>
      </c>
      <c r="AX71" s="8" t="s">
        <v>1741</v>
      </c>
    </row>
    <row r="72" spans="2:50" x14ac:dyDescent="0.4">
      <c r="B72" s="30">
        <v>43005.611111111109</v>
      </c>
      <c r="C72" t="s">
        <v>524</v>
      </c>
      <c r="D72" t="s">
        <v>477</v>
      </c>
      <c r="E72" t="s">
        <v>582</v>
      </c>
      <c r="F72" t="s">
        <v>611</v>
      </c>
      <c r="G72" s="8" t="s">
        <v>171</v>
      </c>
      <c r="H72" s="8" t="s">
        <v>169</v>
      </c>
      <c r="I72" s="8" t="s">
        <v>505</v>
      </c>
      <c r="J72" t="s">
        <v>94</v>
      </c>
      <c r="K72" t="s">
        <v>525</v>
      </c>
      <c r="L72" s="22"/>
      <c r="M72" s="109">
        <f xml:space="preserve"> M71+(ckAwdTable[ILN]&lt;"M")</f>
        <v>65</v>
      </c>
      <c r="N72" t="s">
        <v>493</v>
      </c>
      <c r="O72" t="s">
        <v>1315</v>
      </c>
      <c r="P72" s="15" t="str">
        <f>HYPERLINK("https://www.ejacket.nsf.gov/ej/showProposal.do?ID="&amp;ckAwdTable[[#This Row],[prop_id]],"eJ")</f>
        <v>eJ</v>
      </c>
      <c r="Q72" s="8" t="s">
        <v>478</v>
      </c>
      <c r="R72" t="s">
        <v>1742</v>
      </c>
      <c r="S72" t="s">
        <v>1743</v>
      </c>
      <c r="T72" t="s">
        <v>1744</v>
      </c>
      <c r="U72" s="8" t="s">
        <v>1529</v>
      </c>
      <c r="V72" t="s">
        <v>231</v>
      </c>
      <c r="W72" s="113" t="str">
        <f>HYPERLINK("mailto:"&amp; ckAwdTable[[#This Row],[email]]&amp;"&amp;subject=Your NSF Proposal:  "&amp;ckAwdTable[[#This Row],[prop_id]], ckAwdTable[[#This Row],[email]])</f>
        <v>ads22@bu.edu</v>
      </c>
      <c r="X72" s="30">
        <v>43313</v>
      </c>
      <c r="Y72">
        <v>36</v>
      </c>
      <c r="AA72" s="21" t="s">
        <v>13</v>
      </c>
      <c r="AB72" s="21" t="s">
        <v>382</v>
      </c>
      <c r="AC72"/>
      <c r="AD72" s="21" t="s">
        <v>13</v>
      </c>
      <c r="AF72" s="13">
        <v>260000</v>
      </c>
      <c r="AG72" s="124">
        <v>0</v>
      </c>
      <c r="AH72" s="1">
        <v>260000</v>
      </c>
      <c r="AI72" s="1"/>
      <c r="AJ72" s="1"/>
      <c r="AM72" s="21">
        <v>6</v>
      </c>
      <c r="AN72" s="21">
        <v>3</v>
      </c>
      <c r="AO72" s="21">
        <v>1.65</v>
      </c>
      <c r="AP72" s="21"/>
      <c r="AQ72" s="21"/>
      <c r="AR72" s="126" t="s">
        <v>172</v>
      </c>
      <c r="AS72" s="21" t="s">
        <v>493</v>
      </c>
      <c r="AT72" s="21" t="str">
        <f>IFERROR(IF(FIND("?",ckAwdTable[abst_narr_txt]),SummarizeQuestMarks(ckAwdTable[abst_narr_txt]),""),"")</f>
        <v/>
      </c>
      <c r="AU72" s="119"/>
      <c r="AV72" t="s">
        <v>1745</v>
      </c>
      <c r="AW72" t="b">
        <f>AND(ckAwdTable[[#This Row],[ILN]]&gt;"M", SUBSTITUTE(ckAwdTable[[#This Row],[prop_titl_txt]]," ","")&lt;&gt;SUBSTITUTE(AV71," ",""))</f>
        <v>1</v>
      </c>
      <c r="AX72" s="8" t="s">
        <v>1746</v>
      </c>
    </row>
    <row r="73" spans="2:50" x14ac:dyDescent="0.4">
      <c r="B73" s="30">
        <v>43004.525694444441</v>
      </c>
      <c r="C73" t="s">
        <v>524</v>
      </c>
      <c r="D73" t="s">
        <v>477</v>
      </c>
      <c r="E73" t="s">
        <v>582</v>
      </c>
      <c r="F73" t="s">
        <v>611</v>
      </c>
      <c r="G73" s="8" t="s">
        <v>171</v>
      </c>
      <c r="H73" s="8" t="s">
        <v>169</v>
      </c>
      <c r="I73" s="8" t="s">
        <v>505</v>
      </c>
      <c r="J73" t="s">
        <v>94</v>
      </c>
      <c r="K73" t="s">
        <v>525</v>
      </c>
      <c r="L73" s="22">
        <v>43082.529895833337</v>
      </c>
      <c r="M73" s="109">
        <f xml:space="preserve"> M72+(ckAwdTable[ILN]&lt;"M")</f>
        <v>66</v>
      </c>
      <c r="N73" t="s">
        <v>491</v>
      </c>
      <c r="O73" t="s">
        <v>1322</v>
      </c>
      <c r="P73" s="15" t="str">
        <f>HYPERLINK("https://www.ejacket.nsf.gov/ej/showProposal.do?ID="&amp;ckAwdTable[[#This Row],[prop_id]],"eJ")</f>
        <v>eJ</v>
      </c>
      <c r="Q73" s="8" t="s">
        <v>478</v>
      </c>
      <c r="R73" t="s">
        <v>1322</v>
      </c>
      <c r="S73" t="s">
        <v>1323</v>
      </c>
      <c r="T73" t="s">
        <v>1747</v>
      </c>
      <c r="U73" s="8" t="s">
        <v>1520</v>
      </c>
      <c r="V73" t="s">
        <v>309</v>
      </c>
      <c r="W73" s="113" t="str">
        <f>HYPERLINK("mailto:"&amp; ckAwdTable[[#This Row],[email]]&amp;"&amp;subject=Your NSF Proposal:  "&amp;ckAwdTable[[#This Row],[prop_id]], ckAwdTable[[#This Row],[email]])</f>
        <v>kamesh@cs.duke.edu</v>
      </c>
      <c r="X73" s="30">
        <v>43282</v>
      </c>
      <c r="Y73">
        <v>48</v>
      </c>
      <c r="AA73" s="21" t="s">
        <v>13</v>
      </c>
      <c r="AB73" s="21" t="s">
        <v>382</v>
      </c>
      <c r="AC73"/>
      <c r="AD73" s="21" t="s">
        <v>13</v>
      </c>
      <c r="AE73" s="21" t="s">
        <v>506</v>
      </c>
      <c r="AF73" s="13">
        <v>599974</v>
      </c>
      <c r="AG73" s="124">
        <v>0</v>
      </c>
      <c r="AH73" s="1">
        <v>599974</v>
      </c>
      <c r="AI73" s="1"/>
      <c r="AJ73" s="1">
        <v>13912</v>
      </c>
      <c r="AM73" s="21">
        <v>5</v>
      </c>
      <c r="AN73" s="21">
        <v>4</v>
      </c>
      <c r="AO73" s="21">
        <v>7</v>
      </c>
      <c r="AP73" s="21"/>
      <c r="AQ73" s="21"/>
      <c r="AR73" s="126" t="s">
        <v>172</v>
      </c>
      <c r="AS73" s="21" t="s">
        <v>493</v>
      </c>
      <c r="AT73" s="21" t="str">
        <f>IFERROR(IF(FIND("?",ckAwdTable[abst_narr_txt]),SummarizeQuestMarks(ckAwdTable[abst_narr_txt]),""),"")</f>
        <v/>
      </c>
      <c r="AU73" s="119"/>
      <c r="AV73" t="s">
        <v>1749</v>
      </c>
      <c r="AW73" t="b">
        <f>AND(ckAwdTable[[#This Row],[ILN]]&gt;"M", SUBSTITUTE(ckAwdTable[[#This Row],[prop_titl_txt]]," ","")&lt;&gt;SUBSTITUTE(AV72," ",""))</f>
        <v>0</v>
      </c>
      <c r="AX73" s="8" t="s">
        <v>1750</v>
      </c>
    </row>
    <row r="74" spans="2:50" x14ac:dyDescent="0.4">
      <c r="B74" s="30">
        <v>43004.724999999999</v>
      </c>
      <c r="C74" t="s">
        <v>524</v>
      </c>
      <c r="D74" t="s">
        <v>477</v>
      </c>
      <c r="E74" t="s">
        <v>582</v>
      </c>
      <c r="F74" t="s">
        <v>611</v>
      </c>
      <c r="G74" s="8" t="s">
        <v>171</v>
      </c>
      <c r="H74" s="8" t="s">
        <v>169</v>
      </c>
      <c r="I74" s="8" t="s">
        <v>505</v>
      </c>
      <c r="J74" t="s">
        <v>94</v>
      </c>
      <c r="K74" t="s">
        <v>525</v>
      </c>
      <c r="L74" s="22">
        <v>43082.529895833337</v>
      </c>
      <c r="M74" s="109">
        <f xml:space="preserve"> M73+(ckAwdTable[ILN]&lt;"M")</f>
        <v>66</v>
      </c>
      <c r="N74" t="s">
        <v>493</v>
      </c>
      <c r="O74" t="s">
        <v>1322</v>
      </c>
      <c r="P74" s="15" t="str">
        <f>HYPERLINK("https://www.ejacket.nsf.gov/ej/showProposal.do?ID="&amp;ckAwdTable[[#This Row],[prop_id]],"eJ")</f>
        <v>eJ</v>
      </c>
      <c r="Q74" s="8" t="s">
        <v>478</v>
      </c>
      <c r="R74" t="s">
        <v>1751</v>
      </c>
      <c r="S74" t="s">
        <v>1752</v>
      </c>
      <c r="T74" t="s">
        <v>1753</v>
      </c>
      <c r="U74" s="8" t="s">
        <v>1754</v>
      </c>
      <c r="V74" t="s">
        <v>1470</v>
      </c>
      <c r="W74" s="113" t="str">
        <f>HYPERLINK("mailto:"&amp; ckAwdTable[[#This Row],[email]]&amp;"&amp;subject=Your NSF Proposal:  "&amp;ckAwdTable[[#This Row],[prop_id]], ckAwdTable[[#This Row],[email]])</f>
        <v>sbanerjee@cornell.edu</v>
      </c>
      <c r="X74" s="30">
        <v>43282</v>
      </c>
      <c r="Y74">
        <v>48</v>
      </c>
      <c r="AA74" s="21" t="s">
        <v>13</v>
      </c>
      <c r="AB74" s="21" t="s">
        <v>382</v>
      </c>
      <c r="AC74"/>
      <c r="AD74" s="21" t="s">
        <v>13</v>
      </c>
      <c r="AE74" s="21" t="s">
        <v>2013</v>
      </c>
      <c r="AF74" s="13">
        <v>599070</v>
      </c>
      <c r="AG74" s="124">
        <v>0</v>
      </c>
      <c r="AH74" s="1">
        <v>599070</v>
      </c>
      <c r="AI74" s="1"/>
      <c r="AJ74" s="1">
        <v>24000</v>
      </c>
      <c r="AM74" s="21">
        <v>4</v>
      </c>
      <c r="AN74" s="21">
        <v>4</v>
      </c>
      <c r="AO74" s="21">
        <v>6</v>
      </c>
      <c r="AP74" s="21"/>
      <c r="AQ74" s="21"/>
      <c r="AR74" s="126" t="s">
        <v>172</v>
      </c>
      <c r="AS74" s="21" t="s">
        <v>493</v>
      </c>
      <c r="AT74" s="21" t="str">
        <f>IFERROR(IF(FIND("?",ckAwdTable[abst_narr_txt]),SummarizeQuestMarks(ckAwdTable[abst_narr_txt]),""),"")</f>
        <v/>
      </c>
      <c r="AU74" s="119"/>
      <c r="AV74" t="s">
        <v>1749</v>
      </c>
      <c r="AW74" t="b">
        <f>AND(ckAwdTable[[#This Row],[ILN]]&gt;"M", SUBSTITUTE(ckAwdTable[[#This Row],[prop_titl_txt]]," ","")&lt;&gt;SUBSTITUTE(AV73," ",""))</f>
        <v>0</v>
      </c>
      <c r="AX74" s="8" t="s">
        <v>1755</v>
      </c>
    </row>
    <row r="75" spans="2:50" x14ac:dyDescent="0.4">
      <c r="B75" s="30">
        <v>43005.413194444445</v>
      </c>
      <c r="C75" t="s">
        <v>524</v>
      </c>
      <c r="D75" t="s">
        <v>477</v>
      </c>
      <c r="E75" t="s">
        <v>582</v>
      </c>
      <c r="F75" t="s">
        <v>654</v>
      </c>
      <c r="G75" s="8" t="s">
        <v>171</v>
      </c>
      <c r="H75" s="8" t="s">
        <v>169</v>
      </c>
      <c r="I75" s="8" t="s">
        <v>505</v>
      </c>
      <c r="J75" t="s">
        <v>94</v>
      </c>
      <c r="K75" t="s">
        <v>525</v>
      </c>
      <c r="L75" s="22">
        <v>43082.529965277776</v>
      </c>
      <c r="M75" s="109">
        <f xml:space="preserve"> M74+(ckAwdTable[ILN]&lt;"M")</f>
        <v>67</v>
      </c>
      <c r="N75" t="s">
        <v>491</v>
      </c>
      <c r="O75" t="s">
        <v>1334</v>
      </c>
      <c r="P75" s="15" t="str">
        <f>HYPERLINK("https://www.ejacket.nsf.gov/ej/showProposal.do?ID="&amp;ckAwdTable[[#This Row],[prop_id]],"eJ")</f>
        <v>eJ</v>
      </c>
      <c r="Q75" s="8" t="s">
        <v>478</v>
      </c>
      <c r="R75" t="s">
        <v>1334</v>
      </c>
      <c r="S75" t="s">
        <v>1335</v>
      </c>
      <c r="T75" t="s">
        <v>1756</v>
      </c>
      <c r="U75" s="8" t="s">
        <v>1512</v>
      </c>
      <c r="V75" t="s">
        <v>1470</v>
      </c>
      <c r="W75" s="113" t="str">
        <f>HYPERLINK("mailto:"&amp; ckAwdTable[[#This Row],[email]]&amp;"&amp;subject=Your NSF Proposal:  "&amp;ckAwdTable[[#This Row],[prop_id]], ckAwdTable[[#This Row],[email]])</f>
        <v>atri@buffalo.edu</v>
      </c>
      <c r="X75" s="30">
        <v>43191</v>
      </c>
      <c r="Y75">
        <v>48</v>
      </c>
      <c r="AA75" s="21" t="s">
        <v>13</v>
      </c>
      <c r="AB75" s="21" t="s">
        <v>382</v>
      </c>
      <c r="AC75"/>
      <c r="AD75" s="21" t="s">
        <v>13</v>
      </c>
      <c r="AE75" s="21" t="s">
        <v>506</v>
      </c>
      <c r="AF75" s="13">
        <v>645322</v>
      </c>
      <c r="AG75" s="124">
        <v>0</v>
      </c>
      <c r="AH75" s="1">
        <v>645322</v>
      </c>
      <c r="AI75" s="1"/>
      <c r="AJ75" s="1">
        <v>20000</v>
      </c>
      <c r="AL75" s="1">
        <v>27000</v>
      </c>
      <c r="AM75" s="21">
        <v>4</v>
      </c>
      <c r="AN75" s="21">
        <v>4</v>
      </c>
      <c r="AO75" s="21">
        <v>7</v>
      </c>
      <c r="AP75" s="21"/>
      <c r="AQ75" s="21"/>
      <c r="AR75" s="126" t="s">
        <v>172</v>
      </c>
      <c r="AS75" s="21" t="s">
        <v>493</v>
      </c>
      <c r="AT75" s="21" t="str">
        <f>IFERROR(IF(FIND("?",ckAwdTable[abst_narr_txt]),SummarizeQuestMarks(ckAwdTable[abst_narr_txt]),""),"")</f>
        <v/>
      </c>
      <c r="AU75" s="119"/>
      <c r="AV75" t="s">
        <v>1758</v>
      </c>
      <c r="AW75" t="b">
        <f>AND(ckAwdTable[[#This Row],[ILN]]&gt;"M", SUBSTITUTE(ckAwdTable[[#This Row],[prop_titl_txt]]," ","")&lt;&gt;SUBSTITUTE(AV74," ",""))</f>
        <v>0</v>
      </c>
      <c r="AX75" s="8" t="s">
        <v>1759</v>
      </c>
    </row>
    <row r="76" spans="2:50" x14ac:dyDescent="0.4">
      <c r="B76" s="30">
        <v>43004.498611111114</v>
      </c>
      <c r="C76" t="s">
        <v>524</v>
      </c>
      <c r="D76" t="s">
        <v>477</v>
      </c>
      <c r="E76" t="s">
        <v>582</v>
      </c>
      <c r="F76" t="s">
        <v>654</v>
      </c>
      <c r="G76" s="8" t="s">
        <v>171</v>
      </c>
      <c r="H76" s="8" t="s">
        <v>169</v>
      </c>
      <c r="I76" s="8" t="s">
        <v>505</v>
      </c>
      <c r="J76" t="s">
        <v>94</v>
      </c>
      <c r="K76" t="s">
        <v>525</v>
      </c>
      <c r="L76" s="22">
        <v>43082.529965277776</v>
      </c>
      <c r="M76" s="109">
        <f xml:space="preserve"> M75+(ckAwdTable[ILN]&lt;"M")</f>
        <v>67</v>
      </c>
      <c r="N76" t="s">
        <v>493</v>
      </c>
      <c r="O76" t="s">
        <v>1334</v>
      </c>
      <c r="P76" s="15" t="str">
        <f>HYPERLINK("https://www.ejacket.nsf.gov/ej/showProposal.do?ID="&amp;ckAwdTable[[#This Row],[prop_id]],"eJ")</f>
        <v>eJ</v>
      </c>
      <c r="Q76" s="8" t="s">
        <v>478</v>
      </c>
      <c r="R76" t="s">
        <v>1760</v>
      </c>
      <c r="S76" t="s">
        <v>1761</v>
      </c>
      <c r="T76" t="s">
        <v>1762</v>
      </c>
      <c r="U76" s="8" t="s">
        <v>1465</v>
      </c>
      <c r="V76" t="s">
        <v>230</v>
      </c>
      <c r="W76" s="113" t="str">
        <f>HYPERLINK("mailto:"&amp; ckAwdTable[[#This Row],[email]]&amp;"&amp;subject=Your NSF Proposal:  "&amp;ckAwdTable[[#This Row],[prop_id]], ckAwdTable[[#This Row],[email]])</f>
        <v>chrismre@cs.stanford.edu</v>
      </c>
      <c r="X76" s="30">
        <v>43191</v>
      </c>
      <c r="Y76">
        <v>48</v>
      </c>
      <c r="AA76" s="21" t="s">
        <v>13</v>
      </c>
      <c r="AB76" s="21" t="s">
        <v>382</v>
      </c>
      <c r="AC76"/>
      <c r="AD76" s="21" t="s">
        <v>13</v>
      </c>
      <c r="AF76" s="13">
        <v>552118</v>
      </c>
      <c r="AG76" s="124">
        <v>0</v>
      </c>
      <c r="AH76" s="1">
        <v>552118</v>
      </c>
      <c r="AI76" s="1"/>
      <c r="AJ76" s="1"/>
      <c r="AM76" s="21">
        <v>4</v>
      </c>
      <c r="AN76" s="21">
        <v>4</v>
      </c>
      <c r="AO76" s="21">
        <v>0.84</v>
      </c>
      <c r="AP76" s="21">
        <v>1.8</v>
      </c>
      <c r="AQ76" s="21"/>
      <c r="AR76" s="126" t="s">
        <v>172</v>
      </c>
      <c r="AS76" s="21" t="s">
        <v>493</v>
      </c>
      <c r="AT76" s="21" t="str">
        <f>IFERROR(IF(FIND("?",ckAwdTable[abst_narr_txt]),SummarizeQuestMarks(ckAwdTable[abst_narr_txt]),""),"")</f>
        <v/>
      </c>
      <c r="AU76" s="119"/>
      <c r="AV76" t="s">
        <v>1758</v>
      </c>
      <c r="AW76" t="b">
        <f>AND(ckAwdTable[[#This Row],[ILN]]&gt;"M", SUBSTITUTE(ckAwdTable[[#This Row],[prop_titl_txt]]," ","")&lt;&gt;SUBSTITUTE(AV75," ",""))</f>
        <v>0</v>
      </c>
      <c r="AX76" s="8" t="s">
        <v>1763</v>
      </c>
    </row>
    <row r="77" spans="2:50" x14ac:dyDescent="0.4">
      <c r="B77" s="30">
        <v>43005.479861111111</v>
      </c>
      <c r="C77" t="s">
        <v>524</v>
      </c>
      <c r="D77" t="s">
        <v>477</v>
      </c>
      <c r="E77" t="s">
        <v>582</v>
      </c>
      <c r="F77" t="s">
        <v>654</v>
      </c>
      <c r="G77" s="8" t="s">
        <v>171</v>
      </c>
      <c r="H77" s="8" t="s">
        <v>169</v>
      </c>
      <c r="I77" s="8" t="s">
        <v>505</v>
      </c>
      <c r="J77" t="s">
        <v>94</v>
      </c>
      <c r="K77" t="s">
        <v>525</v>
      </c>
      <c r="L77" s="22">
        <v>43082.530034722222</v>
      </c>
      <c r="M77" s="109">
        <f xml:space="preserve"> M76+(ckAwdTable[ILN]&lt;"M")</f>
        <v>68</v>
      </c>
      <c r="N77" t="s">
        <v>491</v>
      </c>
      <c r="O77" t="s">
        <v>1343</v>
      </c>
      <c r="P77" s="15" t="str">
        <f>HYPERLINK("https://www.ejacket.nsf.gov/ej/showProposal.do?ID="&amp;ckAwdTable[[#This Row],[prop_id]],"eJ")</f>
        <v>eJ</v>
      </c>
      <c r="Q77" s="8" t="s">
        <v>478</v>
      </c>
      <c r="R77" t="s">
        <v>1343</v>
      </c>
      <c r="S77" t="s">
        <v>489</v>
      </c>
      <c r="T77" t="s">
        <v>1566</v>
      </c>
      <c r="U77" s="8" t="s">
        <v>502</v>
      </c>
      <c r="V77" t="s">
        <v>231</v>
      </c>
      <c r="W77" s="113" t="str">
        <f>HYPERLINK("mailto:"&amp; ckAwdTable[[#This Row],[email]]&amp;"&amp;subject=Your NSF Proposal:  "&amp;ckAwdTable[[#This Row],[prop_id]], ckAwdTable[[#This Row],[email]])</f>
        <v>hu.nguyen@neu.edu</v>
      </c>
      <c r="X77" s="30">
        <v>43344</v>
      </c>
      <c r="Y77">
        <v>48</v>
      </c>
      <c r="AA77" s="21" t="s">
        <v>13</v>
      </c>
      <c r="AB77" s="21" t="s">
        <v>382</v>
      </c>
      <c r="AC77"/>
      <c r="AD77" s="21" t="s">
        <v>13</v>
      </c>
      <c r="AE77" s="21" t="s">
        <v>506</v>
      </c>
      <c r="AF77" s="13">
        <v>574949</v>
      </c>
      <c r="AG77" s="124">
        <v>0</v>
      </c>
      <c r="AH77" s="1">
        <v>574949</v>
      </c>
      <c r="AI77" s="1"/>
      <c r="AJ77" s="1">
        <v>12300</v>
      </c>
      <c r="AK77" s="1">
        <v>71475</v>
      </c>
      <c r="AM77" s="21">
        <v>4</v>
      </c>
      <c r="AN77" s="21">
        <v>4</v>
      </c>
      <c r="AO77" s="21">
        <v>4</v>
      </c>
      <c r="AP77" s="21"/>
      <c r="AQ77" s="21"/>
      <c r="AR77" s="126" t="s">
        <v>172</v>
      </c>
      <c r="AS77" s="21" t="s">
        <v>493</v>
      </c>
      <c r="AT77" s="21" t="str">
        <f>IFERROR(IF(FIND("?",ckAwdTable[abst_narr_txt]),SummarizeQuestMarks(ckAwdTable[abst_narr_txt]),""),"")</f>
        <v/>
      </c>
      <c r="AU77" s="119"/>
      <c r="AV77" t="s">
        <v>1764</v>
      </c>
      <c r="AW77" t="b">
        <f>AND(ckAwdTable[[#This Row],[ILN]]&gt;"M", SUBSTITUTE(ckAwdTable[[#This Row],[prop_titl_txt]]," ","")&lt;&gt;SUBSTITUTE(AV76," ",""))</f>
        <v>0</v>
      </c>
      <c r="AX77" s="8" t="s">
        <v>1569</v>
      </c>
    </row>
    <row r="78" spans="2:50" x14ac:dyDescent="0.4">
      <c r="B78" s="30">
        <v>43005.434027777781</v>
      </c>
      <c r="C78" t="s">
        <v>524</v>
      </c>
      <c r="D78" t="s">
        <v>477</v>
      </c>
      <c r="E78" t="s">
        <v>582</v>
      </c>
      <c r="F78" t="s">
        <v>654</v>
      </c>
      <c r="G78" s="8" t="s">
        <v>171</v>
      </c>
      <c r="H78" s="8" t="s">
        <v>169</v>
      </c>
      <c r="I78" s="8" t="s">
        <v>505</v>
      </c>
      <c r="J78" t="s">
        <v>94</v>
      </c>
      <c r="K78" t="s">
        <v>525</v>
      </c>
      <c r="L78" s="22">
        <v>43082.530034722222</v>
      </c>
      <c r="M78" s="109">
        <f xml:space="preserve"> M77+(ckAwdTable[ILN]&lt;"M")</f>
        <v>68</v>
      </c>
      <c r="N78" t="s">
        <v>493</v>
      </c>
      <c r="O78" t="s">
        <v>1343</v>
      </c>
      <c r="P78" s="15" t="str">
        <f>HYPERLINK("https://www.ejacket.nsf.gov/ej/showProposal.do?ID="&amp;ckAwdTable[[#This Row],[prop_id]],"eJ")</f>
        <v>eJ</v>
      </c>
      <c r="Q78" s="8" t="s">
        <v>478</v>
      </c>
      <c r="R78" t="s">
        <v>1765</v>
      </c>
      <c r="S78" t="s">
        <v>1766</v>
      </c>
      <c r="T78" t="s">
        <v>1767</v>
      </c>
      <c r="U78" s="8" t="s">
        <v>1728</v>
      </c>
      <c r="V78" t="s">
        <v>231</v>
      </c>
      <c r="W78" s="113" t="str">
        <f>HYPERLINK("mailto:"&amp; ckAwdTable[[#This Row],[email]]&amp;"&amp;subject=Your NSF Proposal:  "&amp;ckAwdTable[[#This Row],[prop_id]], ckAwdTable[[#This Row],[email]])</f>
        <v>minilek@seas.harvard.edu</v>
      </c>
      <c r="X78" s="30">
        <v>43344</v>
      </c>
      <c r="Y78">
        <v>48</v>
      </c>
      <c r="AA78" s="21" t="s">
        <v>13</v>
      </c>
      <c r="AB78" s="21" t="s">
        <v>382</v>
      </c>
      <c r="AC78"/>
      <c r="AD78" s="21" t="s">
        <v>13</v>
      </c>
      <c r="AE78" s="21" t="s">
        <v>506</v>
      </c>
      <c r="AF78" s="13">
        <v>475000</v>
      </c>
      <c r="AG78" s="124">
        <v>0</v>
      </c>
      <c r="AH78" s="1">
        <v>475000</v>
      </c>
      <c r="AI78" s="1"/>
      <c r="AJ78" s="1">
        <v>12713</v>
      </c>
      <c r="AM78" s="21">
        <v>5</v>
      </c>
      <c r="AN78" s="21">
        <v>3</v>
      </c>
      <c r="AO78" s="21"/>
      <c r="AP78" s="21"/>
      <c r="AQ78" s="21">
        <v>3</v>
      </c>
      <c r="AR78" s="126" t="s">
        <v>172</v>
      </c>
      <c r="AS78" s="21" t="s">
        <v>493</v>
      </c>
      <c r="AT78" s="21" t="str">
        <f>IFERROR(IF(FIND("?",ckAwdTable[abst_narr_txt]),SummarizeQuestMarks(ckAwdTable[abst_narr_txt]),""),"")</f>
        <v/>
      </c>
      <c r="AU78" s="119"/>
      <c r="AV78" t="s">
        <v>1764</v>
      </c>
      <c r="AW78" t="b">
        <f>AND(ckAwdTable[[#This Row],[ILN]]&gt;"M", SUBSTITUTE(ckAwdTable[[#This Row],[prop_titl_txt]]," ","")&lt;&gt;SUBSTITUTE(AV77," ",""))</f>
        <v>0</v>
      </c>
      <c r="AX78" s="8" t="s">
        <v>1768</v>
      </c>
    </row>
    <row r="79" spans="2:50" x14ac:dyDescent="0.4">
      <c r="B79" s="30">
        <v>43005.582638888889</v>
      </c>
      <c r="C79" t="s">
        <v>524</v>
      </c>
      <c r="D79" t="s">
        <v>477</v>
      </c>
      <c r="E79" t="s">
        <v>582</v>
      </c>
      <c r="F79" t="s">
        <v>611</v>
      </c>
      <c r="G79" s="8" t="s">
        <v>171</v>
      </c>
      <c r="H79" s="8" t="s">
        <v>169</v>
      </c>
      <c r="I79" s="8" t="s">
        <v>505</v>
      </c>
      <c r="J79" t="s">
        <v>94</v>
      </c>
      <c r="K79" t="s">
        <v>525</v>
      </c>
      <c r="L79" s="22">
        <v>43082.530104166668</v>
      </c>
      <c r="M79" s="109">
        <f xml:space="preserve"> M78+(ckAwdTable[ILN]&lt;"M")</f>
        <v>69</v>
      </c>
      <c r="N79" t="s">
        <v>491</v>
      </c>
      <c r="O79" t="s">
        <v>1351</v>
      </c>
      <c r="P79" s="15" t="str">
        <f>HYPERLINK("https://www.ejacket.nsf.gov/ej/showProposal.do?ID="&amp;ckAwdTable[[#This Row],[prop_id]],"eJ")</f>
        <v>eJ</v>
      </c>
      <c r="Q79" s="8" t="s">
        <v>478</v>
      </c>
      <c r="R79" t="s">
        <v>1351</v>
      </c>
      <c r="S79" t="s">
        <v>1352</v>
      </c>
      <c r="T79" t="s">
        <v>1770</v>
      </c>
      <c r="U79" s="8" t="s">
        <v>1771</v>
      </c>
      <c r="V79" t="s">
        <v>117</v>
      </c>
      <c r="W79" s="113" t="str">
        <f>HYPERLINK("mailto:"&amp; ckAwdTable[[#This Row],[email]]&amp;"&amp;subject=Your NSF Proposal:  "&amp;ckAwdTable[[#This Row],[prop_id]], ckAwdTable[[#This Row],[email]])</f>
        <v>qcheng@ou.edu</v>
      </c>
      <c r="X79" s="30">
        <v>43282</v>
      </c>
      <c r="Y79">
        <v>36</v>
      </c>
      <c r="AA79" s="21" t="s">
        <v>13</v>
      </c>
      <c r="AB79" s="21" t="s">
        <v>382</v>
      </c>
      <c r="AC79"/>
      <c r="AD79" s="21" t="s">
        <v>13</v>
      </c>
      <c r="AF79" s="13">
        <v>298823</v>
      </c>
      <c r="AG79" s="124">
        <v>0</v>
      </c>
      <c r="AH79" s="1">
        <v>298823</v>
      </c>
      <c r="AI79" s="1"/>
      <c r="AJ79" s="1"/>
      <c r="AM79" s="21">
        <v>3</v>
      </c>
      <c r="AN79" s="21">
        <v>3</v>
      </c>
      <c r="AO79" s="21">
        <v>3</v>
      </c>
      <c r="AP79" s="21"/>
      <c r="AQ79" s="21"/>
      <c r="AR79" s="126" t="s">
        <v>172</v>
      </c>
      <c r="AS79" s="21" t="s">
        <v>493</v>
      </c>
      <c r="AT79" s="21" t="str">
        <f>IFERROR(IF(FIND("?",ckAwdTable[abst_narr_txt]),SummarizeQuestMarks(ckAwdTable[abst_narr_txt]),""),"")</f>
        <v/>
      </c>
      <c r="AU79" s="119"/>
      <c r="AV79" t="s">
        <v>1773</v>
      </c>
      <c r="AW79" t="b">
        <f>AND(ckAwdTable[[#This Row],[ILN]]&gt;"M", SUBSTITUTE(ckAwdTable[[#This Row],[prop_titl_txt]]," ","")&lt;&gt;SUBSTITUTE(AV78," ",""))</f>
        <v>0</v>
      </c>
      <c r="AX79" s="8" t="s">
        <v>1774</v>
      </c>
    </row>
    <row r="80" spans="2:50" x14ac:dyDescent="0.4">
      <c r="B80" s="30">
        <v>43005.537499999999</v>
      </c>
      <c r="C80" t="s">
        <v>524</v>
      </c>
      <c r="D80" t="s">
        <v>477</v>
      </c>
      <c r="E80" t="s">
        <v>582</v>
      </c>
      <c r="F80" t="s">
        <v>611</v>
      </c>
      <c r="G80" s="8" t="s">
        <v>171</v>
      </c>
      <c r="H80" s="8" t="s">
        <v>169</v>
      </c>
      <c r="I80" s="8" t="s">
        <v>505</v>
      </c>
      <c r="J80" t="s">
        <v>94</v>
      </c>
      <c r="K80" t="s">
        <v>525</v>
      </c>
      <c r="L80" s="22">
        <v>43082.530104166668</v>
      </c>
      <c r="M80" s="109">
        <f xml:space="preserve"> M79+(ckAwdTable[ILN]&lt;"M")</f>
        <v>69</v>
      </c>
      <c r="N80" t="s">
        <v>493</v>
      </c>
      <c r="O80" t="s">
        <v>1351</v>
      </c>
      <c r="P80" s="15" t="str">
        <f>HYPERLINK("https://www.ejacket.nsf.gov/ej/showProposal.do?ID="&amp;ckAwdTable[[#This Row],[prop_id]],"eJ")</f>
        <v>eJ</v>
      </c>
      <c r="Q80" s="8" t="s">
        <v>478</v>
      </c>
      <c r="R80" t="s">
        <v>1775</v>
      </c>
      <c r="S80" t="s">
        <v>1776</v>
      </c>
      <c r="T80" t="s">
        <v>1777</v>
      </c>
      <c r="U80" s="8" t="s">
        <v>1709</v>
      </c>
      <c r="V80" t="s">
        <v>230</v>
      </c>
      <c r="W80" s="113" t="str">
        <f>HYPERLINK("mailto:"&amp; ckAwdTable[[#This Row],[email]]&amp;"&amp;subject=Your NSF Proposal:  "&amp;ckAwdTable[[#This Row],[prop_id]], ckAwdTable[[#This Row],[email]])</f>
        <v>dwan@math.uci.edu</v>
      </c>
      <c r="X80" s="30">
        <v>43282</v>
      </c>
      <c r="Y80">
        <v>36</v>
      </c>
      <c r="AA80" s="21" t="s">
        <v>13</v>
      </c>
      <c r="AB80" s="21" t="s">
        <v>382</v>
      </c>
      <c r="AC80"/>
      <c r="AD80" s="21" t="s">
        <v>13</v>
      </c>
      <c r="AE80" s="21" t="s">
        <v>2014</v>
      </c>
      <c r="AF80" s="13">
        <v>299950</v>
      </c>
      <c r="AG80" s="124">
        <v>0</v>
      </c>
      <c r="AH80" s="1">
        <v>299950</v>
      </c>
      <c r="AI80" s="1"/>
      <c r="AJ80" s="1">
        <v>15455</v>
      </c>
      <c r="AM80" s="21">
        <v>3</v>
      </c>
      <c r="AN80" s="21">
        <v>3</v>
      </c>
      <c r="AO80" s="21">
        <v>3</v>
      </c>
      <c r="AP80" s="21"/>
      <c r="AQ80" s="21"/>
      <c r="AR80" s="126" t="s">
        <v>172</v>
      </c>
      <c r="AS80" s="21" t="s">
        <v>493</v>
      </c>
      <c r="AT80" s="21" t="str">
        <f>IFERROR(IF(FIND("?",ckAwdTable[abst_narr_txt]),SummarizeQuestMarks(ckAwdTable[abst_narr_txt]),""),"")</f>
        <v/>
      </c>
      <c r="AU80" s="119"/>
      <c r="AV80" t="s">
        <v>1773</v>
      </c>
      <c r="AW80" t="b">
        <f>AND(ckAwdTable[[#This Row],[ILN]]&gt;"M", SUBSTITUTE(ckAwdTable[[#This Row],[prop_titl_txt]]," ","")&lt;&gt;SUBSTITUTE(AV79," ",""))</f>
        <v>0</v>
      </c>
      <c r="AX80" s="8" t="s">
        <v>1778</v>
      </c>
    </row>
    <row r="81" spans="2:50" x14ac:dyDescent="0.4">
      <c r="B81" s="30">
        <v>43005.547222222223</v>
      </c>
      <c r="C81" t="s">
        <v>524</v>
      </c>
      <c r="D81" t="s">
        <v>477</v>
      </c>
      <c r="E81" t="s">
        <v>582</v>
      </c>
      <c r="F81" t="s">
        <v>611</v>
      </c>
      <c r="G81" s="8" t="s">
        <v>171</v>
      </c>
      <c r="H81" s="8" t="s">
        <v>169</v>
      </c>
      <c r="I81" s="8" t="s">
        <v>505</v>
      </c>
      <c r="J81" t="s">
        <v>94</v>
      </c>
      <c r="K81" t="s">
        <v>525</v>
      </c>
      <c r="L81" s="22">
        <v>43082.530104166668</v>
      </c>
      <c r="M81" s="109">
        <f xml:space="preserve"> M80+(ckAwdTable[ILN]&lt;"M")</f>
        <v>69</v>
      </c>
      <c r="N81" t="s">
        <v>493</v>
      </c>
      <c r="O81" t="s">
        <v>1351</v>
      </c>
      <c r="P81" s="15" t="str">
        <f>HYPERLINK("https://www.ejacket.nsf.gov/ej/showProposal.do?ID="&amp;ckAwdTable[[#This Row],[prop_id]],"eJ")</f>
        <v>eJ</v>
      </c>
      <c r="Q81" s="8" t="s">
        <v>478</v>
      </c>
      <c r="R81" t="s">
        <v>1779</v>
      </c>
      <c r="S81" t="s">
        <v>1780</v>
      </c>
      <c r="T81" t="s">
        <v>1781</v>
      </c>
      <c r="U81" s="8" t="s">
        <v>1782</v>
      </c>
      <c r="V81" t="s">
        <v>119</v>
      </c>
      <c r="W81" s="113" t="str">
        <f>HYPERLINK("mailto:"&amp; ckAwdTable[[#This Row],[email]]&amp;"&amp;subject=Your NSF Proposal:  "&amp;ckAwdTable[[#This Row],[prop_id]], ckAwdTable[[#This Row],[email]])</f>
        <v>sgao@clemson.edu</v>
      </c>
      <c r="X81" s="30">
        <v>43282</v>
      </c>
      <c r="Y81">
        <v>36</v>
      </c>
      <c r="AA81" s="21" t="s">
        <v>13</v>
      </c>
      <c r="AB81" s="21" t="s">
        <v>382</v>
      </c>
      <c r="AC81"/>
      <c r="AD81" s="21" t="s">
        <v>13</v>
      </c>
      <c r="AE81" s="21" t="s">
        <v>506</v>
      </c>
      <c r="AF81" s="13">
        <v>299918</v>
      </c>
      <c r="AG81" s="124">
        <v>0</v>
      </c>
      <c r="AH81" s="1">
        <v>299918</v>
      </c>
      <c r="AI81" s="1"/>
      <c r="AJ81" s="1">
        <v>13500</v>
      </c>
      <c r="AM81" s="21">
        <v>3</v>
      </c>
      <c r="AN81" s="21">
        <v>3</v>
      </c>
      <c r="AO81" s="21">
        <v>3.3</v>
      </c>
      <c r="AP81" s="21"/>
      <c r="AQ81" s="21"/>
      <c r="AR81" s="126" t="s">
        <v>172</v>
      </c>
      <c r="AS81" s="21" t="s">
        <v>493</v>
      </c>
      <c r="AT81" s="21" t="str">
        <f>IFERROR(IF(FIND("?",ckAwdTable[abst_narr_txt]),SummarizeQuestMarks(ckAwdTable[abst_narr_txt]),""),"")</f>
        <v/>
      </c>
      <c r="AU81" s="119"/>
      <c r="AV81" t="s">
        <v>1783</v>
      </c>
      <c r="AW81" t="b">
        <f>AND(ckAwdTable[[#This Row],[ILN]]&gt;"M", SUBSTITUTE(ckAwdTable[[#This Row],[prop_titl_txt]]," ","")&lt;&gt;SUBSTITUTE(AV80," ",""))</f>
        <v>0</v>
      </c>
      <c r="AX81" s="8" t="s">
        <v>1784</v>
      </c>
    </row>
    <row r="82" spans="2:50" x14ac:dyDescent="0.4">
      <c r="B82" s="30">
        <v>43005.606249999997</v>
      </c>
      <c r="C82" t="s">
        <v>524</v>
      </c>
      <c r="D82" t="s">
        <v>477</v>
      </c>
      <c r="E82" t="s">
        <v>582</v>
      </c>
      <c r="F82" t="s">
        <v>611</v>
      </c>
      <c r="G82" s="8" t="s">
        <v>171</v>
      </c>
      <c r="H82" s="8" t="s">
        <v>169</v>
      </c>
      <c r="I82" s="8" t="s">
        <v>505</v>
      </c>
      <c r="J82" t="s">
        <v>94</v>
      </c>
      <c r="K82" t="s">
        <v>525</v>
      </c>
      <c r="L82" s="22">
        <v>43082.530104166668</v>
      </c>
      <c r="M82" s="109">
        <f xml:space="preserve"> M81+(ckAwdTable[ILN]&lt;"M")</f>
        <v>69</v>
      </c>
      <c r="N82" t="s">
        <v>493</v>
      </c>
      <c r="O82" t="s">
        <v>1351</v>
      </c>
      <c r="P82" s="15" t="str">
        <f>HYPERLINK("https://www.ejacket.nsf.gov/ej/showProposal.do?ID="&amp;ckAwdTable[[#This Row],[prop_id]],"eJ")</f>
        <v>eJ</v>
      </c>
      <c r="Q82" s="8" t="s">
        <v>478</v>
      </c>
      <c r="R82" t="s">
        <v>1785</v>
      </c>
      <c r="S82" t="s">
        <v>1786</v>
      </c>
      <c r="T82" t="s">
        <v>1787</v>
      </c>
      <c r="U82" s="8" t="s">
        <v>1788</v>
      </c>
      <c r="V82" t="s">
        <v>310</v>
      </c>
      <c r="W82" s="113" t="str">
        <f>HYPERLINK("mailto:"&amp; ckAwdTable[[#This Row],[email]]&amp;"&amp;subject=Your NSF Proposal:  "&amp;ckAwdTable[[#This Row],[prop_id]], ckAwdTable[[#This Row],[email]])</f>
        <v>rojas@math.tamu.edu</v>
      </c>
      <c r="X82" s="30">
        <v>43282</v>
      </c>
      <c r="Y82">
        <v>36</v>
      </c>
      <c r="AA82" s="21" t="s">
        <v>13</v>
      </c>
      <c r="AB82" s="21" t="s">
        <v>382</v>
      </c>
      <c r="AC82"/>
      <c r="AD82" s="21" t="s">
        <v>13</v>
      </c>
      <c r="AF82" s="13">
        <v>300000</v>
      </c>
      <c r="AG82" s="124">
        <v>0</v>
      </c>
      <c r="AH82" s="1">
        <v>300000</v>
      </c>
      <c r="AI82" s="1"/>
      <c r="AJ82" s="1"/>
      <c r="AM82" s="21">
        <v>6</v>
      </c>
      <c r="AN82" s="21">
        <v>3</v>
      </c>
      <c r="AO82" s="21"/>
      <c r="AP82" s="21"/>
      <c r="AQ82" s="21">
        <v>4.5</v>
      </c>
      <c r="AR82" s="126" t="s">
        <v>172</v>
      </c>
      <c r="AS82" s="21" t="s">
        <v>493</v>
      </c>
      <c r="AT82" s="21" t="str">
        <f>IFERROR(IF(FIND("?",ckAwdTable[abst_narr_txt]),SummarizeQuestMarks(ckAwdTable[abst_narr_txt]),""),"")</f>
        <v/>
      </c>
      <c r="AU82" s="119"/>
      <c r="AV82" t="s">
        <v>1773</v>
      </c>
      <c r="AW82" t="b">
        <f>AND(ckAwdTable[[#This Row],[ILN]]&gt;"M", SUBSTITUTE(ckAwdTable[[#This Row],[prop_titl_txt]]," ","")&lt;&gt;SUBSTITUTE(AV81," ",""))</f>
        <v>0</v>
      </c>
      <c r="AX82" s="8" t="s">
        <v>1789</v>
      </c>
    </row>
    <row r="83" spans="2:50" x14ac:dyDescent="0.4">
      <c r="B83" s="30">
        <v>43005.590277777781</v>
      </c>
      <c r="C83" t="s">
        <v>524</v>
      </c>
      <c r="D83" t="s">
        <v>477</v>
      </c>
      <c r="E83" t="s">
        <v>582</v>
      </c>
      <c r="F83" t="s">
        <v>611</v>
      </c>
      <c r="G83" s="8" t="s">
        <v>171</v>
      </c>
      <c r="H83" s="8" t="s">
        <v>169</v>
      </c>
      <c r="I83" s="8" t="s">
        <v>505</v>
      </c>
      <c r="J83" t="s">
        <v>94</v>
      </c>
      <c r="K83" t="s">
        <v>525</v>
      </c>
      <c r="L83" s="22">
        <v>43082.530173611114</v>
      </c>
      <c r="M83" s="109">
        <f xml:space="preserve"> M82+(ckAwdTable[ILN]&lt;"M")</f>
        <v>70</v>
      </c>
      <c r="N83" t="s">
        <v>491</v>
      </c>
      <c r="O83" t="s">
        <v>1360</v>
      </c>
      <c r="P83" s="15" t="str">
        <f>HYPERLINK("https://www.ejacket.nsf.gov/ej/showProposal.do?ID="&amp;ckAwdTable[[#This Row],[prop_id]],"eJ")</f>
        <v>eJ</v>
      </c>
      <c r="Q83" s="8" t="s">
        <v>478</v>
      </c>
      <c r="R83" t="s">
        <v>1360</v>
      </c>
      <c r="S83" t="s">
        <v>1361</v>
      </c>
      <c r="T83" t="s">
        <v>528</v>
      </c>
      <c r="U83" s="8" t="s">
        <v>495</v>
      </c>
      <c r="V83" t="s">
        <v>494</v>
      </c>
      <c r="W83" s="113" t="str">
        <f>HYPERLINK("mailto:"&amp; ckAwdTable[[#This Row],[email]]&amp;"&amp;subject=Your NSF Proposal:  "&amp;ckAwdTable[[#This Row],[prop_id]], ckAwdTable[[#This Row],[email]])</f>
        <v>dgleich@purdue.edu</v>
      </c>
      <c r="X83" s="30">
        <v>43327</v>
      </c>
      <c r="Y83">
        <v>48</v>
      </c>
      <c r="AA83" s="21" t="s">
        <v>13</v>
      </c>
      <c r="AB83" s="21" t="s">
        <v>382</v>
      </c>
      <c r="AC83"/>
      <c r="AD83" s="21" t="s">
        <v>13</v>
      </c>
      <c r="AE83" s="21" t="s">
        <v>506</v>
      </c>
      <c r="AF83" s="13">
        <v>508040</v>
      </c>
      <c r="AG83" s="124">
        <v>0</v>
      </c>
      <c r="AH83" s="1">
        <v>508040</v>
      </c>
      <c r="AI83" s="1"/>
      <c r="AJ83" s="1">
        <v>20000</v>
      </c>
      <c r="AM83" s="21">
        <v>4</v>
      </c>
      <c r="AN83" s="21">
        <v>4</v>
      </c>
      <c r="AO83" s="21">
        <v>4</v>
      </c>
      <c r="AP83" s="21"/>
      <c r="AQ83" s="21"/>
      <c r="AR83" s="126" t="s">
        <v>172</v>
      </c>
      <c r="AS83" s="21" t="s">
        <v>493</v>
      </c>
      <c r="AT83" s="21" t="str">
        <f>IFERROR(IF(FIND("?",ckAwdTable[abst_narr_txt]),SummarizeQuestMarks(ckAwdTable[abst_narr_txt]),""),"")</f>
        <v/>
      </c>
      <c r="AU83" s="119"/>
      <c r="AV83" t="s">
        <v>1791</v>
      </c>
      <c r="AW83" t="b">
        <f>AND(ckAwdTable[[#This Row],[ILN]]&gt;"M", SUBSTITUTE(ckAwdTable[[#This Row],[prop_titl_txt]]," ","")&lt;&gt;SUBSTITUTE(AV82," ",""))</f>
        <v>0</v>
      </c>
      <c r="AX83" s="8" t="s">
        <v>1792</v>
      </c>
    </row>
    <row r="84" spans="2:50" x14ac:dyDescent="0.4">
      <c r="B84" s="30">
        <v>43005.378472222219</v>
      </c>
      <c r="C84" t="s">
        <v>524</v>
      </c>
      <c r="D84" t="s">
        <v>477</v>
      </c>
      <c r="E84" t="s">
        <v>582</v>
      </c>
      <c r="F84" t="s">
        <v>611</v>
      </c>
      <c r="G84" s="8" t="s">
        <v>171</v>
      </c>
      <c r="H84" s="8" t="s">
        <v>169</v>
      </c>
      <c r="I84" s="8" t="s">
        <v>505</v>
      </c>
      <c r="J84" t="s">
        <v>94</v>
      </c>
      <c r="K84" t="s">
        <v>525</v>
      </c>
      <c r="L84" s="22">
        <v>43082.530173611114</v>
      </c>
      <c r="M84" s="109">
        <f xml:space="preserve"> M83+(ckAwdTable[ILN]&lt;"M")</f>
        <v>70</v>
      </c>
      <c r="N84" t="s">
        <v>493</v>
      </c>
      <c r="O84" t="s">
        <v>1360</v>
      </c>
      <c r="P84" s="15" t="str">
        <f>HYPERLINK("https://www.ejacket.nsf.gov/ej/showProposal.do?ID="&amp;ckAwdTable[[#This Row],[prop_id]],"eJ")</f>
        <v>eJ</v>
      </c>
      <c r="Q84" s="8" t="s">
        <v>478</v>
      </c>
      <c r="R84" t="s">
        <v>1793</v>
      </c>
      <c r="S84" t="s">
        <v>1794</v>
      </c>
      <c r="T84" t="s">
        <v>1795</v>
      </c>
      <c r="U84" s="8" t="s">
        <v>1754</v>
      </c>
      <c r="V84" t="s">
        <v>1470</v>
      </c>
      <c r="W84" s="113" t="str">
        <f>HYPERLINK("mailto:"&amp; ckAwdTable[[#This Row],[email]]&amp;"&amp;subject=Your NSF Proposal:  "&amp;ckAwdTable[[#This Row],[prop_id]], ckAwdTable[[#This Row],[email]])</f>
        <v>arb@cs.cornell.edu</v>
      </c>
      <c r="X84" s="30">
        <v>43327</v>
      </c>
      <c r="Y84">
        <v>48</v>
      </c>
      <c r="AA84" s="21" t="s">
        <v>13</v>
      </c>
      <c r="AB84" s="21" t="s">
        <v>382</v>
      </c>
      <c r="AC84"/>
      <c r="AD84" s="21" t="s">
        <v>13</v>
      </c>
      <c r="AE84" s="21" t="s">
        <v>506</v>
      </c>
      <c r="AF84" s="13">
        <v>591393</v>
      </c>
      <c r="AG84" s="124">
        <v>0</v>
      </c>
      <c r="AH84" s="1">
        <v>591393</v>
      </c>
      <c r="AI84" s="1"/>
      <c r="AJ84" s="1">
        <v>23636</v>
      </c>
      <c r="AM84" s="21">
        <v>4</v>
      </c>
      <c r="AN84" s="21">
        <v>4</v>
      </c>
      <c r="AO84" s="21">
        <v>4</v>
      </c>
      <c r="AP84" s="21"/>
      <c r="AQ84" s="21"/>
      <c r="AR84" s="126" t="s">
        <v>172</v>
      </c>
      <c r="AS84" s="21" t="s">
        <v>493</v>
      </c>
      <c r="AT84" s="21" t="str">
        <f>IFERROR(IF(FIND("?",ckAwdTable[abst_narr_txt]),SummarizeQuestMarks(ckAwdTable[abst_narr_txt]),""),"")</f>
        <v/>
      </c>
      <c r="AU84" s="119"/>
      <c r="AV84" t="s">
        <v>1791</v>
      </c>
      <c r="AW84" t="b">
        <f>AND(ckAwdTable[[#This Row],[ILN]]&gt;"M", SUBSTITUTE(ckAwdTable[[#This Row],[prop_titl_txt]]," ","")&lt;&gt;SUBSTITUTE(AV83," ",""))</f>
        <v>0</v>
      </c>
      <c r="AX84" s="8" t="s">
        <v>1796</v>
      </c>
    </row>
    <row r="85" spans="2:50" x14ac:dyDescent="0.4">
      <c r="B85" s="30">
        <v>43005.654861111114</v>
      </c>
      <c r="C85" t="s">
        <v>524</v>
      </c>
      <c r="D85" t="s">
        <v>477</v>
      </c>
      <c r="E85" t="s">
        <v>582</v>
      </c>
      <c r="F85" t="s">
        <v>611</v>
      </c>
      <c r="G85" s="8" t="s">
        <v>171</v>
      </c>
      <c r="H85" s="8" t="s">
        <v>169</v>
      </c>
      <c r="I85" s="8" t="s">
        <v>505</v>
      </c>
      <c r="J85" t="s">
        <v>94</v>
      </c>
      <c r="K85" t="s">
        <v>525</v>
      </c>
      <c r="L85" s="22">
        <v>43082.530243055553</v>
      </c>
      <c r="M85" s="109">
        <f xml:space="preserve"> M84+(ckAwdTable[ILN]&lt;"M")</f>
        <v>71</v>
      </c>
      <c r="N85" t="s">
        <v>491</v>
      </c>
      <c r="O85" t="s">
        <v>1372</v>
      </c>
      <c r="P85" s="15" t="str">
        <f>HYPERLINK("https://www.ejacket.nsf.gov/ej/showProposal.do?ID="&amp;ckAwdTable[[#This Row],[prop_id]],"eJ")</f>
        <v>eJ</v>
      </c>
      <c r="Q85" s="8" t="s">
        <v>478</v>
      </c>
      <c r="R85" t="s">
        <v>1372</v>
      </c>
      <c r="S85" t="s">
        <v>750</v>
      </c>
      <c r="T85" t="s">
        <v>1798</v>
      </c>
      <c r="U85" s="8" t="s">
        <v>1701</v>
      </c>
      <c r="V85" t="s">
        <v>310</v>
      </c>
      <c r="W85" s="113" t="str">
        <f>HYPERLINK("mailto:"&amp; ckAwdTable[[#This Row],[email]]&amp;"&amp;subject=Your NSF Proposal:  "&amp;ckAwdTable[[#This Row],[prop_id]], ckAwdTable[[#This Row],[email]])</f>
        <v>gchen16@uh.edu</v>
      </c>
      <c r="X85" s="30">
        <v>43221</v>
      </c>
      <c r="Y85">
        <v>48</v>
      </c>
      <c r="AA85" s="21" t="s">
        <v>13</v>
      </c>
      <c r="AB85" s="21" t="s">
        <v>382</v>
      </c>
      <c r="AC85"/>
      <c r="AD85" s="21" t="s">
        <v>13</v>
      </c>
      <c r="AF85" s="13">
        <v>599997</v>
      </c>
      <c r="AG85" s="124">
        <v>0</v>
      </c>
      <c r="AH85" s="1">
        <v>599997</v>
      </c>
      <c r="AI85" s="1"/>
      <c r="AJ85" s="1"/>
      <c r="AM85" s="21">
        <v>10</v>
      </c>
      <c r="AN85" s="21">
        <v>6</v>
      </c>
      <c r="AO85" s="21">
        <v>6</v>
      </c>
      <c r="AP85" s="21"/>
      <c r="AQ85" s="21"/>
      <c r="AR85" s="126" t="s">
        <v>172</v>
      </c>
      <c r="AS85" s="21" t="s">
        <v>493</v>
      </c>
      <c r="AT85" s="21" t="str">
        <f>IFERROR(IF(FIND("?",ckAwdTable[abst_narr_txt]),SummarizeQuestMarks(ckAwdTable[abst_narr_txt]),""),"")</f>
        <v/>
      </c>
      <c r="AU85" s="119"/>
      <c r="AV85" t="s">
        <v>1800</v>
      </c>
      <c r="AW85" t="b">
        <f>AND(ckAwdTable[[#This Row],[ILN]]&gt;"M", SUBSTITUTE(ckAwdTable[[#This Row],[prop_titl_txt]]," ","")&lt;&gt;SUBSTITUTE(AV84," ",""))</f>
        <v>0</v>
      </c>
      <c r="AX85" s="8" t="s">
        <v>1801</v>
      </c>
    </row>
    <row r="86" spans="2:50" x14ac:dyDescent="0.4">
      <c r="B86" s="30">
        <v>43005.677777777775</v>
      </c>
      <c r="C86" t="s">
        <v>524</v>
      </c>
      <c r="D86" t="s">
        <v>477</v>
      </c>
      <c r="E86" t="s">
        <v>582</v>
      </c>
      <c r="F86" t="s">
        <v>611</v>
      </c>
      <c r="G86" s="8" t="s">
        <v>171</v>
      </c>
      <c r="H86" s="8" t="s">
        <v>169</v>
      </c>
      <c r="I86" s="8" t="s">
        <v>505</v>
      </c>
      <c r="J86" t="s">
        <v>94</v>
      </c>
      <c r="K86" t="s">
        <v>525</v>
      </c>
      <c r="L86" s="22">
        <v>43082.530243055553</v>
      </c>
      <c r="M86" s="109">
        <f xml:space="preserve"> M85+(ckAwdTable[ILN]&lt;"M")</f>
        <v>71</v>
      </c>
      <c r="N86" t="s">
        <v>493</v>
      </c>
      <c r="O86" t="s">
        <v>1372</v>
      </c>
      <c r="P86" s="15" t="str">
        <f>HYPERLINK("https://www.ejacket.nsf.gov/ej/showProposal.do?ID="&amp;ckAwdTable[[#This Row],[prop_id]],"eJ")</f>
        <v>eJ</v>
      </c>
      <c r="Q86" s="8" t="s">
        <v>478</v>
      </c>
      <c r="R86" t="s">
        <v>1802</v>
      </c>
      <c r="S86" t="s">
        <v>488</v>
      </c>
      <c r="T86" t="s">
        <v>1803</v>
      </c>
      <c r="U86" s="8" t="s">
        <v>1600</v>
      </c>
      <c r="V86" t="s">
        <v>1598</v>
      </c>
      <c r="W86" s="113" t="str">
        <f>HYPERLINK("mailto:"&amp; ckAwdTable[[#This Row],[email]]&amp;"&amp;subject=Your NSF Proposal:  "&amp;ckAwdTable[[#This Row],[prop_id]], ckAwdTable[[#This Row],[email]])</f>
        <v>zhange@eecs.oregonstate.edu</v>
      </c>
      <c r="X86" s="30">
        <v>43221</v>
      </c>
      <c r="Y86">
        <v>48</v>
      </c>
      <c r="AA86" s="21" t="s">
        <v>13</v>
      </c>
      <c r="AB86" s="21" t="s">
        <v>382</v>
      </c>
      <c r="AC86"/>
      <c r="AD86" s="21" t="s">
        <v>13</v>
      </c>
      <c r="AE86" s="21" t="s">
        <v>506</v>
      </c>
      <c r="AF86" s="13">
        <v>600000</v>
      </c>
      <c r="AG86" s="124">
        <v>0</v>
      </c>
      <c r="AH86" s="1">
        <v>600000</v>
      </c>
      <c r="AI86" s="1"/>
      <c r="AJ86" s="1">
        <v>10548</v>
      </c>
      <c r="AL86" s="1">
        <v>7000</v>
      </c>
      <c r="AM86" s="21">
        <v>6</v>
      </c>
      <c r="AN86" s="21">
        <v>8</v>
      </c>
      <c r="AO86" s="21">
        <v>6</v>
      </c>
      <c r="AP86" s="21"/>
      <c r="AQ86" s="21"/>
      <c r="AR86" s="126" t="s">
        <v>172</v>
      </c>
      <c r="AS86" s="21" t="s">
        <v>493</v>
      </c>
      <c r="AT86" s="21" t="str">
        <f>IFERROR(IF(FIND("?",ckAwdTable[abst_narr_txt]),SummarizeQuestMarks(ckAwdTable[abst_narr_txt]),""),"")</f>
        <v/>
      </c>
      <c r="AU86" s="119"/>
      <c r="AV86" t="s">
        <v>1804</v>
      </c>
      <c r="AW86" t="b">
        <f>AND(ckAwdTable[[#This Row],[ILN]]&gt;"M", SUBSTITUTE(ckAwdTable[[#This Row],[prop_titl_txt]]," ","")&lt;&gt;SUBSTITUTE(AV85," ",""))</f>
        <v>0</v>
      </c>
      <c r="AX86" s="8" t="s">
        <v>1805</v>
      </c>
    </row>
    <row r="87" spans="2:50" x14ac:dyDescent="0.4">
      <c r="B87" s="30">
        <v>43005.654861111114</v>
      </c>
      <c r="C87" t="s">
        <v>524</v>
      </c>
      <c r="D87" t="s">
        <v>477</v>
      </c>
      <c r="E87" t="s">
        <v>582</v>
      </c>
      <c r="F87" t="s">
        <v>654</v>
      </c>
      <c r="G87" s="8" t="s">
        <v>171</v>
      </c>
      <c r="H87" s="8" t="s">
        <v>169</v>
      </c>
      <c r="I87" s="8" t="s">
        <v>505</v>
      </c>
      <c r="J87" t="s">
        <v>94</v>
      </c>
      <c r="K87" t="s">
        <v>525</v>
      </c>
      <c r="L87" s="22"/>
      <c r="M87" s="109">
        <f xml:space="preserve"> M86+(ckAwdTable[ILN]&lt;"M")</f>
        <v>72</v>
      </c>
      <c r="N87" t="s">
        <v>95</v>
      </c>
      <c r="O87" t="s">
        <v>1379</v>
      </c>
      <c r="P87" s="15" t="str">
        <f>HYPERLINK("https://www.ejacket.nsf.gov/ej/showProposal.do?ID="&amp;ckAwdTable[[#This Row],[prop_id]],"eJ")</f>
        <v>eJ</v>
      </c>
      <c r="Q87" s="8" t="s">
        <v>478</v>
      </c>
      <c r="R87" t="s">
        <v>1379</v>
      </c>
      <c r="S87" t="s">
        <v>1380</v>
      </c>
      <c r="T87" t="s">
        <v>528</v>
      </c>
      <c r="U87" s="8" t="s">
        <v>497</v>
      </c>
      <c r="V87" t="s">
        <v>496</v>
      </c>
      <c r="W87" s="113" t="str">
        <f>HYPERLINK("mailto:"&amp; ckAwdTable[[#This Row],[email]]&amp;"&amp;subject=Your NSF Proposal:  "&amp;ckAwdTable[[#This Row],[prop_id]], ckAwdTable[[#This Row],[email]])</f>
        <v>dwoodruf@andrew.cmu.edu</v>
      </c>
      <c r="X87" s="30">
        <v>43252</v>
      </c>
      <c r="Y87">
        <v>48</v>
      </c>
      <c r="AA87" s="21" t="s">
        <v>13</v>
      </c>
      <c r="AB87" s="21" t="s">
        <v>382</v>
      </c>
      <c r="AC87"/>
      <c r="AD87" s="21" t="s">
        <v>13</v>
      </c>
      <c r="AE87" s="21" t="s">
        <v>506</v>
      </c>
      <c r="AF87" s="13">
        <v>1191636</v>
      </c>
      <c r="AG87" s="124">
        <v>0</v>
      </c>
      <c r="AH87" s="1">
        <v>1191636</v>
      </c>
      <c r="AI87" s="1"/>
      <c r="AJ87" s="1">
        <v>12777</v>
      </c>
      <c r="AM87" s="21">
        <v>8</v>
      </c>
      <c r="AN87" s="21">
        <v>8</v>
      </c>
      <c r="AO87" s="21">
        <v>8</v>
      </c>
      <c r="AP87" s="21"/>
      <c r="AQ87" s="21"/>
      <c r="AR87" s="126" t="s">
        <v>172</v>
      </c>
      <c r="AS87" s="21" t="s">
        <v>493</v>
      </c>
      <c r="AT87" s="21" t="str">
        <f>IFERROR(IF(FIND("?",ckAwdTable[abst_narr_txt]),SummarizeQuestMarks(ckAwdTable[abst_narr_txt]),""),"")</f>
        <v/>
      </c>
      <c r="AU87" s="119"/>
      <c r="AV87" t="s">
        <v>1807</v>
      </c>
      <c r="AW87" t="b">
        <f>AND(ckAwdTable[[#This Row],[ILN]]&gt;"M", SUBSTITUTE(ckAwdTable[[#This Row],[prop_titl_txt]]," ","")&lt;&gt;SUBSTITUTE(AV86," ",""))</f>
        <v>0</v>
      </c>
      <c r="AX87" s="8" t="s">
        <v>1808</v>
      </c>
    </row>
    <row r="88" spans="2:50" x14ac:dyDescent="0.4">
      <c r="B88" s="30">
        <v>43005.67291666667</v>
      </c>
      <c r="C88" t="s">
        <v>524</v>
      </c>
      <c r="D88" t="s">
        <v>477</v>
      </c>
      <c r="E88" t="s">
        <v>582</v>
      </c>
      <c r="F88" t="s">
        <v>611</v>
      </c>
      <c r="G88" s="8" t="s">
        <v>171</v>
      </c>
      <c r="H88" s="8" t="s">
        <v>169</v>
      </c>
      <c r="I88" s="8" t="s">
        <v>505</v>
      </c>
      <c r="J88" t="s">
        <v>94</v>
      </c>
      <c r="K88" t="s">
        <v>525</v>
      </c>
      <c r="L88" s="22"/>
      <c r="M88" s="109">
        <f xml:space="preserve"> M87+(ckAwdTable[ILN]&lt;"M")</f>
        <v>73</v>
      </c>
      <c r="N88" t="s">
        <v>491</v>
      </c>
      <c r="O88" t="s">
        <v>1387</v>
      </c>
      <c r="P88" s="15" t="str">
        <f>HYPERLINK("https://www.ejacket.nsf.gov/ej/showProposal.do?ID="&amp;ckAwdTable[[#This Row],[prop_id]],"eJ")</f>
        <v>eJ</v>
      </c>
      <c r="Q88" s="8" t="s">
        <v>478</v>
      </c>
      <c r="R88" t="s">
        <v>1387</v>
      </c>
      <c r="S88" t="s">
        <v>1388</v>
      </c>
      <c r="T88" t="s">
        <v>1810</v>
      </c>
      <c r="U88" s="8" t="s">
        <v>1487</v>
      </c>
      <c r="V88" t="s">
        <v>231</v>
      </c>
      <c r="W88" s="113" t="str">
        <f>HYPERLINK("mailto:"&amp; ckAwdTable[[#This Row],[email]]&amp;"&amp;subject=Your NSF Proposal:  "&amp;ckAwdTable[[#This Row],[prop_id]], ckAwdTable[[#This Row],[email]])</f>
        <v>edemaine@mit.edu</v>
      </c>
      <c r="X88" s="30">
        <v>43252</v>
      </c>
      <c r="Y88">
        <v>48</v>
      </c>
      <c r="AA88" s="21" t="s">
        <v>13</v>
      </c>
      <c r="AB88" s="21" t="s">
        <v>382</v>
      </c>
      <c r="AC88"/>
      <c r="AD88" s="21" t="s">
        <v>13</v>
      </c>
      <c r="AF88" s="13">
        <v>600000</v>
      </c>
      <c r="AG88" s="124">
        <v>0</v>
      </c>
      <c r="AH88" s="1">
        <v>600000</v>
      </c>
      <c r="AI88" s="1"/>
      <c r="AJ88" s="1"/>
      <c r="AM88" s="21">
        <v>8</v>
      </c>
      <c r="AN88" s="21">
        <v>4</v>
      </c>
      <c r="AO88" s="21">
        <v>2</v>
      </c>
      <c r="AP88" s="21"/>
      <c r="AQ88" s="21"/>
      <c r="AR88" s="126" t="s">
        <v>172</v>
      </c>
      <c r="AS88" s="21" t="s">
        <v>493</v>
      </c>
      <c r="AT88" s="21" t="str">
        <f>IFERROR(IF(FIND("?",ckAwdTable[abst_narr_txt]),SummarizeQuestMarks(ckAwdTable[abst_narr_txt]),""),"")</f>
        <v/>
      </c>
      <c r="AU88" s="119"/>
      <c r="AV88" t="s">
        <v>1811</v>
      </c>
      <c r="AW88" t="b">
        <f>AND(ckAwdTable[[#This Row],[ILN]]&gt;"M", SUBSTITUTE(ckAwdTable[[#This Row],[prop_titl_txt]]," ","")&lt;&gt;SUBSTITUTE(AV87," ",""))</f>
        <v>0</v>
      </c>
      <c r="AX88" s="8" t="s">
        <v>1812</v>
      </c>
    </row>
    <row r="89" spans="2:50" x14ac:dyDescent="0.4">
      <c r="B89" s="30">
        <v>43005.448611111111</v>
      </c>
      <c r="C89" t="s">
        <v>524</v>
      </c>
      <c r="D89" t="s">
        <v>477</v>
      </c>
      <c r="E89" t="s">
        <v>582</v>
      </c>
      <c r="F89" t="s">
        <v>611</v>
      </c>
      <c r="G89" s="8" t="s">
        <v>171</v>
      </c>
      <c r="H89" s="8" t="s">
        <v>169</v>
      </c>
      <c r="I89" s="8" t="s">
        <v>505</v>
      </c>
      <c r="J89" t="s">
        <v>94</v>
      </c>
      <c r="K89" t="s">
        <v>525</v>
      </c>
      <c r="L89" s="22"/>
      <c r="M89" s="109">
        <f xml:space="preserve"> M88+(ckAwdTable[ILN]&lt;"M")</f>
        <v>73</v>
      </c>
      <c r="N89" t="s">
        <v>493</v>
      </c>
      <c r="O89" t="s">
        <v>1387</v>
      </c>
      <c r="P89" s="15" t="str">
        <f>HYPERLINK("https://www.ejacket.nsf.gov/ej/showProposal.do?ID="&amp;ckAwdTable[[#This Row],[prop_id]],"eJ")</f>
        <v>eJ</v>
      </c>
      <c r="Q89" s="8" t="s">
        <v>478</v>
      </c>
      <c r="R89" t="s">
        <v>1813</v>
      </c>
      <c r="S89" t="s">
        <v>1814</v>
      </c>
      <c r="T89" t="s">
        <v>1815</v>
      </c>
      <c r="U89" s="8" t="s">
        <v>500</v>
      </c>
      <c r="V89" t="s">
        <v>490</v>
      </c>
      <c r="W89" s="113" t="str">
        <f>HYPERLINK("mailto:"&amp; ckAwdTable[[#This Row],[email]]&amp;"&amp;subject=Your NSF Proposal:  "&amp;ckAwdTable[[#This Row],[prop_id]], ckAwdTable[[#This Row],[email]])</f>
        <v>hajiagha@cs.umd.edu</v>
      </c>
      <c r="X89" s="30">
        <v>43252</v>
      </c>
      <c r="Y89">
        <v>48</v>
      </c>
      <c r="AA89" s="21" t="s">
        <v>13</v>
      </c>
      <c r="AB89" s="21" t="s">
        <v>382</v>
      </c>
      <c r="AC89"/>
      <c r="AD89" s="21" t="s">
        <v>13</v>
      </c>
      <c r="AE89" s="21" t="s">
        <v>506</v>
      </c>
      <c r="AF89" s="13">
        <v>600000</v>
      </c>
      <c r="AG89" s="124">
        <v>0</v>
      </c>
      <c r="AH89" s="1">
        <v>600000</v>
      </c>
      <c r="AI89" s="1"/>
      <c r="AJ89" s="1">
        <v>12000</v>
      </c>
      <c r="AM89" s="21">
        <v>8</v>
      </c>
      <c r="AN89" s="21">
        <v>4</v>
      </c>
      <c r="AO89" s="21"/>
      <c r="AP89" s="21"/>
      <c r="AQ89" s="21">
        <v>4</v>
      </c>
      <c r="AR89" s="126" t="s">
        <v>172</v>
      </c>
      <c r="AS89" s="21" t="s">
        <v>493</v>
      </c>
      <c r="AT89" s="21" t="str">
        <f>IFERROR(IF(FIND("?",ckAwdTable[abst_narr_txt]),SummarizeQuestMarks(ckAwdTable[abst_narr_txt]),""),"")</f>
        <v/>
      </c>
      <c r="AU89" s="119"/>
      <c r="AV89" t="s">
        <v>1811</v>
      </c>
      <c r="AW89" t="b">
        <f>AND(ckAwdTable[[#This Row],[ILN]]&gt;"M", SUBSTITUTE(ckAwdTable[[#This Row],[prop_titl_txt]]," ","")&lt;&gt;SUBSTITUTE(AV88," ",""))</f>
        <v>0</v>
      </c>
      <c r="AX89" s="8" t="s">
        <v>1816</v>
      </c>
    </row>
    <row r="90" spans="2:50" x14ac:dyDescent="0.4">
      <c r="B90" s="30">
        <v>43005.686805555553</v>
      </c>
      <c r="C90" t="s">
        <v>524</v>
      </c>
      <c r="D90" t="s">
        <v>477</v>
      </c>
      <c r="E90" t="s">
        <v>582</v>
      </c>
      <c r="F90" t="s">
        <v>654</v>
      </c>
      <c r="G90" s="8" t="s">
        <v>171</v>
      </c>
      <c r="H90" s="8" t="s">
        <v>169</v>
      </c>
      <c r="I90" s="8" t="s">
        <v>505</v>
      </c>
      <c r="J90" t="s">
        <v>94</v>
      </c>
      <c r="K90" t="s">
        <v>525</v>
      </c>
      <c r="L90" s="22"/>
      <c r="M90" s="109">
        <f xml:space="preserve"> M89+(ckAwdTable[ILN]&lt;"M")</f>
        <v>74</v>
      </c>
      <c r="N90" t="s">
        <v>95</v>
      </c>
      <c r="O90" t="s">
        <v>1395</v>
      </c>
      <c r="P90" s="15" t="str">
        <f>HYPERLINK("https://www.ejacket.nsf.gov/ej/showProposal.do?ID="&amp;ckAwdTable[[#This Row],[prop_id]],"eJ")</f>
        <v>eJ</v>
      </c>
      <c r="Q90" s="8" t="s">
        <v>478</v>
      </c>
      <c r="R90" t="s">
        <v>1395</v>
      </c>
      <c r="S90" t="s">
        <v>1396</v>
      </c>
      <c r="T90" t="s">
        <v>1818</v>
      </c>
      <c r="U90" s="8" t="s">
        <v>1472</v>
      </c>
      <c r="V90" t="s">
        <v>1470</v>
      </c>
      <c r="W90" s="113" t="str">
        <f>HYPERLINK("mailto:"&amp; ckAwdTable[[#This Row],[email]]&amp;"&amp;subject=Your NSF Proposal:  "&amp;ckAwdTable[[#This Row],[prop_id]], ckAwdTable[[#This Row],[email]])</f>
        <v>christos@cs.berkeley.edu</v>
      </c>
      <c r="X90" s="30">
        <v>43221</v>
      </c>
      <c r="Y90">
        <v>48</v>
      </c>
      <c r="AA90" s="21" t="s">
        <v>13</v>
      </c>
      <c r="AB90" s="21" t="s">
        <v>382</v>
      </c>
      <c r="AC90"/>
      <c r="AD90" s="21" t="s">
        <v>13</v>
      </c>
      <c r="AF90" s="13">
        <v>1200000</v>
      </c>
      <c r="AG90" s="124">
        <v>0</v>
      </c>
      <c r="AH90" s="1">
        <v>1200000</v>
      </c>
      <c r="AI90" s="1"/>
      <c r="AJ90" s="1"/>
      <c r="AM90" s="21">
        <v>8</v>
      </c>
      <c r="AN90" s="21">
        <v>8</v>
      </c>
      <c r="AO90" s="21"/>
      <c r="AP90" s="21"/>
      <c r="AQ90" s="21">
        <v>10.1</v>
      </c>
      <c r="AR90" s="126" t="s">
        <v>172</v>
      </c>
      <c r="AS90" s="21" t="s">
        <v>493</v>
      </c>
      <c r="AT90" s="21" t="str">
        <f>IFERROR(IF(FIND("?",ckAwdTable[abst_narr_txt]),SummarizeQuestMarks(ckAwdTable[abst_narr_txt]),""),"")</f>
        <v/>
      </c>
      <c r="AU90" s="119"/>
      <c r="AV90" t="s">
        <v>1820</v>
      </c>
      <c r="AW90" t="b">
        <f>AND(ckAwdTable[[#This Row],[ILN]]&gt;"M", SUBSTITUTE(ckAwdTable[[#This Row],[prop_titl_txt]]," ","")&lt;&gt;SUBSTITUTE(AV89," ",""))</f>
        <v>0</v>
      </c>
      <c r="AX90" s="8" t="s">
        <v>1821</v>
      </c>
    </row>
    <row r="91" spans="2:50" x14ac:dyDescent="0.4">
      <c r="B91" s="30">
        <v>43005.713194444441</v>
      </c>
      <c r="C91" t="s">
        <v>524</v>
      </c>
      <c r="D91" t="s">
        <v>477</v>
      </c>
      <c r="E91" t="s">
        <v>582</v>
      </c>
      <c r="F91" t="s">
        <v>654</v>
      </c>
      <c r="G91" s="8" t="s">
        <v>171</v>
      </c>
      <c r="H91" s="8" t="s">
        <v>169</v>
      </c>
      <c r="I91" s="8" t="s">
        <v>505</v>
      </c>
      <c r="J91" t="s">
        <v>94</v>
      </c>
      <c r="K91" t="s">
        <v>525</v>
      </c>
      <c r="L91" s="22"/>
      <c r="M91" s="109">
        <f xml:space="preserve"> M90+(ckAwdTable[ILN]&lt;"M")</f>
        <v>75</v>
      </c>
      <c r="N91" t="s">
        <v>491</v>
      </c>
      <c r="O91" t="s">
        <v>1403</v>
      </c>
      <c r="P91" s="15" t="str">
        <f>HYPERLINK("https://www.ejacket.nsf.gov/ej/showProposal.do?ID="&amp;ckAwdTable[[#This Row],[prop_id]],"eJ")</f>
        <v>eJ</v>
      </c>
      <c r="Q91" s="8" t="s">
        <v>478</v>
      </c>
      <c r="R91" t="s">
        <v>1403</v>
      </c>
      <c r="S91" t="s">
        <v>1404</v>
      </c>
      <c r="T91" t="s">
        <v>1822</v>
      </c>
      <c r="U91" s="8" t="s">
        <v>1823</v>
      </c>
      <c r="V91" t="s">
        <v>306</v>
      </c>
      <c r="W91" s="113" t="str">
        <f>HYPERLINK("mailto:"&amp; ckAwdTable[[#This Row],[email]]&amp;"&amp;subject=Your NSF Proposal:  "&amp;ckAwdTable[[#This Row],[prop_id]], ckAwdTable[[#This Row],[email]])</f>
        <v>nati@ttic.edu</v>
      </c>
      <c r="X91" s="30">
        <v>43313</v>
      </c>
      <c r="Y91">
        <v>36</v>
      </c>
      <c r="AA91" s="21" t="s">
        <v>13</v>
      </c>
      <c r="AB91" s="21" t="s">
        <v>382</v>
      </c>
      <c r="AC91"/>
      <c r="AD91" s="21" t="s">
        <v>13</v>
      </c>
      <c r="AE91" s="21" t="s">
        <v>506</v>
      </c>
      <c r="AF91" s="13">
        <v>541101</v>
      </c>
      <c r="AG91" s="124">
        <v>0</v>
      </c>
      <c r="AH91" s="1">
        <v>541101</v>
      </c>
      <c r="AI91" s="1"/>
      <c r="AJ91" s="1">
        <v>24727</v>
      </c>
      <c r="AK91" s="1">
        <v>92000</v>
      </c>
      <c r="AM91" s="21">
        <v>3</v>
      </c>
      <c r="AN91" s="21">
        <v>6</v>
      </c>
      <c r="AO91" s="21">
        <v>5</v>
      </c>
      <c r="AP91" s="21"/>
      <c r="AQ91" s="21"/>
      <c r="AR91" s="126" t="s">
        <v>172</v>
      </c>
      <c r="AS91" s="21" t="s">
        <v>493</v>
      </c>
      <c r="AT91" s="21" t="str">
        <f>IFERROR(IF(FIND("?",ckAwdTable[abst_narr_txt]),SummarizeQuestMarks(ckAwdTable[abst_narr_txt]),""),"")</f>
        <v/>
      </c>
      <c r="AU91" s="119"/>
      <c r="AV91" t="s">
        <v>1824</v>
      </c>
      <c r="AW91" t="b">
        <f>AND(ckAwdTable[[#This Row],[ILN]]&gt;"M", SUBSTITUTE(ckAwdTable[[#This Row],[prop_titl_txt]]," ","")&lt;&gt;SUBSTITUTE(AV90," ",""))</f>
        <v>0</v>
      </c>
      <c r="AX91" s="8" t="s">
        <v>1825</v>
      </c>
    </row>
    <row r="92" spans="2:50" x14ac:dyDescent="0.4">
      <c r="B92" s="30">
        <v>43005.481944444444</v>
      </c>
      <c r="C92" t="s">
        <v>524</v>
      </c>
      <c r="D92" t="s">
        <v>477</v>
      </c>
      <c r="E92" t="s">
        <v>582</v>
      </c>
      <c r="F92" t="s">
        <v>654</v>
      </c>
      <c r="G92" s="8" t="s">
        <v>171</v>
      </c>
      <c r="H92" s="8" t="s">
        <v>169</v>
      </c>
      <c r="I92" s="8" t="s">
        <v>505</v>
      </c>
      <c r="J92" t="s">
        <v>94</v>
      </c>
      <c r="K92" t="s">
        <v>525</v>
      </c>
      <c r="L92" s="22"/>
      <c r="M92" s="109">
        <f xml:space="preserve"> M91+(ckAwdTable[ILN]&lt;"M")</f>
        <v>75</v>
      </c>
      <c r="N92" t="s">
        <v>493</v>
      </c>
      <c r="O92" t="s">
        <v>1403</v>
      </c>
      <c r="P92" s="15" t="str">
        <f>HYPERLINK("https://www.ejacket.nsf.gov/ej/showProposal.do?ID="&amp;ckAwdTable[[#This Row],[prop_id]],"eJ")</f>
        <v>eJ</v>
      </c>
      <c r="Q92" s="8" t="s">
        <v>478</v>
      </c>
      <c r="R92" t="s">
        <v>1826</v>
      </c>
      <c r="S92" t="s">
        <v>1827</v>
      </c>
      <c r="T92" t="s">
        <v>1828</v>
      </c>
      <c r="U92" s="8" t="s">
        <v>497</v>
      </c>
      <c r="V92" t="s">
        <v>496</v>
      </c>
      <c r="W92" s="113" t="str">
        <f>HYPERLINK("mailto:"&amp; ckAwdTable[[#This Row],[email]]&amp;"&amp;subject=Your NSF Proposal:  "&amp;ckAwdTable[[#This Row],[prop_id]], ckAwdTable[[#This Row],[email]])</f>
        <v>rsalakhu@cs.cmu.edu</v>
      </c>
      <c r="X92" s="30">
        <v>43313</v>
      </c>
      <c r="Y92">
        <v>36</v>
      </c>
      <c r="AA92" s="21" t="s">
        <v>13</v>
      </c>
      <c r="AB92" s="21" t="s">
        <v>382</v>
      </c>
      <c r="AC92"/>
      <c r="AD92" s="21" t="s">
        <v>13</v>
      </c>
      <c r="AE92" s="21" t="s">
        <v>506</v>
      </c>
      <c r="AF92" s="13">
        <v>329074</v>
      </c>
      <c r="AG92" s="124">
        <v>0</v>
      </c>
      <c r="AH92" s="1">
        <v>329074</v>
      </c>
      <c r="AI92" s="1"/>
      <c r="AJ92" s="1">
        <v>16345</v>
      </c>
      <c r="AM92" s="21">
        <v>3</v>
      </c>
      <c r="AN92" s="21">
        <v>3</v>
      </c>
      <c r="AO92" s="21">
        <v>2.1</v>
      </c>
      <c r="AP92" s="21"/>
      <c r="AQ92" s="21"/>
      <c r="AR92" s="126" t="s">
        <v>172</v>
      </c>
      <c r="AS92" s="21" t="s">
        <v>493</v>
      </c>
      <c r="AT92" s="21" t="str">
        <f>IFERROR(IF(FIND("?",ckAwdTable[abst_narr_txt]),SummarizeQuestMarks(ckAwdTable[abst_narr_txt]),""),"")</f>
        <v/>
      </c>
      <c r="AU92" s="119"/>
      <c r="AV92" t="s">
        <v>1824</v>
      </c>
      <c r="AW92" t="b">
        <f>AND(ckAwdTable[[#This Row],[ILN]]&gt;"M", SUBSTITUTE(ckAwdTable[[#This Row],[prop_titl_txt]]," ","")&lt;&gt;SUBSTITUTE(AV91," ",""))</f>
        <v>0</v>
      </c>
      <c r="AX92" s="8" t="s">
        <v>1829</v>
      </c>
    </row>
    <row r="93" spans="2:50" x14ac:dyDescent="0.4">
      <c r="B93" s="30">
        <v>43005.713888888888</v>
      </c>
      <c r="C93" t="s">
        <v>524</v>
      </c>
      <c r="D93" t="s">
        <v>477</v>
      </c>
      <c r="E93" t="s">
        <v>582</v>
      </c>
      <c r="F93" t="s">
        <v>654</v>
      </c>
      <c r="G93" s="8" t="s">
        <v>171</v>
      </c>
      <c r="H93" s="8" t="s">
        <v>169</v>
      </c>
      <c r="I93" s="8" t="s">
        <v>505</v>
      </c>
      <c r="J93" t="s">
        <v>94</v>
      </c>
      <c r="K93" t="s">
        <v>525</v>
      </c>
      <c r="L93" s="22"/>
      <c r="M93" s="109">
        <f xml:space="preserve"> M92+(ckAwdTable[ILN]&lt;"M")</f>
        <v>75</v>
      </c>
      <c r="N93" t="s">
        <v>493</v>
      </c>
      <c r="O93" t="s">
        <v>1403</v>
      </c>
      <c r="P93" s="15" t="str">
        <f>HYPERLINK("https://www.ejacket.nsf.gov/ej/showProposal.do?ID="&amp;ckAwdTable[[#This Row],[prop_id]],"eJ")</f>
        <v>eJ</v>
      </c>
      <c r="Q93" s="8" t="s">
        <v>478</v>
      </c>
      <c r="R93" t="s">
        <v>1830</v>
      </c>
      <c r="S93" t="s">
        <v>937</v>
      </c>
      <c r="T93" t="s">
        <v>1554</v>
      </c>
      <c r="U93" s="8" t="s">
        <v>501</v>
      </c>
      <c r="V93" t="s">
        <v>230</v>
      </c>
      <c r="W93" s="113" t="str">
        <f>HYPERLINK("mailto:"&amp; ckAwdTable[[#This Row],[email]]&amp;"&amp;subject=Your NSF Proposal:  "&amp;ckAwdTable[[#This Row],[prop_id]], ckAwdTable[[#This Row],[email]])</f>
        <v xml:space="preserve"> hardt@eecs.berkeley.edu</v>
      </c>
      <c r="X93" s="30">
        <v>43313</v>
      </c>
      <c r="Y93">
        <v>36</v>
      </c>
      <c r="AA93" s="21" t="s">
        <v>13</v>
      </c>
      <c r="AB93" s="21" t="s">
        <v>382</v>
      </c>
      <c r="AC93"/>
      <c r="AD93" s="21" t="s">
        <v>13</v>
      </c>
      <c r="AF93" s="13">
        <v>328204</v>
      </c>
      <c r="AG93" s="124">
        <v>0</v>
      </c>
      <c r="AH93" s="1">
        <v>328204</v>
      </c>
      <c r="AI93" s="1"/>
      <c r="AJ93" s="1"/>
      <c r="AM93" s="21">
        <v>3</v>
      </c>
      <c r="AN93" s="21">
        <v>3</v>
      </c>
      <c r="AO93" s="21">
        <v>1.5</v>
      </c>
      <c r="AP93" s="21"/>
      <c r="AQ93" s="21"/>
      <c r="AR93" s="126" t="s">
        <v>172</v>
      </c>
      <c r="AS93" s="21" t="s">
        <v>493</v>
      </c>
      <c r="AT93" s="21" t="str">
        <f>IFERROR(IF(FIND("?",ckAwdTable[abst_narr_txt]),SummarizeQuestMarks(ckAwdTable[abst_narr_txt]),""),"")</f>
        <v/>
      </c>
      <c r="AU93" s="119"/>
      <c r="AV93" t="s">
        <v>1824</v>
      </c>
      <c r="AW93" t="b">
        <f>AND(ckAwdTable[[#This Row],[ILN]]&gt;"M", SUBSTITUTE(ckAwdTable[[#This Row],[prop_titl_txt]]," ","")&lt;&gt;SUBSTITUTE(AV92," ",""))</f>
        <v>0</v>
      </c>
      <c r="AX93" s="8" t="s">
        <v>1557</v>
      </c>
    </row>
    <row r="94" spans="2:50" x14ac:dyDescent="0.4">
      <c r="B94" s="30">
        <v>43005.740277777775</v>
      </c>
      <c r="C94" t="s">
        <v>1831</v>
      </c>
      <c r="D94" t="s">
        <v>1622</v>
      </c>
      <c r="E94" t="s">
        <v>580</v>
      </c>
      <c r="F94" t="s">
        <v>1166</v>
      </c>
      <c r="G94" s="8" t="s">
        <v>171</v>
      </c>
      <c r="H94" s="8" t="s">
        <v>169</v>
      </c>
      <c r="I94" s="8" t="s">
        <v>505</v>
      </c>
      <c r="J94" t="s">
        <v>94</v>
      </c>
      <c r="K94" t="s">
        <v>1832</v>
      </c>
      <c r="L94" s="22"/>
      <c r="M94" s="109">
        <f xml:space="preserve"> M93+(ckAwdTable[ILN]&lt;"M")</f>
        <v>76</v>
      </c>
      <c r="N94" t="s">
        <v>95</v>
      </c>
      <c r="O94" t="s">
        <v>1411</v>
      </c>
      <c r="P94" s="15" t="str">
        <f>HYPERLINK("https://www.ejacket.nsf.gov/ej/showProposal.do?ID="&amp;ckAwdTable[[#This Row],[prop_id]],"eJ")</f>
        <v>eJ</v>
      </c>
      <c r="Q94" s="8" t="s">
        <v>1625</v>
      </c>
      <c r="R94" t="s">
        <v>1411</v>
      </c>
      <c r="S94" t="s">
        <v>1412</v>
      </c>
      <c r="T94" t="s">
        <v>1524</v>
      </c>
      <c r="U94" s="8" t="s">
        <v>1834</v>
      </c>
      <c r="V94" t="s">
        <v>230</v>
      </c>
      <c r="W94" s="113" t="str">
        <f>HYPERLINK("mailto:"&amp; ckAwdTable[[#This Row],[email]]&amp;"&amp;subject=Your NSF Proposal:  "&amp;ckAwdTable[[#This Row],[prop_id]], ckAwdTable[[#This Row],[email]])</f>
        <v>mmahoney@icsi.berkeley.edu</v>
      </c>
      <c r="X94" s="30">
        <v>43160</v>
      </c>
      <c r="Y94">
        <v>48</v>
      </c>
      <c r="AA94" s="21" t="s">
        <v>13</v>
      </c>
      <c r="AB94" s="21" t="s">
        <v>382</v>
      </c>
      <c r="AC94"/>
      <c r="AD94" s="21" t="s">
        <v>13</v>
      </c>
      <c r="AE94" s="21" t="s">
        <v>2011</v>
      </c>
      <c r="AF94" s="13">
        <v>1200000</v>
      </c>
      <c r="AG94" s="124">
        <v>0</v>
      </c>
      <c r="AH94" s="1">
        <v>1200000</v>
      </c>
      <c r="AI94" s="1"/>
      <c r="AJ94" s="1">
        <v>48000</v>
      </c>
      <c r="AM94" s="21">
        <v>16</v>
      </c>
      <c r="AN94" s="21">
        <v>4</v>
      </c>
      <c r="AO94" s="21"/>
      <c r="AP94" s="21"/>
      <c r="AQ94" s="21">
        <v>4</v>
      </c>
      <c r="AR94" s="126" t="s">
        <v>172</v>
      </c>
      <c r="AS94" s="21" t="s">
        <v>493</v>
      </c>
      <c r="AT94" s="21" t="str">
        <f>IFERROR(IF(FIND("?",ckAwdTable[abst_narr_txt]),SummarizeQuestMarks(ckAwdTable[abst_narr_txt]),""),"")</f>
        <v/>
      </c>
      <c r="AU94" s="119"/>
      <c r="AV94" t="s">
        <v>1836</v>
      </c>
      <c r="AW94" t="b">
        <f>AND(ckAwdTable[[#This Row],[ILN]]&gt;"M", SUBSTITUTE(ckAwdTable[[#This Row],[prop_titl_txt]]," ","")&lt;&gt;SUBSTITUTE(AV93," ",""))</f>
        <v>0</v>
      </c>
      <c r="AX94" s="8" t="s">
        <v>1837</v>
      </c>
    </row>
    <row r="95" spans="2:50" x14ac:dyDescent="0.4">
      <c r="B95" s="30">
        <v>43005.743750000001</v>
      </c>
      <c r="C95" t="s">
        <v>524</v>
      </c>
      <c r="D95" t="s">
        <v>477</v>
      </c>
      <c r="E95" t="s">
        <v>582</v>
      </c>
      <c r="F95" t="s">
        <v>611</v>
      </c>
      <c r="G95" s="8" t="s">
        <v>171</v>
      </c>
      <c r="H95" s="8" t="s">
        <v>169</v>
      </c>
      <c r="I95" s="8" t="s">
        <v>505</v>
      </c>
      <c r="J95" t="s">
        <v>94</v>
      </c>
      <c r="K95" t="s">
        <v>525</v>
      </c>
      <c r="L95" s="22">
        <v>43082.530312499999</v>
      </c>
      <c r="M95" s="109">
        <f xml:space="preserve"> M94+(ckAwdTable[ILN]&lt;"M")</f>
        <v>77</v>
      </c>
      <c r="N95" t="s">
        <v>491</v>
      </c>
      <c r="O95" t="s">
        <v>1420</v>
      </c>
      <c r="P95" s="15" t="str">
        <f>HYPERLINK("https://www.ejacket.nsf.gov/ej/showProposal.do?ID="&amp;ckAwdTable[[#This Row],[prop_id]],"eJ")</f>
        <v>eJ</v>
      </c>
      <c r="Q95" s="8" t="s">
        <v>478</v>
      </c>
      <c r="R95" t="s">
        <v>1420</v>
      </c>
      <c r="S95" t="s">
        <v>1421</v>
      </c>
      <c r="T95" t="s">
        <v>1838</v>
      </c>
      <c r="U95" s="8" t="s">
        <v>1839</v>
      </c>
      <c r="V95" t="s">
        <v>306</v>
      </c>
      <c r="W95" s="113" t="str">
        <f>HYPERLINK("mailto:"&amp; ckAwdTable[[#This Row],[email]]&amp;"&amp;subject=Your NSF Proposal:  "&amp;ckAwdTable[[#This Row],[prop_id]], ckAwdTable[[#This Row],[email]])</f>
        <v>wbwu@galton.uchicago.edu</v>
      </c>
      <c r="X95" s="30">
        <v>43282</v>
      </c>
      <c r="Y95">
        <v>48</v>
      </c>
      <c r="AA95" s="21" t="s">
        <v>13</v>
      </c>
      <c r="AB95" s="21" t="s">
        <v>382</v>
      </c>
      <c r="AC95"/>
      <c r="AD95" s="21" t="s">
        <v>13</v>
      </c>
      <c r="AE95" s="21" t="s">
        <v>506</v>
      </c>
      <c r="AF95" s="13">
        <v>399414</v>
      </c>
      <c r="AG95" s="124">
        <v>0</v>
      </c>
      <c r="AH95" s="1">
        <v>399414</v>
      </c>
      <c r="AI95" s="1"/>
      <c r="AJ95" s="1">
        <v>12551</v>
      </c>
      <c r="AM95" s="21">
        <v>8</v>
      </c>
      <c r="AN95" s="21">
        <v>4</v>
      </c>
      <c r="AO95" s="21">
        <v>6.5</v>
      </c>
      <c r="AP95" s="21"/>
      <c r="AQ95" s="21"/>
      <c r="AR95" s="126" t="s">
        <v>172</v>
      </c>
      <c r="AS95" s="21" t="s">
        <v>493</v>
      </c>
      <c r="AT95" s="21" t="str">
        <f>IFERROR(IF(FIND("?",ckAwdTable[abst_narr_txt]),SummarizeQuestMarks(ckAwdTable[abst_narr_txt]),""),"")</f>
        <v/>
      </c>
      <c r="AU95" s="119"/>
      <c r="AV95" t="s">
        <v>1841</v>
      </c>
      <c r="AW95" t="b">
        <f>AND(ckAwdTable[[#This Row],[ILN]]&gt;"M", SUBSTITUTE(ckAwdTable[[#This Row],[prop_titl_txt]]," ","")&lt;&gt;SUBSTITUTE(AV94," ",""))</f>
        <v>0</v>
      </c>
      <c r="AX95" s="8" t="s">
        <v>1842</v>
      </c>
    </row>
    <row r="96" spans="2:50" x14ac:dyDescent="0.4">
      <c r="B96" s="30">
        <v>43005.654166666667</v>
      </c>
      <c r="C96" t="s">
        <v>524</v>
      </c>
      <c r="D96" t="s">
        <v>477</v>
      </c>
      <c r="E96" t="s">
        <v>582</v>
      </c>
      <c r="F96" t="s">
        <v>611</v>
      </c>
      <c r="G96" s="8" t="s">
        <v>171</v>
      </c>
      <c r="H96" s="8" t="s">
        <v>169</v>
      </c>
      <c r="I96" s="8" t="s">
        <v>505</v>
      </c>
      <c r="J96" t="s">
        <v>94</v>
      </c>
      <c r="K96" t="s">
        <v>525</v>
      </c>
      <c r="L96" s="22">
        <v>43082.530312499999</v>
      </c>
      <c r="M96" s="109">
        <f xml:space="preserve"> M95+(ckAwdTable[ILN]&lt;"M")</f>
        <v>77</v>
      </c>
      <c r="N96" t="s">
        <v>493</v>
      </c>
      <c r="O96" t="s">
        <v>1420</v>
      </c>
      <c r="P96" s="15" t="str">
        <f>HYPERLINK("https://www.ejacket.nsf.gov/ej/showProposal.do?ID="&amp;ckAwdTable[[#This Row],[prop_id]],"eJ")</f>
        <v>eJ</v>
      </c>
      <c r="Q96" s="8" t="s">
        <v>478</v>
      </c>
      <c r="R96" t="s">
        <v>1843</v>
      </c>
      <c r="S96" t="s">
        <v>1352</v>
      </c>
      <c r="T96" t="s">
        <v>1844</v>
      </c>
      <c r="U96" s="8" t="s">
        <v>1845</v>
      </c>
      <c r="V96" t="s">
        <v>498</v>
      </c>
      <c r="W96" s="113" t="str">
        <f>HYPERLINK("mailto:"&amp; ckAwdTable[[#This Row],[email]]&amp;"&amp;subject=Your NSF Proposal:  "&amp;ckAwdTable[[#This Row],[prop_id]], ckAwdTable[[#This Row],[email]])</f>
        <v>maggie.cheng@njit.edu</v>
      </c>
      <c r="X96" s="30">
        <v>43282</v>
      </c>
      <c r="Y96">
        <v>48</v>
      </c>
      <c r="AA96" s="21" t="s">
        <v>13</v>
      </c>
      <c r="AB96" s="21" t="s">
        <v>382</v>
      </c>
      <c r="AC96"/>
      <c r="AD96" s="21" t="s">
        <v>13</v>
      </c>
      <c r="AE96" s="21" t="s">
        <v>506</v>
      </c>
      <c r="AF96" s="13">
        <v>398685</v>
      </c>
      <c r="AG96" s="124">
        <v>0</v>
      </c>
      <c r="AH96" s="1">
        <v>398685</v>
      </c>
      <c r="AI96" s="1"/>
      <c r="AJ96" s="1">
        <v>8000</v>
      </c>
      <c r="AM96" s="21">
        <v>4</v>
      </c>
      <c r="AN96" s="21">
        <v>4</v>
      </c>
      <c r="AO96" s="21">
        <v>4</v>
      </c>
      <c r="AP96" s="21"/>
      <c r="AQ96" s="21"/>
      <c r="AR96" s="126" t="s">
        <v>172</v>
      </c>
      <c r="AS96" s="21" t="s">
        <v>493</v>
      </c>
      <c r="AT96" s="21" t="str">
        <f>IFERROR(IF(FIND("?",ckAwdTable[abst_narr_txt]),SummarizeQuestMarks(ckAwdTable[abst_narr_txt]),""),"")</f>
        <v/>
      </c>
      <c r="AU96" s="119"/>
      <c r="AV96" t="s">
        <v>1841</v>
      </c>
      <c r="AW96" t="b">
        <f>AND(ckAwdTable[[#This Row],[ILN]]&gt;"M", SUBSTITUTE(ckAwdTable[[#This Row],[prop_titl_txt]]," ","")&lt;&gt;SUBSTITUTE(AV95," ",""))</f>
        <v>0</v>
      </c>
      <c r="AX96" s="8" t="s">
        <v>1846</v>
      </c>
    </row>
  </sheetData>
  <conditionalFormatting sqref="A2:AX96">
    <cfRule type="expression" dxfId="6" priority="4">
      <formula>MOD($M2,2)</formula>
    </cfRule>
  </conditionalFormatting>
  <conditionalFormatting sqref="C2:K96">
    <cfRule type="expression" dxfId="5" priority="3">
      <formula>AND($N2="N",C2&lt;&gt;C1)</formula>
    </cfRule>
  </conditionalFormatting>
  <conditionalFormatting sqref="X2:AE96">
    <cfRule type="expression" dxfId="4" priority="2">
      <formula>AND($N2="N",TRIM(X2)&lt;&gt;TRIM(X1))</formula>
    </cfRule>
  </conditionalFormatting>
  <conditionalFormatting sqref="AV2:AV96">
    <cfRule type="expression" dxfId="3"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D473"/>
  <sheetViews>
    <sheetView topLeftCell="T3" workbookViewId="0">
      <selection activeCell="AD5" sqref="AD5"/>
    </sheetView>
  </sheetViews>
  <sheetFormatPr defaultRowHeight="14.6" x14ac:dyDescent="0.4"/>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30" customWidth="1"/>
    <col min="8" max="9" width="5.84375" customWidth="1"/>
    <col min="10" max="10" width="5.84375" hidden="1" customWidth="1"/>
    <col min="11" max="11" width="8.3828125" customWidth="1"/>
    <col min="12" max="12" width="8.69140625" customWidth="1"/>
    <col min="13" max="13" width="3.53515625" style="21" customWidth="1"/>
    <col min="14" max="14" width="7.84375" customWidth="1"/>
    <col min="15" max="15" width="7.3046875" customWidth="1"/>
    <col min="16" max="16" width="4.69140625" customWidth="1"/>
    <col min="17" max="17" width="3.3046875" customWidth="1"/>
    <col min="18" max="18" width="2.3828125" customWidth="1"/>
    <col min="19" max="19" width="10.3046875" style="13" customWidth="1"/>
    <col min="20" max="21" width="10.3046875" customWidth="1"/>
    <col min="22" max="22" width="10.53515625" customWidth="1"/>
    <col min="23" max="23" width="3.69140625" customWidth="1"/>
    <col min="24" max="24" width="3.69140625" style="6" customWidth="1"/>
    <col min="25" max="25" width="4.3046875" customWidth="1"/>
    <col min="26" max="26" width="11.15234375" customWidth="1"/>
    <col min="27" max="27" width="9.15234375" customWidth="1"/>
    <col min="28" max="28" width="6.15234375" customWidth="1"/>
    <col min="29" max="29" width="6.3828125" customWidth="1"/>
    <col min="30" max="30" width="19.53515625" customWidth="1"/>
  </cols>
  <sheetData>
    <row r="1" spans="1:30" x14ac:dyDescent="0.4">
      <c r="A1" s="6" t="s">
        <v>129</v>
      </c>
      <c r="Q1" s="3"/>
    </row>
    <row r="2" spans="1:30" s="99" customFormat="1" x14ac:dyDescent="0.4">
      <c r="A2" s="98"/>
      <c r="F2" s="100" t="s">
        <v>15</v>
      </c>
      <c r="G2" s="100"/>
      <c r="I2" s="101" t="s">
        <v>436</v>
      </c>
      <c r="K2" s="12" t="e">
        <f>LOWER(#REF!)</f>
        <v>#REF!</v>
      </c>
      <c r="L2" s="101" t="s">
        <v>14</v>
      </c>
      <c r="M2" s="103">
        <f ca="1">YEAR(NOW())+(MONTH(NOW())&gt;9)-2000</f>
        <v>18</v>
      </c>
      <c r="Q2" s="100" t="s">
        <v>127</v>
      </c>
      <c r="R2" s="100"/>
      <c r="S2" s="102"/>
      <c r="U2" s="99" t="s">
        <v>128</v>
      </c>
      <c r="Y2" s="99" t="s">
        <v>437</v>
      </c>
    </row>
    <row r="3" spans="1:30" ht="33" customHeight="1" x14ac:dyDescent="0.4">
      <c r="A3" s="6" t="s">
        <v>0</v>
      </c>
      <c r="B3" t="s">
        <v>88</v>
      </c>
      <c r="C3" t="s">
        <v>355</v>
      </c>
      <c r="D3" t="s">
        <v>101</v>
      </c>
      <c r="E3" s="30" t="s">
        <v>7</v>
      </c>
      <c r="F3" t="s">
        <v>8</v>
      </c>
      <c r="G3" t="s">
        <v>5</v>
      </c>
      <c r="H3" t="s">
        <v>4</v>
      </c>
      <c r="I3" t="s">
        <v>91</v>
      </c>
      <c r="J3" t="s">
        <v>379</v>
      </c>
      <c r="K3" t="s">
        <v>9</v>
      </c>
      <c r="L3" t="s">
        <v>1</v>
      </c>
      <c r="M3" s="21" t="s">
        <v>2</v>
      </c>
      <c r="N3" t="s">
        <v>10</v>
      </c>
      <c r="O3" s="14" t="s">
        <v>416</v>
      </c>
      <c r="P3" t="s">
        <v>11</v>
      </c>
      <c r="Q3" t="s">
        <v>356</v>
      </c>
      <c r="R3" t="s">
        <v>357</v>
      </c>
      <c r="S3" s="13" t="s">
        <v>358</v>
      </c>
      <c r="T3" t="s">
        <v>359</v>
      </c>
      <c r="U3" t="s">
        <v>360</v>
      </c>
      <c r="V3" s="6" t="s">
        <v>361</v>
      </c>
      <c r="W3" t="s">
        <v>362</v>
      </c>
      <c r="X3" t="s">
        <v>363</v>
      </c>
      <c r="Y3" t="s">
        <v>6</v>
      </c>
      <c r="Z3" t="s">
        <v>364</v>
      </c>
      <c r="AA3" t="s">
        <v>365</v>
      </c>
      <c r="AB3" t="s">
        <v>366</v>
      </c>
      <c r="AC3" t="s">
        <v>453</v>
      </c>
      <c r="AD3" t="s">
        <v>12</v>
      </c>
    </row>
    <row r="4" spans="1:30" x14ac:dyDescent="0.4">
      <c r="A4" s="10" t="s">
        <v>602</v>
      </c>
      <c r="B4" s="77" t="s">
        <v>95</v>
      </c>
      <c r="C4" s="77">
        <f>C3+(BudgetsTable[[#This Row],[lead]]&lt;&gt;K3)</f>
        <v>11</v>
      </c>
      <c r="D4" s="77">
        <f>D3*(BudgetsTable[[#This Row],[lead]]=K3)+(BudgetsTable[[#This Row],[prop_id]]&lt;&gt;A3)</f>
        <v>1</v>
      </c>
      <c r="E4" s="78">
        <v>42930.554166666669</v>
      </c>
      <c r="F4" s="79" t="s">
        <v>1430</v>
      </c>
      <c r="G4" s="79" t="s">
        <v>477</v>
      </c>
      <c r="H4" s="79" t="s">
        <v>582</v>
      </c>
      <c r="I4" s="77" t="s">
        <v>604</v>
      </c>
      <c r="J4" s="77" t="s">
        <v>1438</v>
      </c>
      <c r="K4" s="79" t="s">
        <v>602</v>
      </c>
      <c r="L4" s="7" t="str">
        <f>IF(BudgetsTable[[#This Row],[pi_last_name]]=" ","",HYPERLINK("https://www.ejacket.nsf.gov/ej/showProposal.do?Continue=Y&amp;ID="&amp;BudgetsTable[[#This Row],[prop_id]],BudgetsTable[[#This Row],[prop_id]]))</f>
        <v>1749173</v>
      </c>
      <c r="M4" s="15" t="e">
        <f>IF(BudgetsTable[[#This Row],[pi_last_name]]=" ","",HYPERLINK("https://www.ejacket.nsf.gov/ej/processReviewAnalysis.do?dispatch=add&amp;uniqId="&amp;BudgetsTable[[#This Row],[prop_id]]&amp;PO_id,"&gt;ra"))</f>
        <v>#REF!</v>
      </c>
      <c r="N4" s="79" t="s">
        <v>603</v>
      </c>
      <c r="O4" s="7" t="str">
        <f>IF(BudgetsTable[[#This Row],[pi_last_name]]=" ","",HYPERLINK("mailto:"&amp;BudgetsTable[[#This Row],[pi_email]]&amp;"&amp;subject=Your NSF Proposal:  "&amp;BudgetsTable[[#This Row],[prop_id]],BudgetsTable[[#This Row],[pi_email]]))</f>
        <v>steffen.borgwardt@ucdenver.edu</v>
      </c>
      <c r="P4" s="79" t="s">
        <v>1435</v>
      </c>
      <c r="Q4" s="79"/>
      <c r="R4" s="79"/>
      <c r="S4" s="80"/>
      <c r="T4" s="80"/>
      <c r="U4" s="80"/>
      <c r="V4" s="81"/>
      <c r="W4" s="79">
        <v>0</v>
      </c>
      <c r="X4" s="79"/>
      <c r="Y4" s="11" t="str">
        <f ca="1">IF(ISBLANK(BudgetsTable[[#This Row],[budg_seq_yr]]),"FY"&amp;fiscalyear,"FY"&amp;fiscalyear-1+BudgetsTable[[#This Row],[budg_seq_yr]])</f>
        <v>FY18</v>
      </c>
      <c r="Z4" s="80">
        <v>470400</v>
      </c>
      <c r="AA4" s="79" t="s">
        <v>477</v>
      </c>
      <c r="AB4" s="79" t="s">
        <v>582</v>
      </c>
      <c r="AC4" s="104" t="s">
        <v>94</v>
      </c>
      <c r="AD4" s="79" t="s">
        <v>1432</v>
      </c>
    </row>
    <row r="5" spans="1:30" x14ac:dyDescent="0.4">
      <c r="A5" s="10" t="s">
        <v>602</v>
      </c>
      <c r="B5" s="77" t="s">
        <v>95</v>
      </c>
      <c r="C5" s="77">
        <f>C4+(BudgetsTable[[#This Row],[lead]]&lt;&gt;K4)</f>
        <v>11</v>
      </c>
      <c r="D5" s="77">
        <f>D4*(BudgetsTable[[#This Row],[lead]]=K4)+(BudgetsTable[[#This Row],[prop_id]]&lt;&gt;A4)</f>
        <v>1</v>
      </c>
      <c r="E5" s="78">
        <v>42930.554166666669</v>
      </c>
      <c r="F5" s="79" t="s">
        <v>1430</v>
      </c>
      <c r="G5" s="79" t="s">
        <v>477</v>
      </c>
      <c r="H5" s="79" t="s">
        <v>582</v>
      </c>
      <c r="I5" s="77" t="s">
        <v>604</v>
      </c>
      <c r="J5" s="77" t="s">
        <v>13</v>
      </c>
      <c r="K5" s="79" t="s">
        <v>602</v>
      </c>
      <c r="L5" s="7" t="str">
        <f>IF(BudgetsTable[[#This Row],[pi_last_name]]=" ","",HYPERLINK("https://www.ejacket.nsf.gov/ej/showProposal.do?Continue=Y&amp;ID="&amp;BudgetsTable[[#This Row],[prop_id]],BudgetsTable[[#This Row],[prop_id]]))</f>
        <v/>
      </c>
      <c r="M5" s="15" t="str">
        <f>IF(BudgetsTable[[#This Row],[pi_last_name]]=" ","",HYPERLINK("https://www.ejacket.nsf.gov/ej/processReviewAnalysis.do?dispatch=add&amp;uniqId="&amp;BudgetsTable[[#This Row],[prop_id]]&amp;PO_id,"&gt;ra"))</f>
        <v/>
      </c>
      <c r="N5" s="79" t="s">
        <v>13</v>
      </c>
      <c r="O5" s="7" t="str">
        <f>IF(BudgetsTable[[#This Row],[pi_last_name]]=" ","",HYPERLINK("mailto:"&amp;BudgetsTable[[#This Row],[pi_email]]&amp;"&amp;subject=Your NSF Proposal:  "&amp;BudgetsTable[[#This Row],[prop_id]],BudgetsTable[[#This Row],[pi_email]]))</f>
        <v/>
      </c>
      <c r="P5" s="79" t="s">
        <v>13</v>
      </c>
      <c r="Q5" s="79">
        <v>1</v>
      </c>
      <c r="R5" s="79">
        <v>1.5</v>
      </c>
      <c r="S5" s="80">
        <v>0</v>
      </c>
      <c r="T5" s="80">
        <v>1920</v>
      </c>
      <c r="U5" s="80">
        <v>0</v>
      </c>
      <c r="V5" s="81">
        <v>87855</v>
      </c>
      <c r="W5" s="79">
        <v>0</v>
      </c>
      <c r="X5" s="79">
        <v>1</v>
      </c>
      <c r="Y5" s="11" t="str">
        <f ca="1">IF(ISBLANK(BudgetsTable[[#This Row],[budg_seq_yr]]),"FY"&amp;fiscalyear,"FY"&amp;fiscalyear-1+BudgetsTable[[#This Row],[budg_seq_yr]])</f>
        <v>FY18</v>
      </c>
      <c r="Z5" s="80">
        <v>87855</v>
      </c>
      <c r="AA5" s="79" t="s">
        <v>477</v>
      </c>
      <c r="AB5" s="79" t="s">
        <v>582</v>
      </c>
      <c r="AC5" s="77" t="s">
        <v>94</v>
      </c>
      <c r="AD5" s="79" t="s">
        <v>1432</v>
      </c>
    </row>
    <row r="6" spans="1:30" x14ac:dyDescent="0.4">
      <c r="A6" s="10" t="s">
        <v>602</v>
      </c>
      <c r="B6" s="77" t="s">
        <v>95</v>
      </c>
      <c r="C6" s="77">
        <f>C5+(BudgetsTable[[#This Row],[lead]]&lt;&gt;K5)</f>
        <v>11</v>
      </c>
      <c r="D6" s="77">
        <f>D5*(BudgetsTable[[#This Row],[lead]]=K5)+(BudgetsTable[[#This Row],[prop_id]]&lt;&gt;A5)</f>
        <v>1</v>
      </c>
      <c r="E6" s="78">
        <v>42930.554166666669</v>
      </c>
      <c r="F6" s="79" t="s">
        <v>1430</v>
      </c>
      <c r="G6" s="79" t="s">
        <v>477</v>
      </c>
      <c r="H6" s="79" t="s">
        <v>582</v>
      </c>
      <c r="I6" s="77" t="s">
        <v>604</v>
      </c>
      <c r="J6" s="77" t="s">
        <v>13</v>
      </c>
      <c r="K6" s="79" t="s">
        <v>602</v>
      </c>
      <c r="L6" s="7" t="str">
        <f>IF(BudgetsTable[[#This Row],[pi_last_name]]=" ","",HYPERLINK("https://www.ejacket.nsf.gov/ej/showProposal.do?Continue=Y&amp;ID="&amp;BudgetsTable[[#This Row],[prop_id]],BudgetsTable[[#This Row],[prop_id]]))</f>
        <v/>
      </c>
      <c r="M6" s="15" t="str">
        <f>IF(BudgetsTable[[#This Row],[pi_last_name]]=" ","",HYPERLINK("https://www.ejacket.nsf.gov/ej/processReviewAnalysis.do?dispatch=add&amp;uniqId="&amp;BudgetsTable[[#This Row],[prop_id]]&amp;PO_id,"&gt;ra"))</f>
        <v/>
      </c>
      <c r="N6" s="79" t="s">
        <v>13</v>
      </c>
      <c r="O6" s="7" t="str">
        <f>IF(BudgetsTable[[#This Row],[pi_last_name]]=" ","",HYPERLINK("mailto:"&amp;BudgetsTable[[#This Row],[pi_email]]&amp;"&amp;subject=Your NSF Proposal:  "&amp;BudgetsTable[[#This Row],[prop_id]],BudgetsTable[[#This Row],[pi_email]]))</f>
        <v/>
      </c>
      <c r="P6" s="79" t="s">
        <v>13</v>
      </c>
      <c r="Q6" s="79">
        <v>1</v>
      </c>
      <c r="R6" s="79">
        <v>1.5</v>
      </c>
      <c r="S6" s="80">
        <v>0</v>
      </c>
      <c r="T6" s="80">
        <v>1920</v>
      </c>
      <c r="U6" s="80">
        <v>0</v>
      </c>
      <c r="V6" s="81">
        <v>90367</v>
      </c>
      <c r="W6" s="79">
        <v>0</v>
      </c>
      <c r="X6" s="79">
        <v>2</v>
      </c>
      <c r="Y6" s="11" t="str">
        <f ca="1">IF(ISBLANK(BudgetsTable[[#This Row],[budg_seq_yr]]),"FY"&amp;fiscalyear,"FY"&amp;fiscalyear-1+BudgetsTable[[#This Row],[budg_seq_yr]])</f>
        <v>FY19</v>
      </c>
      <c r="Z6" s="80">
        <v>90367</v>
      </c>
      <c r="AA6" s="79" t="s">
        <v>477</v>
      </c>
      <c r="AB6" s="79" t="s">
        <v>582</v>
      </c>
      <c r="AC6" s="77" t="s">
        <v>94</v>
      </c>
      <c r="AD6" s="79" t="s">
        <v>1432</v>
      </c>
    </row>
    <row r="7" spans="1:30" x14ac:dyDescent="0.4">
      <c r="A7" s="10" t="s">
        <v>602</v>
      </c>
      <c r="B7" s="77" t="s">
        <v>95</v>
      </c>
      <c r="C7" s="77">
        <f>C6+(BudgetsTable[[#This Row],[lead]]&lt;&gt;K6)</f>
        <v>11</v>
      </c>
      <c r="D7" s="77">
        <f>D6*(BudgetsTable[[#This Row],[lead]]=K6)+(BudgetsTable[[#This Row],[prop_id]]&lt;&gt;A6)</f>
        <v>1</v>
      </c>
      <c r="E7" s="78">
        <v>42930.554166666669</v>
      </c>
      <c r="F7" s="79" t="s">
        <v>1430</v>
      </c>
      <c r="G7" s="79" t="s">
        <v>477</v>
      </c>
      <c r="H7" s="79" t="s">
        <v>582</v>
      </c>
      <c r="I7" s="77" t="s">
        <v>604</v>
      </c>
      <c r="J7" s="77" t="s">
        <v>13</v>
      </c>
      <c r="K7" s="79" t="s">
        <v>602</v>
      </c>
      <c r="L7" s="7" t="str">
        <f>IF(BudgetsTable[[#This Row],[pi_last_name]]=" ","",HYPERLINK("https://www.ejacket.nsf.gov/ej/showProposal.do?Continue=Y&amp;ID="&amp;BudgetsTable[[#This Row],[prop_id]],BudgetsTable[[#This Row],[prop_id]]))</f>
        <v/>
      </c>
      <c r="M7" s="15" t="str">
        <f>IF(BudgetsTable[[#This Row],[pi_last_name]]=" ","",HYPERLINK("https://www.ejacket.nsf.gov/ej/processReviewAnalysis.do?dispatch=add&amp;uniqId="&amp;BudgetsTable[[#This Row],[prop_id]]&amp;PO_id,"&gt;ra"))</f>
        <v/>
      </c>
      <c r="N7" s="79" t="s">
        <v>13</v>
      </c>
      <c r="O7" s="7" t="str">
        <f>IF(BudgetsTable[[#This Row],[pi_last_name]]=" ","",HYPERLINK("mailto:"&amp;BudgetsTable[[#This Row],[pi_email]]&amp;"&amp;subject=Your NSF Proposal:  "&amp;BudgetsTable[[#This Row],[prop_id]],BudgetsTable[[#This Row],[pi_email]]))</f>
        <v/>
      </c>
      <c r="P7" s="79" t="s">
        <v>13</v>
      </c>
      <c r="Q7" s="79">
        <v>1</v>
      </c>
      <c r="R7" s="79">
        <v>1.5</v>
      </c>
      <c r="S7" s="80">
        <v>0</v>
      </c>
      <c r="T7" s="80">
        <v>1920</v>
      </c>
      <c r="U7" s="80">
        <v>0</v>
      </c>
      <c r="V7" s="81">
        <v>94608</v>
      </c>
      <c r="W7" s="79">
        <v>0</v>
      </c>
      <c r="X7" s="79">
        <v>3</v>
      </c>
      <c r="Y7" s="11" t="str">
        <f ca="1">IF(ISBLANK(BudgetsTable[[#This Row],[budg_seq_yr]]),"FY"&amp;fiscalyear,"FY"&amp;fiscalyear-1+BudgetsTable[[#This Row],[budg_seq_yr]])</f>
        <v>FY20</v>
      </c>
      <c r="Z7" s="80">
        <v>94608</v>
      </c>
      <c r="AA7" s="79" t="s">
        <v>477</v>
      </c>
      <c r="AB7" s="79" t="s">
        <v>582</v>
      </c>
      <c r="AC7" s="77" t="s">
        <v>94</v>
      </c>
      <c r="AD7" s="79" t="s">
        <v>1432</v>
      </c>
    </row>
    <row r="8" spans="1:30" x14ac:dyDescent="0.4">
      <c r="A8" s="10" t="s">
        <v>602</v>
      </c>
      <c r="B8" s="77" t="s">
        <v>95</v>
      </c>
      <c r="C8" s="77">
        <f>C7+(BudgetsTable[[#This Row],[lead]]&lt;&gt;K7)</f>
        <v>11</v>
      </c>
      <c r="D8" s="77">
        <f>D7*(BudgetsTable[[#This Row],[lead]]=K7)+(BudgetsTable[[#This Row],[prop_id]]&lt;&gt;A7)</f>
        <v>1</v>
      </c>
      <c r="E8" s="78">
        <v>42930.554166666669</v>
      </c>
      <c r="F8" s="79" t="s">
        <v>1430</v>
      </c>
      <c r="G8" s="79" t="s">
        <v>477</v>
      </c>
      <c r="H8" s="79" t="s">
        <v>582</v>
      </c>
      <c r="I8" s="77" t="s">
        <v>604</v>
      </c>
      <c r="J8" s="77" t="s">
        <v>13</v>
      </c>
      <c r="K8" s="79" t="s">
        <v>602</v>
      </c>
      <c r="L8" s="7" t="str">
        <f>IF(BudgetsTable[[#This Row],[pi_last_name]]=" ","",HYPERLINK("https://www.ejacket.nsf.gov/ej/showProposal.do?Continue=Y&amp;ID="&amp;BudgetsTable[[#This Row],[prop_id]],BudgetsTable[[#This Row],[prop_id]]))</f>
        <v/>
      </c>
      <c r="M8" s="15" t="str">
        <f>IF(BudgetsTable[[#This Row],[pi_last_name]]=" ","",HYPERLINK("https://www.ejacket.nsf.gov/ej/processReviewAnalysis.do?dispatch=add&amp;uniqId="&amp;BudgetsTable[[#This Row],[prop_id]]&amp;PO_id,"&gt;ra"))</f>
        <v/>
      </c>
      <c r="N8" s="79" t="s">
        <v>13</v>
      </c>
      <c r="O8" s="7" t="str">
        <f>IF(BudgetsTable[[#This Row],[pi_last_name]]=" ","",HYPERLINK("mailto:"&amp;BudgetsTable[[#This Row],[pi_email]]&amp;"&amp;subject=Your NSF Proposal:  "&amp;BudgetsTable[[#This Row],[prop_id]],BudgetsTable[[#This Row],[pi_email]]))</f>
        <v/>
      </c>
      <c r="P8" s="79" t="s">
        <v>13</v>
      </c>
      <c r="Q8" s="79">
        <v>1</v>
      </c>
      <c r="R8" s="79">
        <v>1.5</v>
      </c>
      <c r="S8" s="80">
        <v>0</v>
      </c>
      <c r="T8" s="80">
        <v>1920</v>
      </c>
      <c r="U8" s="80">
        <v>0</v>
      </c>
      <c r="V8" s="81">
        <v>97358</v>
      </c>
      <c r="W8" s="79">
        <v>0</v>
      </c>
      <c r="X8" s="79">
        <v>4</v>
      </c>
      <c r="Y8" s="11" t="str">
        <f ca="1">IF(ISBLANK(BudgetsTable[[#This Row],[budg_seq_yr]]),"FY"&amp;fiscalyear,"FY"&amp;fiscalyear-1+BudgetsTable[[#This Row],[budg_seq_yr]])</f>
        <v>FY21</v>
      </c>
      <c r="Z8" s="80">
        <v>97358</v>
      </c>
      <c r="AA8" s="79" t="s">
        <v>477</v>
      </c>
      <c r="AB8" s="79" t="s">
        <v>582</v>
      </c>
      <c r="AC8" s="77" t="s">
        <v>94</v>
      </c>
      <c r="AD8" s="79" t="s">
        <v>1432</v>
      </c>
    </row>
    <row r="9" spans="1:30" x14ac:dyDescent="0.4">
      <c r="A9" s="10" t="s">
        <v>602</v>
      </c>
      <c r="B9" s="77" t="s">
        <v>95</v>
      </c>
      <c r="C9" s="77">
        <f>C8+(BudgetsTable[[#This Row],[lead]]&lt;&gt;K8)</f>
        <v>11</v>
      </c>
      <c r="D9" s="77">
        <f>D8*(BudgetsTable[[#This Row],[lead]]=K8)+(BudgetsTable[[#This Row],[prop_id]]&lt;&gt;A8)</f>
        <v>1</v>
      </c>
      <c r="E9" s="78">
        <v>42930.554166666669</v>
      </c>
      <c r="F9" s="79" t="s">
        <v>1430</v>
      </c>
      <c r="G9" s="79" t="s">
        <v>477</v>
      </c>
      <c r="H9" s="79" t="s">
        <v>582</v>
      </c>
      <c r="I9" s="77" t="s">
        <v>604</v>
      </c>
      <c r="J9" s="77" t="s">
        <v>13</v>
      </c>
      <c r="K9" s="79" t="s">
        <v>602</v>
      </c>
      <c r="L9" s="7" t="str">
        <f>IF(BudgetsTable[[#This Row],[pi_last_name]]=" ","",HYPERLINK("https://www.ejacket.nsf.gov/ej/showProposal.do?Continue=Y&amp;ID="&amp;BudgetsTable[[#This Row],[prop_id]],BudgetsTable[[#This Row],[prop_id]]))</f>
        <v/>
      </c>
      <c r="M9" s="15" t="str">
        <f>IF(BudgetsTable[[#This Row],[pi_last_name]]=" ","",HYPERLINK("https://www.ejacket.nsf.gov/ej/processReviewAnalysis.do?dispatch=add&amp;uniqId="&amp;BudgetsTable[[#This Row],[prop_id]]&amp;PO_id,"&gt;ra"))</f>
        <v/>
      </c>
      <c r="N9" s="79" t="s">
        <v>13</v>
      </c>
      <c r="O9" s="7" t="str">
        <f>IF(BudgetsTable[[#This Row],[pi_last_name]]=" ","",HYPERLINK("mailto:"&amp;BudgetsTable[[#This Row],[pi_email]]&amp;"&amp;subject=Your NSF Proposal:  "&amp;BudgetsTable[[#This Row],[prop_id]],BudgetsTable[[#This Row],[pi_email]]))</f>
        <v/>
      </c>
      <c r="P9" s="79" t="s">
        <v>13</v>
      </c>
      <c r="Q9" s="79">
        <v>1</v>
      </c>
      <c r="R9" s="79">
        <v>1.5</v>
      </c>
      <c r="S9" s="80">
        <v>0</v>
      </c>
      <c r="T9" s="80">
        <v>1920</v>
      </c>
      <c r="U9" s="80">
        <v>0</v>
      </c>
      <c r="V9" s="81">
        <v>100212</v>
      </c>
      <c r="W9" s="79">
        <v>0</v>
      </c>
      <c r="X9" s="79">
        <v>5</v>
      </c>
      <c r="Y9" s="11" t="str">
        <f ca="1">IF(ISBLANK(BudgetsTable[[#This Row],[budg_seq_yr]]),"FY"&amp;fiscalyear,"FY"&amp;fiscalyear-1+BudgetsTable[[#This Row],[budg_seq_yr]])</f>
        <v>FY22</v>
      </c>
      <c r="Z9" s="80">
        <v>100212</v>
      </c>
      <c r="AA9" s="79" t="s">
        <v>477</v>
      </c>
      <c r="AB9" s="79" t="s">
        <v>582</v>
      </c>
      <c r="AC9" s="77" t="s">
        <v>94</v>
      </c>
      <c r="AD9" s="79" t="s">
        <v>1432</v>
      </c>
    </row>
    <row r="10" spans="1:30" x14ac:dyDescent="0.4">
      <c r="A10" s="10" t="s">
        <v>2015</v>
      </c>
      <c r="B10" s="77" t="s">
        <v>95</v>
      </c>
      <c r="C10" s="77">
        <f>C9+(BudgetsTable[[#This Row],[lead]]&lt;&gt;K9)</f>
        <v>12</v>
      </c>
      <c r="D10" s="77">
        <f>D9*(BudgetsTable[[#This Row],[lead]]=K9)+(BudgetsTable[[#This Row],[prop_id]]&lt;&gt;A9)</f>
        <v>1</v>
      </c>
      <c r="E10" s="78">
        <v>42933.444444444445</v>
      </c>
      <c r="F10" s="79" t="s">
        <v>1430</v>
      </c>
      <c r="G10" s="79" t="s">
        <v>1622</v>
      </c>
      <c r="H10" s="79" t="s">
        <v>580</v>
      </c>
      <c r="I10" s="77" t="s">
        <v>1166</v>
      </c>
      <c r="J10" s="77" t="s">
        <v>2072</v>
      </c>
      <c r="K10" s="79" t="s">
        <v>2015</v>
      </c>
      <c r="L10" s="7" t="str">
        <f>IF(BudgetsTable[[#This Row],[pi_last_name]]=" ","",HYPERLINK("https://www.ejacket.nsf.gov/ej/showProposal.do?Continue=Y&amp;ID="&amp;BudgetsTable[[#This Row],[prop_id]],BudgetsTable[[#This Row],[prop_id]]))</f>
        <v>1749315</v>
      </c>
      <c r="M10" s="15" t="e">
        <f>IF(BudgetsTable[[#This Row],[pi_last_name]]=" ","",HYPERLINK("https://www.ejacket.nsf.gov/ej/processReviewAnalysis.do?dispatch=add&amp;uniqId="&amp;BudgetsTable[[#This Row],[prop_id]]&amp;PO_id,"&gt;ra"))</f>
        <v>#REF!</v>
      </c>
      <c r="N10" s="79" t="s">
        <v>2016</v>
      </c>
      <c r="O10" s="7" t="str">
        <f>IF(BudgetsTable[[#This Row],[pi_last_name]]=" ","",HYPERLINK("mailto:"&amp;BudgetsTable[[#This Row],[pi_email]]&amp;"&amp;subject=Your NSF Proposal:  "&amp;BudgetsTable[[#This Row],[prop_id]],BudgetsTable[[#This Row],[pi_email]]))</f>
        <v>tianbao-yang@uiowa.edu</v>
      </c>
      <c r="P10" s="79" t="s">
        <v>2068</v>
      </c>
      <c r="Q10" s="79"/>
      <c r="R10" s="79"/>
      <c r="S10" s="80"/>
      <c r="T10" s="80"/>
      <c r="U10" s="80"/>
      <c r="V10" s="81"/>
      <c r="W10" s="79">
        <v>0</v>
      </c>
      <c r="X10" s="79"/>
      <c r="Y10" s="11" t="str">
        <f ca="1">IF(ISBLANK(BudgetsTable[[#This Row],[budg_seq_yr]]),"FY"&amp;fiscalyear,"FY"&amp;fiscalyear-1+BudgetsTable[[#This Row],[budg_seq_yr]])</f>
        <v>FY18</v>
      </c>
      <c r="Z10" s="80">
        <v>543913</v>
      </c>
      <c r="AA10" s="79" t="s">
        <v>1622</v>
      </c>
      <c r="AB10" s="79" t="s">
        <v>580</v>
      </c>
      <c r="AC10" s="77" t="s">
        <v>94</v>
      </c>
      <c r="AD10" s="79" t="s">
        <v>2066</v>
      </c>
    </row>
    <row r="11" spans="1:30" x14ac:dyDescent="0.4">
      <c r="A11" s="10" t="s">
        <v>2015</v>
      </c>
      <c r="B11" s="77" t="s">
        <v>95</v>
      </c>
      <c r="C11" s="77">
        <f>C10+(BudgetsTable[[#This Row],[lead]]&lt;&gt;K10)</f>
        <v>12</v>
      </c>
      <c r="D11" s="77">
        <f>D10*(BudgetsTable[[#This Row],[lead]]=K10)+(BudgetsTable[[#This Row],[prop_id]]&lt;&gt;A10)</f>
        <v>1</v>
      </c>
      <c r="E11" s="78">
        <v>42933.444444444445</v>
      </c>
      <c r="F11" s="79" t="s">
        <v>1430</v>
      </c>
      <c r="G11" s="79" t="s">
        <v>1622</v>
      </c>
      <c r="H11" s="79" t="s">
        <v>580</v>
      </c>
      <c r="I11" s="77" t="s">
        <v>1166</v>
      </c>
      <c r="J11" s="77" t="s">
        <v>13</v>
      </c>
      <c r="K11" s="79" t="s">
        <v>2015</v>
      </c>
      <c r="L11" s="7" t="str">
        <f>IF(BudgetsTable[[#This Row],[pi_last_name]]=" ","",HYPERLINK("https://www.ejacket.nsf.gov/ej/showProposal.do?Continue=Y&amp;ID="&amp;BudgetsTable[[#This Row],[prop_id]],BudgetsTable[[#This Row],[prop_id]]))</f>
        <v/>
      </c>
      <c r="M11" s="15" t="str">
        <f>IF(BudgetsTable[[#This Row],[pi_last_name]]=" ","",HYPERLINK("https://www.ejacket.nsf.gov/ej/processReviewAnalysis.do?dispatch=add&amp;uniqId="&amp;BudgetsTable[[#This Row],[prop_id]]&amp;PO_id,"&gt;ra"))</f>
        <v/>
      </c>
      <c r="N11" s="79" t="s">
        <v>13</v>
      </c>
      <c r="O11" s="7" t="str">
        <f>IF(BudgetsTable[[#This Row],[pi_last_name]]=" ","",HYPERLINK("mailto:"&amp;BudgetsTable[[#This Row],[pi_email]]&amp;"&amp;subject=Your NSF Proposal:  "&amp;BudgetsTable[[#This Row],[prop_id]],BudgetsTable[[#This Row],[pi_email]]))</f>
        <v/>
      </c>
      <c r="P11" s="79" t="s">
        <v>13</v>
      </c>
      <c r="Q11" s="79">
        <v>1</v>
      </c>
      <c r="R11" s="79">
        <v>1</v>
      </c>
      <c r="S11" s="80">
        <v>0</v>
      </c>
      <c r="T11" s="80">
        <v>3100</v>
      </c>
      <c r="U11" s="80">
        <v>0</v>
      </c>
      <c r="V11" s="81">
        <v>106662</v>
      </c>
      <c r="W11" s="79">
        <v>0</v>
      </c>
      <c r="X11" s="79">
        <v>1</v>
      </c>
      <c r="Y11" s="11" t="str">
        <f ca="1">IF(ISBLANK(BudgetsTable[[#This Row],[budg_seq_yr]]),"FY"&amp;fiscalyear,"FY"&amp;fiscalyear-1+BudgetsTable[[#This Row],[budg_seq_yr]])</f>
        <v>FY18</v>
      </c>
      <c r="Z11" s="80">
        <v>106662</v>
      </c>
      <c r="AA11" s="79" t="s">
        <v>1622</v>
      </c>
      <c r="AB11" s="79" t="s">
        <v>580</v>
      </c>
      <c r="AC11" s="77" t="s">
        <v>94</v>
      </c>
      <c r="AD11" s="79" t="s">
        <v>2066</v>
      </c>
    </row>
    <row r="12" spans="1:30" x14ac:dyDescent="0.4">
      <c r="A12" s="10" t="s">
        <v>2015</v>
      </c>
      <c r="B12" s="77" t="s">
        <v>95</v>
      </c>
      <c r="C12" s="77">
        <f>C11+(BudgetsTable[[#This Row],[lead]]&lt;&gt;K11)</f>
        <v>12</v>
      </c>
      <c r="D12" s="77">
        <f>D11*(BudgetsTable[[#This Row],[lead]]=K11)+(BudgetsTable[[#This Row],[prop_id]]&lt;&gt;A11)</f>
        <v>1</v>
      </c>
      <c r="E12" s="78">
        <v>42933.444444444445</v>
      </c>
      <c r="F12" s="79" t="s">
        <v>1430</v>
      </c>
      <c r="G12" s="79" t="s">
        <v>1622</v>
      </c>
      <c r="H12" s="79" t="s">
        <v>580</v>
      </c>
      <c r="I12" s="77" t="s">
        <v>1166</v>
      </c>
      <c r="J12" s="77" t="s">
        <v>13</v>
      </c>
      <c r="K12" s="79" t="s">
        <v>2015</v>
      </c>
      <c r="L12" s="7" t="str">
        <f>IF(BudgetsTable[[#This Row],[pi_last_name]]=" ","",HYPERLINK("https://www.ejacket.nsf.gov/ej/showProposal.do?Continue=Y&amp;ID="&amp;BudgetsTable[[#This Row],[prop_id]],BudgetsTable[[#This Row],[prop_id]]))</f>
        <v/>
      </c>
      <c r="M12" s="15" t="str">
        <f>IF(BudgetsTable[[#This Row],[pi_last_name]]=" ","",HYPERLINK("https://www.ejacket.nsf.gov/ej/processReviewAnalysis.do?dispatch=add&amp;uniqId="&amp;BudgetsTable[[#This Row],[prop_id]]&amp;PO_id,"&gt;ra"))</f>
        <v/>
      </c>
      <c r="N12" s="79" t="s">
        <v>13</v>
      </c>
      <c r="O12" s="7" t="str">
        <f>IF(BudgetsTable[[#This Row],[pi_last_name]]=" ","",HYPERLINK("mailto:"&amp;BudgetsTable[[#This Row],[pi_email]]&amp;"&amp;subject=Your NSF Proposal:  "&amp;BudgetsTable[[#This Row],[prop_id]],BudgetsTable[[#This Row],[pi_email]]))</f>
        <v/>
      </c>
      <c r="P12" s="79" t="s">
        <v>13</v>
      </c>
      <c r="Q12" s="79">
        <v>1</v>
      </c>
      <c r="R12" s="79">
        <v>1</v>
      </c>
      <c r="S12" s="80">
        <v>0</v>
      </c>
      <c r="T12" s="80">
        <v>3100</v>
      </c>
      <c r="U12" s="80">
        <v>0</v>
      </c>
      <c r="V12" s="81">
        <v>103956</v>
      </c>
      <c r="W12" s="79">
        <v>0</v>
      </c>
      <c r="X12" s="79">
        <v>2</v>
      </c>
      <c r="Y12" s="11" t="str">
        <f ca="1">IF(ISBLANK(BudgetsTable[[#This Row],[budg_seq_yr]]),"FY"&amp;fiscalyear,"FY"&amp;fiscalyear-1+BudgetsTable[[#This Row],[budg_seq_yr]])</f>
        <v>FY19</v>
      </c>
      <c r="Z12" s="80">
        <v>103956</v>
      </c>
      <c r="AA12" s="79" t="s">
        <v>1622</v>
      </c>
      <c r="AB12" s="79" t="s">
        <v>580</v>
      </c>
      <c r="AC12" s="77" t="s">
        <v>94</v>
      </c>
      <c r="AD12" s="79" t="s">
        <v>2066</v>
      </c>
    </row>
    <row r="13" spans="1:30" x14ac:dyDescent="0.4">
      <c r="A13" s="10" t="s">
        <v>2015</v>
      </c>
      <c r="B13" s="77" t="s">
        <v>95</v>
      </c>
      <c r="C13" s="77">
        <f>C12+(BudgetsTable[[#This Row],[lead]]&lt;&gt;K12)</f>
        <v>12</v>
      </c>
      <c r="D13" s="77">
        <f>D12*(BudgetsTable[[#This Row],[lead]]=K12)+(BudgetsTable[[#This Row],[prop_id]]&lt;&gt;A12)</f>
        <v>1</v>
      </c>
      <c r="E13" s="78">
        <v>42933.444444444445</v>
      </c>
      <c r="F13" s="79" t="s">
        <v>1430</v>
      </c>
      <c r="G13" s="79" t="s">
        <v>1622</v>
      </c>
      <c r="H13" s="79" t="s">
        <v>580</v>
      </c>
      <c r="I13" s="77" t="s">
        <v>1166</v>
      </c>
      <c r="J13" s="77" t="s">
        <v>13</v>
      </c>
      <c r="K13" s="79" t="s">
        <v>2015</v>
      </c>
      <c r="L13" s="7" t="str">
        <f>IF(BudgetsTable[[#This Row],[pi_last_name]]=" ","",HYPERLINK("https://www.ejacket.nsf.gov/ej/showProposal.do?Continue=Y&amp;ID="&amp;BudgetsTable[[#This Row],[prop_id]],BudgetsTable[[#This Row],[prop_id]]))</f>
        <v/>
      </c>
      <c r="M13" s="15" t="str">
        <f>IF(BudgetsTable[[#This Row],[pi_last_name]]=" ","",HYPERLINK("https://www.ejacket.nsf.gov/ej/processReviewAnalysis.do?dispatch=add&amp;uniqId="&amp;BudgetsTable[[#This Row],[prop_id]]&amp;PO_id,"&gt;ra"))</f>
        <v/>
      </c>
      <c r="N13" s="79" t="s">
        <v>13</v>
      </c>
      <c r="O13" s="7" t="str">
        <f>IF(BudgetsTable[[#This Row],[pi_last_name]]=" ","",HYPERLINK("mailto:"&amp;BudgetsTable[[#This Row],[pi_email]]&amp;"&amp;subject=Your NSF Proposal:  "&amp;BudgetsTable[[#This Row],[prop_id]],BudgetsTable[[#This Row],[pi_email]]))</f>
        <v/>
      </c>
      <c r="P13" s="79" t="s">
        <v>13</v>
      </c>
      <c r="Q13" s="79">
        <v>1</v>
      </c>
      <c r="R13" s="79">
        <v>1</v>
      </c>
      <c r="S13" s="80">
        <v>0</v>
      </c>
      <c r="T13" s="80">
        <v>3100</v>
      </c>
      <c r="U13" s="80">
        <v>0</v>
      </c>
      <c r="V13" s="81">
        <v>108740</v>
      </c>
      <c r="W13" s="79">
        <v>0</v>
      </c>
      <c r="X13" s="79">
        <v>3</v>
      </c>
      <c r="Y13" s="11" t="str">
        <f ca="1">IF(ISBLANK(BudgetsTable[[#This Row],[budg_seq_yr]]),"FY"&amp;fiscalyear,"FY"&amp;fiscalyear-1+BudgetsTable[[#This Row],[budg_seq_yr]])</f>
        <v>FY20</v>
      </c>
      <c r="Z13" s="80">
        <v>108740</v>
      </c>
      <c r="AA13" s="79" t="s">
        <v>1622</v>
      </c>
      <c r="AB13" s="79" t="s">
        <v>580</v>
      </c>
      <c r="AC13" s="77" t="s">
        <v>94</v>
      </c>
      <c r="AD13" s="79" t="s">
        <v>2066</v>
      </c>
    </row>
    <row r="14" spans="1:30" x14ac:dyDescent="0.4">
      <c r="A14" s="10" t="s">
        <v>2015</v>
      </c>
      <c r="B14" s="77" t="s">
        <v>95</v>
      </c>
      <c r="C14" s="77">
        <f>C13+(BudgetsTable[[#This Row],[lead]]&lt;&gt;K13)</f>
        <v>12</v>
      </c>
      <c r="D14" s="77">
        <f>D13*(BudgetsTable[[#This Row],[lead]]=K13)+(BudgetsTable[[#This Row],[prop_id]]&lt;&gt;A13)</f>
        <v>1</v>
      </c>
      <c r="E14" s="78">
        <v>42933.444444444445</v>
      </c>
      <c r="F14" s="79" t="s">
        <v>1430</v>
      </c>
      <c r="G14" s="79" t="s">
        <v>1622</v>
      </c>
      <c r="H14" s="79" t="s">
        <v>580</v>
      </c>
      <c r="I14" s="77" t="s">
        <v>1166</v>
      </c>
      <c r="J14" s="77" t="s">
        <v>13</v>
      </c>
      <c r="K14" s="79" t="s">
        <v>2015</v>
      </c>
      <c r="L14" s="7" t="str">
        <f>IF(BudgetsTable[[#This Row],[pi_last_name]]=" ","",HYPERLINK("https://www.ejacket.nsf.gov/ej/showProposal.do?Continue=Y&amp;ID="&amp;BudgetsTable[[#This Row],[prop_id]],BudgetsTable[[#This Row],[prop_id]]))</f>
        <v/>
      </c>
      <c r="M14" s="15" t="str">
        <f>IF(BudgetsTable[[#This Row],[pi_last_name]]=" ","",HYPERLINK("https://www.ejacket.nsf.gov/ej/processReviewAnalysis.do?dispatch=add&amp;uniqId="&amp;BudgetsTable[[#This Row],[prop_id]]&amp;PO_id,"&gt;ra"))</f>
        <v/>
      </c>
      <c r="N14" s="79" t="s">
        <v>13</v>
      </c>
      <c r="O14" s="7" t="str">
        <f>IF(BudgetsTable[[#This Row],[pi_last_name]]=" ","",HYPERLINK("mailto:"&amp;BudgetsTable[[#This Row],[pi_email]]&amp;"&amp;subject=Your NSF Proposal:  "&amp;BudgetsTable[[#This Row],[prop_id]],BudgetsTable[[#This Row],[pi_email]]))</f>
        <v/>
      </c>
      <c r="P14" s="79" t="s">
        <v>13</v>
      </c>
      <c r="Q14" s="79">
        <v>1</v>
      </c>
      <c r="R14" s="79">
        <v>1</v>
      </c>
      <c r="S14" s="80">
        <v>0</v>
      </c>
      <c r="T14" s="80">
        <v>3100</v>
      </c>
      <c r="U14" s="80">
        <v>0</v>
      </c>
      <c r="V14" s="81">
        <v>111704</v>
      </c>
      <c r="W14" s="79">
        <v>0</v>
      </c>
      <c r="X14" s="79">
        <v>4</v>
      </c>
      <c r="Y14" s="11" t="str">
        <f ca="1">IF(ISBLANK(BudgetsTable[[#This Row],[budg_seq_yr]]),"FY"&amp;fiscalyear,"FY"&amp;fiscalyear-1+BudgetsTable[[#This Row],[budg_seq_yr]])</f>
        <v>FY21</v>
      </c>
      <c r="Z14" s="80">
        <v>111704</v>
      </c>
      <c r="AA14" s="79" t="s">
        <v>1622</v>
      </c>
      <c r="AB14" s="79" t="s">
        <v>580</v>
      </c>
      <c r="AC14" s="77" t="s">
        <v>94</v>
      </c>
      <c r="AD14" s="79" t="s">
        <v>2066</v>
      </c>
    </row>
    <row r="15" spans="1:30" x14ac:dyDescent="0.4">
      <c r="A15" s="10" t="s">
        <v>2015</v>
      </c>
      <c r="B15" s="77" t="s">
        <v>95</v>
      </c>
      <c r="C15" s="77">
        <f>C14+(BudgetsTable[[#This Row],[lead]]&lt;&gt;K14)</f>
        <v>12</v>
      </c>
      <c r="D15" s="77">
        <f>D14*(BudgetsTable[[#This Row],[lead]]=K14)+(BudgetsTable[[#This Row],[prop_id]]&lt;&gt;A14)</f>
        <v>1</v>
      </c>
      <c r="E15" s="78">
        <v>42933.444444444445</v>
      </c>
      <c r="F15" s="79" t="s">
        <v>1430</v>
      </c>
      <c r="G15" s="79" t="s">
        <v>1622</v>
      </c>
      <c r="H15" s="79" t="s">
        <v>580</v>
      </c>
      <c r="I15" s="77" t="s">
        <v>1166</v>
      </c>
      <c r="J15" s="77" t="s">
        <v>13</v>
      </c>
      <c r="K15" s="79" t="s">
        <v>2015</v>
      </c>
      <c r="L15" s="7" t="str">
        <f>IF(BudgetsTable[[#This Row],[pi_last_name]]=" ","",HYPERLINK("https://www.ejacket.nsf.gov/ej/showProposal.do?Continue=Y&amp;ID="&amp;BudgetsTable[[#This Row],[prop_id]],BudgetsTable[[#This Row],[prop_id]]))</f>
        <v/>
      </c>
      <c r="M15" s="15" t="str">
        <f>IF(BudgetsTable[[#This Row],[pi_last_name]]=" ","",HYPERLINK("https://www.ejacket.nsf.gov/ej/processReviewAnalysis.do?dispatch=add&amp;uniqId="&amp;BudgetsTable[[#This Row],[prop_id]]&amp;PO_id,"&gt;ra"))</f>
        <v/>
      </c>
      <c r="N15" s="79" t="s">
        <v>13</v>
      </c>
      <c r="O15" s="7" t="str">
        <f>IF(BudgetsTable[[#This Row],[pi_last_name]]=" ","",HYPERLINK("mailto:"&amp;BudgetsTable[[#This Row],[pi_email]]&amp;"&amp;subject=Your NSF Proposal:  "&amp;BudgetsTable[[#This Row],[prop_id]],BudgetsTable[[#This Row],[pi_email]]))</f>
        <v/>
      </c>
      <c r="P15" s="79" t="s">
        <v>13</v>
      </c>
      <c r="Q15" s="79">
        <v>1</v>
      </c>
      <c r="R15" s="79">
        <v>1</v>
      </c>
      <c r="S15" s="80">
        <v>0</v>
      </c>
      <c r="T15" s="80">
        <v>3100</v>
      </c>
      <c r="U15" s="80">
        <v>0</v>
      </c>
      <c r="V15" s="81">
        <v>112851</v>
      </c>
      <c r="W15" s="79">
        <v>0</v>
      </c>
      <c r="X15" s="79">
        <v>5</v>
      </c>
      <c r="Y15" s="11" t="str">
        <f ca="1">IF(ISBLANK(BudgetsTable[[#This Row],[budg_seq_yr]]),"FY"&amp;fiscalyear,"FY"&amp;fiscalyear-1+BudgetsTable[[#This Row],[budg_seq_yr]])</f>
        <v>FY22</v>
      </c>
      <c r="Z15" s="80">
        <v>112851</v>
      </c>
      <c r="AA15" s="79" t="s">
        <v>1622</v>
      </c>
      <c r="AB15" s="79" t="s">
        <v>580</v>
      </c>
      <c r="AC15" s="77" t="s">
        <v>94</v>
      </c>
      <c r="AD15" s="79" t="s">
        <v>2066</v>
      </c>
    </row>
    <row r="16" spans="1:30" x14ac:dyDescent="0.4">
      <c r="A16" s="10" t="s">
        <v>630</v>
      </c>
      <c r="B16" s="77" t="s">
        <v>95</v>
      </c>
      <c r="C16" s="77">
        <f>C15+(BudgetsTable[[#This Row],[lead]]&lt;&gt;K15)</f>
        <v>13</v>
      </c>
      <c r="D16" s="77">
        <f>D15*(BudgetsTable[[#This Row],[lead]]=K15)+(BudgetsTable[[#This Row],[prop_id]]&lt;&gt;A15)</f>
        <v>1</v>
      </c>
      <c r="E16" s="78">
        <v>42933.547222222223</v>
      </c>
      <c r="F16" s="79" t="s">
        <v>1430</v>
      </c>
      <c r="G16" s="79" t="s">
        <v>477</v>
      </c>
      <c r="H16" s="79" t="s">
        <v>582</v>
      </c>
      <c r="I16" s="77" t="s">
        <v>604</v>
      </c>
      <c r="J16" s="77" t="s">
        <v>1443</v>
      </c>
      <c r="K16" s="79" t="s">
        <v>630</v>
      </c>
      <c r="L16" s="7" t="str">
        <f>IF(BudgetsTable[[#This Row],[pi_last_name]]=" ","",HYPERLINK("https://www.ejacket.nsf.gov/ej/showProposal.do?Continue=Y&amp;ID="&amp;BudgetsTable[[#This Row],[prop_id]],BudgetsTable[[#This Row],[prop_id]]))</f>
        <v>1749385</v>
      </c>
      <c r="M16" s="15" t="e">
        <f>IF(BudgetsTable[[#This Row],[pi_last_name]]=" ","",HYPERLINK("https://www.ejacket.nsf.gov/ej/processReviewAnalysis.do?dispatch=add&amp;uniqId="&amp;BudgetsTable[[#This Row],[prop_id]]&amp;PO_id,"&gt;ra"))</f>
        <v>#REF!</v>
      </c>
      <c r="N16" s="79" t="s">
        <v>631</v>
      </c>
      <c r="O16" s="7" t="str">
        <f>IF(BudgetsTable[[#This Row],[pi_last_name]]=" ","",HYPERLINK("mailto:"&amp;BudgetsTable[[#This Row],[pi_email]]&amp;"&amp;subject=Your NSF Proposal:  "&amp;BudgetsTable[[#This Row],[prop_id]],BudgetsTable[[#This Row],[pi_email]]))</f>
        <v>haitao.wang@usu.edu</v>
      </c>
      <c r="P16" s="79" t="s">
        <v>559</v>
      </c>
      <c r="Q16" s="79"/>
      <c r="R16" s="79"/>
      <c r="S16" s="80"/>
      <c r="T16" s="80"/>
      <c r="U16" s="80"/>
      <c r="V16" s="81"/>
      <c r="W16" s="79">
        <v>0</v>
      </c>
      <c r="X16" s="79"/>
      <c r="Y16" s="11" t="str">
        <f ca="1">IF(ISBLANK(BudgetsTable[[#This Row],[budg_seq_yr]]),"FY"&amp;fiscalyear,"FY"&amp;fiscalyear-1+BudgetsTable[[#This Row],[budg_seq_yr]])</f>
        <v>FY18</v>
      </c>
      <c r="Z16" s="80">
        <v>524898</v>
      </c>
      <c r="AA16" s="79" t="s">
        <v>477</v>
      </c>
      <c r="AB16" s="79" t="s">
        <v>582</v>
      </c>
      <c r="AC16" s="77" t="s">
        <v>94</v>
      </c>
      <c r="AD16" s="79" t="s">
        <v>1439</v>
      </c>
    </row>
    <row r="17" spans="1:30" x14ac:dyDescent="0.4">
      <c r="A17" s="10" t="s">
        <v>630</v>
      </c>
      <c r="B17" s="77" t="s">
        <v>95</v>
      </c>
      <c r="C17" s="77">
        <f>C16+(BudgetsTable[[#This Row],[lead]]&lt;&gt;K16)</f>
        <v>13</v>
      </c>
      <c r="D17" s="77">
        <f>D16*(BudgetsTable[[#This Row],[lead]]=K16)+(BudgetsTable[[#This Row],[prop_id]]&lt;&gt;A16)</f>
        <v>1</v>
      </c>
      <c r="E17" s="78">
        <v>42933.547222222223</v>
      </c>
      <c r="F17" s="79" t="s">
        <v>1430</v>
      </c>
      <c r="G17" s="79" t="s">
        <v>477</v>
      </c>
      <c r="H17" s="79" t="s">
        <v>582</v>
      </c>
      <c r="I17" s="77" t="s">
        <v>604</v>
      </c>
      <c r="J17" s="77" t="s">
        <v>13</v>
      </c>
      <c r="K17" s="79" t="s">
        <v>630</v>
      </c>
      <c r="L17" s="7" t="str">
        <f>IF(BudgetsTable[[#This Row],[pi_last_name]]=" ","",HYPERLINK("https://www.ejacket.nsf.gov/ej/showProposal.do?Continue=Y&amp;ID="&amp;BudgetsTable[[#This Row],[prop_id]],BudgetsTable[[#This Row],[prop_id]]))</f>
        <v/>
      </c>
      <c r="M17" s="15" t="str">
        <f>IF(BudgetsTable[[#This Row],[pi_last_name]]=" ","",HYPERLINK("https://www.ejacket.nsf.gov/ej/processReviewAnalysis.do?dispatch=add&amp;uniqId="&amp;BudgetsTable[[#This Row],[prop_id]]&amp;PO_id,"&gt;ra"))</f>
        <v/>
      </c>
      <c r="N17" s="79" t="s">
        <v>13</v>
      </c>
      <c r="O17" s="7" t="str">
        <f>IF(BudgetsTable[[#This Row],[pi_last_name]]=" ","",HYPERLINK("mailto:"&amp;BudgetsTable[[#This Row],[pi_email]]&amp;"&amp;subject=Your NSF Proposal:  "&amp;BudgetsTable[[#This Row],[prop_id]],BudgetsTable[[#This Row],[pi_email]]))</f>
        <v/>
      </c>
      <c r="P17" s="79" t="s">
        <v>13</v>
      </c>
      <c r="Q17" s="79">
        <v>1</v>
      </c>
      <c r="R17" s="79">
        <v>1</v>
      </c>
      <c r="S17" s="80">
        <v>0</v>
      </c>
      <c r="T17" s="80">
        <v>3000</v>
      </c>
      <c r="U17" s="80">
        <v>0</v>
      </c>
      <c r="V17" s="81">
        <v>101597</v>
      </c>
      <c r="W17" s="79">
        <v>0</v>
      </c>
      <c r="X17" s="79">
        <v>1</v>
      </c>
      <c r="Y17" s="11" t="str">
        <f ca="1">IF(ISBLANK(BudgetsTable[[#This Row],[budg_seq_yr]]),"FY"&amp;fiscalyear,"FY"&amp;fiscalyear-1+BudgetsTable[[#This Row],[budg_seq_yr]])</f>
        <v>FY18</v>
      </c>
      <c r="Z17" s="80">
        <v>101597</v>
      </c>
      <c r="AA17" s="79" t="s">
        <v>477</v>
      </c>
      <c r="AB17" s="79" t="s">
        <v>582</v>
      </c>
      <c r="AC17" s="77" t="s">
        <v>94</v>
      </c>
      <c r="AD17" s="79" t="s">
        <v>1439</v>
      </c>
    </row>
    <row r="18" spans="1:30" x14ac:dyDescent="0.4">
      <c r="A18" s="10" t="s">
        <v>630</v>
      </c>
      <c r="B18" s="77" t="s">
        <v>95</v>
      </c>
      <c r="C18" s="77">
        <f>C17+(BudgetsTable[[#This Row],[lead]]&lt;&gt;K17)</f>
        <v>13</v>
      </c>
      <c r="D18" s="77">
        <f>D17*(BudgetsTable[[#This Row],[lead]]=K17)+(BudgetsTable[[#This Row],[prop_id]]&lt;&gt;A17)</f>
        <v>1</v>
      </c>
      <c r="E18" s="78">
        <v>42933.547222222223</v>
      </c>
      <c r="F18" s="79" t="s">
        <v>1430</v>
      </c>
      <c r="G18" s="79" t="s">
        <v>477</v>
      </c>
      <c r="H18" s="79" t="s">
        <v>582</v>
      </c>
      <c r="I18" s="77" t="s">
        <v>604</v>
      </c>
      <c r="J18" s="77" t="s">
        <v>13</v>
      </c>
      <c r="K18" s="79" t="s">
        <v>630</v>
      </c>
      <c r="L18" s="7" t="str">
        <f>IF(BudgetsTable[[#This Row],[pi_last_name]]=" ","",HYPERLINK("https://www.ejacket.nsf.gov/ej/showProposal.do?Continue=Y&amp;ID="&amp;BudgetsTable[[#This Row],[prop_id]],BudgetsTable[[#This Row],[prop_id]]))</f>
        <v/>
      </c>
      <c r="M18" s="15" t="str">
        <f>IF(BudgetsTable[[#This Row],[pi_last_name]]=" ","",HYPERLINK("https://www.ejacket.nsf.gov/ej/processReviewAnalysis.do?dispatch=add&amp;uniqId="&amp;BudgetsTable[[#This Row],[prop_id]]&amp;PO_id,"&gt;ra"))</f>
        <v/>
      </c>
      <c r="N18" s="79" t="s">
        <v>13</v>
      </c>
      <c r="O18" s="7" t="str">
        <f>IF(BudgetsTable[[#This Row],[pi_last_name]]=" ","",HYPERLINK("mailto:"&amp;BudgetsTable[[#This Row],[pi_email]]&amp;"&amp;subject=Your NSF Proposal:  "&amp;BudgetsTable[[#This Row],[prop_id]],BudgetsTable[[#This Row],[pi_email]]))</f>
        <v/>
      </c>
      <c r="P18" s="79" t="s">
        <v>13</v>
      </c>
      <c r="Q18" s="79">
        <v>1</v>
      </c>
      <c r="R18" s="79">
        <v>1</v>
      </c>
      <c r="S18" s="80">
        <v>0</v>
      </c>
      <c r="T18" s="80">
        <v>3000</v>
      </c>
      <c r="U18" s="80">
        <v>0</v>
      </c>
      <c r="V18" s="81">
        <v>103235</v>
      </c>
      <c r="W18" s="79">
        <v>0</v>
      </c>
      <c r="X18" s="79">
        <v>2</v>
      </c>
      <c r="Y18" s="11" t="str">
        <f ca="1">IF(ISBLANK(BudgetsTable[[#This Row],[budg_seq_yr]]),"FY"&amp;fiscalyear,"FY"&amp;fiscalyear-1+BudgetsTable[[#This Row],[budg_seq_yr]])</f>
        <v>FY19</v>
      </c>
      <c r="Z18" s="80">
        <v>103235</v>
      </c>
      <c r="AA18" s="79" t="s">
        <v>477</v>
      </c>
      <c r="AB18" s="79" t="s">
        <v>582</v>
      </c>
      <c r="AC18" s="77" t="s">
        <v>94</v>
      </c>
      <c r="AD18" s="79" t="s">
        <v>1439</v>
      </c>
    </row>
    <row r="19" spans="1:30" x14ac:dyDescent="0.4">
      <c r="A19" s="10" t="s">
        <v>630</v>
      </c>
      <c r="B19" s="77" t="s">
        <v>95</v>
      </c>
      <c r="C19" s="77">
        <f>C18+(BudgetsTable[[#This Row],[lead]]&lt;&gt;K18)</f>
        <v>13</v>
      </c>
      <c r="D19" s="77">
        <f>D18*(BudgetsTable[[#This Row],[lead]]=K18)+(BudgetsTable[[#This Row],[prop_id]]&lt;&gt;A18)</f>
        <v>1</v>
      </c>
      <c r="E19" s="78">
        <v>42933.547222222223</v>
      </c>
      <c r="F19" s="79" t="s">
        <v>1430</v>
      </c>
      <c r="G19" s="79" t="s">
        <v>477</v>
      </c>
      <c r="H19" s="79" t="s">
        <v>582</v>
      </c>
      <c r="I19" s="77" t="s">
        <v>604</v>
      </c>
      <c r="J19" s="77" t="s">
        <v>13</v>
      </c>
      <c r="K19" s="79" t="s">
        <v>630</v>
      </c>
      <c r="L19" s="7" t="str">
        <f>IF(BudgetsTable[[#This Row],[pi_last_name]]=" ","",HYPERLINK("https://www.ejacket.nsf.gov/ej/showProposal.do?Continue=Y&amp;ID="&amp;BudgetsTable[[#This Row],[prop_id]],BudgetsTable[[#This Row],[prop_id]]))</f>
        <v/>
      </c>
      <c r="M19" s="15" t="str">
        <f>IF(BudgetsTable[[#This Row],[pi_last_name]]=" ","",HYPERLINK("https://www.ejacket.nsf.gov/ej/processReviewAnalysis.do?dispatch=add&amp;uniqId="&amp;BudgetsTable[[#This Row],[prop_id]]&amp;PO_id,"&gt;ra"))</f>
        <v/>
      </c>
      <c r="N19" s="79" t="s">
        <v>13</v>
      </c>
      <c r="O19" s="7" t="str">
        <f>IF(BudgetsTable[[#This Row],[pi_last_name]]=" ","",HYPERLINK("mailto:"&amp;BudgetsTable[[#This Row],[pi_email]]&amp;"&amp;subject=Your NSF Proposal:  "&amp;BudgetsTable[[#This Row],[prop_id]],BudgetsTable[[#This Row],[pi_email]]))</f>
        <v/>
      </c>
      <c r="P19" s="79" t="s">
        <v>13</v>
      </c>
      <c r="Q19" s="79">
        <v>1</v>
      </c>
      <c r="R19" s="79">
        <v>1</v>
      </c>
      <c r="S19" s="80">
        <v>0</v>
      </c>
      <c r="T19" s="80">
        <v>3000</v>
      </c>
      <c r="U19" s="80">
        <v>0</v>
      </c>
      <c r="V19" s="81">
        <v>104944</v>
      </c>
      <c r="W19" s="79">
        <v>0</v>
      </c>
      <c r="X19" s="79">
        <v>3</v>
      </c>
      <c r="Y19" s="11" t="str">
        <f ca="1">IF(ISBLANK(BudgetsTable[[#This Row],[budg_seq_yr]]),"FY"&amp;fiscalyear,"FY"&amp;fiscalyear-1+BudgetsTable[[#This Row],[budg_seq_yr]])</f>
        <v>FY20</v>
      </c>
      <c r="Z19" s="80">
        <v>104944</v>
      </c>
      <c r="AA19" s="79" t="s">
        <v>477</v>
      </c>
      <c r="AB19" s="79" t="s">
        <v>582</v>
      </c>
      <c r="AC19" s="77" t="s">
        <v>94</v>
      </c>
      <c r="AD19" s="79" t="s">
        <v>1439</v>
      </c>
    </row>
    <row r="20" spans="1:30" x14ac:dyDescent="0.4">
      <c r="A20" s="10" t="s">
        <v>630</v>
      </c>
      <c r="B20" s="77" t="s">
        <v>95</v>
      </c>
      <c r="C20" s="77">
        <f>C19+(BudgetsTable[[#This Row],[lead]]&lt;&gt;K19)</f>
        <v>13</v>
      </c>
      <c r="D20" s="77">
        <f>D19*(BudgetsTable[[#This Row],[lead]]=K19)+(BudgetsTable[[#This Row],[prop_id]]&lt;&gt;A19)</f>
        <v>1</v>
      </c>
      <c r="E20" s="78">
        <v>42933.547222222223</v>
      </c>
      <c r="F20" s="79" t="s">
        <v>1430</v>
      </c>
      <c r="G20" s="79" t="s">
        <v>477</v>
      </c>
      <c r="H20" s="79" t="s">
        <v>582</v>
      </c>
      <c r="I20" s="77" t="s">
        <v>604</v>
      </c>
      <c r="J20" s="77" t="s">
        <v>13</v>
      </c>
      <c r="K20" s="79" t="s">
        <v>630</v>
      </c>
      <c r="L20" s="7" t="str">
        <f>IF(BudgetsTable[[#This Row],[pi_last_name]]=" ","",HYPERLINK("https://www.ejacket.nsf.gov/ej/showProposal.do?Continue=Y&amp;ID="&amp;BudgetsTable[[#This Row],[prop_id]],BudgetsTable[[#This Row],[prop_id]]))</f>
        <v/>
      </c>
      <c r="M20" s="15" t="str">
        <f>IF(BudgetsTable[[#This Row],[pi_last_name]]=" ","",HYPERLINK("https://www.ejacket.nsf.gov/ej/processReviewAnalysis.do?dispatch=add&amp;uniqId="&amp;BudgetsTable[[#This Row],[prop_id]]&amp;PO_id,"&gt;ra"))</f>
        <v/>
      </c>
      <c r="N20" s="79" t="s">
        <v>13</v>
      </c>
      <c r="O20" s="7" t="str">
        <f>IF(BudgetsTable[[#This Row],[pi_last_name]]=" ","",HYPERLINK("mailto:"&amp;BudgetsTable[[#This Row],[pi_email]]&amp;"&amp;subject=Your NSF Proposal:  "&amp;BudgetsTable[[#This Row],[prop_id]],BudgetsTable[[#This Row],[pi_email]]))</f>
        <v/>
      </c>
      <c r="P20" s="79" t="s">
        <v>13</v>
      </c>
      <c r="Q20" s="79">
        <v>1</v>
      </c>
      <c r="R20" s="79">
        <v>1</v>
      </c>
      <c r="S20" s="80">
        <v>0</v>
      </c>
      <c r="T20" s="80">
        <v>3000</v>
      </c>
      <c r="U20" s="80">
        <v>0</v>
      </c>
      <c r="V20" s="81">
        <v>106666</v>
      </c>
      <c r="W20" s="79">
        <v>0</v>
      </c>
      <c r="X20" s="79">
        <v>4</v>
      </c>
      <c r="Y20" s="11" t="str">
        <f ca="1">IF(ISBLANK(BudgetsTable[[#This Row],[budg_seq_yr]]),"FY"&amp;fiscalyear,"FY"&amp;fiscalyear-1+BudgetsTable[[#This Row],[budg_seq_yr]])</f>
        <v>FY21</v>
      </c>
      <c r="Z20" s="80">
        <v>106666</v>
      </c>
      <c r="AA20" s="79" t="s">
        <v>477</v>
      </c>
      <c r="AB20" s="79" t="s">
        <v>582</v>
      </c>
      <c r="AC20" s="77" t="s">
        <v>94</v>
      </c>
      <c r="AD20" s="79" t="s">
        <v>1439</v>
      </c>
    </row>
    <row r="21" spans="1:30" x14ac:dyDescent="0.4">
      <c r="A21" s="10" t="s">
        <v>630</v>
      </c>
      <c r="B21" s="77" t="s">
        <v>95</v>
      </c>
      <c r="C21" s="77">
        <f>C20+(BudgetsTable[[#This Row],[lead]]&lt;&gt;K20)</f>
        <v>13</v>
      </c>
      <c r="D21" s="77">
        <f>D20*(BudgetsTable[[#This Row],[lead]]=K20)+(BudgetsTable[[#This Row],[prop_id]]&lt;&gt;A20)</f>
        <v>1</v>
      </c>
      <c r="E21" s="78">
        <v>42933.547222222223</v>
      </c>
      <c r="F21" s="79" t="s">
        <v>1430</v>
      </c>
      <c r="G21" s="79" t="s">
        <v>477</v>
      </c>
      <c r="H21" s="79" t="s">
        <v>582</v>
      </c>
      <c r="I21" s="77" t="s">
        <v>604</v>
      </c>
      <c r="J21" s="77" t="s">
        <v>13</v>
      </c>
      <c r="K21" s="79" t="s">
        <v>630</v>
      </c>
      <c r="L21" s="7" t="str">
        <f>IF(BudgetsTable[[#This Row],[pi_last_name]]=" ","",HYPERLINK("https://www.ejacket.nsf.gov/ej/showProposal.do?Continue=Y&amp;ID="&amp;BudgetsTable[[#This Row],[prop_id]],BudgetsTable[[#This Row],[prop_id]]))</f>
        <v/>
      </c>
      <c r="M21" s="15" t="str">
        <f>IF(BudgetsTable[[#This Row],[pi_last_name]]=" ","",HYPERLINK("https://www.ejacket.nsf.gov/ej/processReviewAnalysis.do?dispatch=add&amp;uniqId="&amp;BudgetsTable[[#This Row],[prop_id]]&amp;PO_id,"&gt;ra"))</f>
        <v/>
      </c>
      <c r="N21" s="79" t="s">
        <v>13</v>
      </c>
      <c r="O21" s="7" t="str">
        <f>IF(BudgetsTable[[#This Row],[pi_last_name]]=" ","",HYPERLINK("mailto:"&amp;BudgetsTable[[#This Row],[pi_email]]&amp;"&amp;subject=Your NSF Proposal:  "&amp;BudgetsTable[[#This Row],[prop_id]],BudgetsTable[[#This Row],[pi_email]]))</f>
        <v/>
      </c>
      <c r="P21" s="79" t="s">
        <v>13</v>
      </c>
      <c r="Q21" s="79">
        <v>1</v>
      </c>
      <c r="R21" s="79">
        <v>1</v>
      </c>
      <c r="S21" s="80">
        <v>0</v>
      </c>
      <c r="T21" s="80">
        <v>3000</v>
      </c>
      <c r="U21" s="80">
        <v>0</v>
      </c>
      <c r="V21" s="81">
        <v>108456</v>
      </c>
      <c r="W21" s="79">
        <v>0</v>
      </c>
      <c r="X21" s="79">
        <v>5</v>
      </c>
      <c r="Y21" s="11" t="str">
        <f ca="1">IF(ISBLANK(BudgetsTable[[#This Row],[budg_seq_yr]]),"FY"&amp;fiscalyear,"FY"&amp;fiscalyear-1+BudgetsTable[[#This Row],[budg_seq_yr]])</f>
        <v>FY22</v>
      </c>
      <c r="Z21" s="80">
        <v>108456</v>
      </c>
      <c r="AA21" s="79" t="s">
        <v>477</v>
      </c>
      <c r="AB21" s="79" t="s">
        <v>582</v>
      </c>
      <c r="AC21" s="77" t="s">
        <v>94</v>
      </c>
      <c r="AD21" s="79" t="s">
        <v>1439</v>
      </c>
    </row>
    <row r="22" spans="1:30" x14ac:dyDescent="0.4">
      <c r="A22" s="10" t="s">
        <v>652</v>
      </c>
      <c r="B22" s="77" t="s">
        <v>95</v>
      </c>
      <c r="C22" s="77">
        <f>C21+(BudgetsTable[[#This Row],[lead]]&lt;&gt;K21)</f>
        <v>14</v>
      </c>
      <c r="D22" s="77">
        <f>D21*(BudgetsTable[[#This Row],[lead]]=K21)+(BudgetsTable[[#This Row],[prop_id]]&lt;&gt;A21)</f>
        <v>1</v>
      </c>
      <c r="E22" s="78">
        <v>42933.579861111109</v>
      </c>
      <c r="F22" s="79" t="s">
        <v>1430</v>
      </c>
      <c r="G22" s="79" t="s">
        <v>477</v>
      </c>
      <c r="H22" s="79" t="s">
        <v>582</v>
      </c>
      <c r="I22" s="77" t="s">
        <v>654</v>
      </c>
      <c r="J22" s="77" t="s">
        <v>1448</v>
      </c>
      <c r="K22" s="79" t="s">
        <v>652</v>
      </c>
      <c r="L22" s="7" t="str">
        <f>IF(BudgetsTable[[#This Row],[pi_last_name]]=" ","",HYPERLINK("https://www.ejacket.nsf.gov/ej/showProposal.do?Continue=Y&amp;ID="&amp;BudgetsTable[[#This Row],[prop_id]],BudgetsTable[[#This Row],[prop_id]]))</f>
        <v>1749414</v>
      </c>
      <c r="M22" s="15" t="e">
        <f>IF(BudgetsTable[[#This Row],[pi_last_name]]=" ","",HYPERLINK("https://www.ejacket.nsf.gov/ej/processReviewAnalysis.do?dispatch=add&amp;uniqId="&amp;BudgetsTable[[#This Row],[prop_id]]&amp;PO_id,"&gt;ra"))</f>
        <v>#REF!</v>
      </c>
      <c r="N22" s="79" t="s">
        <v>653</v>
      </c>
      <c r="O22" s="7" t="str">
        <f>IF(BudgetsTable[[#This Row],[pi_last_name]]=" ","",HYPERLINK("mailto:"&amp;BudgetsTable[[#This Row],[pi_email]]&amp;"&amp;subject=Your NSF Proposal:  "&amp;BudgetsTable[[#This Row],[prop_id]],BudgetsTable[[#This Row],[pi_email]]))</f>
        <v>bmoseley@seas.wustl.edu</v>
      </c>
      <c r="P22" s="79" t="s">
        <v>497</v>
      </c>
      <c r="Q22" s="79"/>
      <c r="R22" s="79"/>
      <c r="S22" s="80"/>
      <c r="T22" s="80"/>
      <c r="U22" s="80"/>
      <c r="V22" s="81"/>
      <c r="W22" s="79">
        <v>0</v>
      </c>
      <c r="X22" s="79"/>
      <c r="Y22" s="11" t="str">
        <f ca="1">IF(ISBLANK(BudgetsTable[[#This Row],[budg_seq_yr]]),"FY"&amp;fiscalyear,"FY"&amp;fiscalyear-1+BudgetsTable[[#This Row],[budg_seq_yr]])</f>
        <v>FY18</v>
      </c>
      <c r="Z22" s="80">
        <v>545000</v>
      </c>
      <c r="AA22" s="79" t="s">
        <v>477</v>
      </c>
      <c r="AB22" s="79" t="s">
        <v>582</v>
      </c>
      <c r="AC22" s="77" t="s">
        <v>94</v>
      </c>
      <c r="AD22" s="79" t="s">
        <v>1444</v>
      </c>
    </row>
    <row r="23" spans="1:30" x14ac:dyDescent="0.4">
      <c r="A23" s="10" t="s">
        <v>652</v>
      </c>
      <c r="B23" s="77" t="s">
        <v>95</v>
      </c>
      <c r="C23" s="77">
        <f>C22+(BudgetsTable[[#This Row],[lead]]&lt;&gt;K22)</f>
        <v>14</v>
      </c>
      <c r="D23" s="77">
        <f>D22*(BudgetsTable[[#This Row],[lead]]=K22)+(BudgetsTable[[#This Row],[prop_id]]&lt;&gt;A22)</f>
        <v>1</v>
      </c>
      <c r="E23" s="78">
        <v>42933.579861111109</v>
      </c>
      <c r="F23" s="79" t="s">
        <v>1430</v>
      </c>
      <c r="G23" s="79" t="s">
        <v>477</v>
      </c>
      <c r="H23" s="79" t="s">
        <v>582</v>
      </c>
      <c r="I23" s="77" t="s">
        <v>654</v>
      </c>
      <c r="J23" s="77" t="s">
        <v>13</v>
      </c>
      <c r="K23" s="79" t="s">
        <v>652</v>
      </c>
      <c r="L23" s="7" t="str">
        <f>IF(BudgetsTable[[#This Row],[pi_last_name]]=" ","",HYPERLINK("https://www.ejacket.nsf.gov/ej/showProposal.do?Continue=Y&amp;ID="&amp;BudgetsTable[[#This Row],[prop_id]],BudgetsTable[[#This Row],[prop_id]]))</f>
        <v/>
      </c>
      <c r="M23" s="15" t="str">
        <f>IF(BudgetsTable[[#This Row],[pi_last_name]]=" ","",HYPERLINK("https://www.ejacket.nsf.gov/ej/processReviewAnalysis.do?dispatch=add&amp;uniqId="&amp;BudgetsTable[[#This Row],[prop_id]]&amp;PO_id,"&gt;ra"))</f>
        <v/>
      </c>
      <c r="N23" s="79" t="s">
        <v>13</v>
      </c>
      <c r="O23" s="7" t="str">
        <f>IF(BudgetsTable[[#This Row],[pi_last_name]]=" ","",HYPERLINK("mailto:"&amp;BudgetsTable[[#This Row],[pi_email]]&amp;"&amp;subject=Your NSF Proposal:  "&amp;BudgetsTable[[#This Row],[prop_id]],BudgetsTable[[#This Row],[pi_email]]))</f>
        <v/>
      </c>
      <c r="P23" s="79" t="s">
        <v>13</v>
      </c>
      <c r="Q23" s="79">
        <v>1</v>
      </c>
      <c r="R23" s="79">
        <v>1.3</v>
      </c>
      <c r="S23" s="80">
        <v>0</v>
      </c>
      <c r="T23" s="80">
        <v>0</v>
      </c>
      <c r="U23" s="80">
        <v>8000</v>
      </c>
      <c r="V23" s="81">
        <v>118096</v>
      </c>
      <c r="W23" s="79">
        <v>0</v>
      </c>
      <c r="X23" s="79">
        <v>1</v>
      </c>
      <c r="Y23" s="11" t="str">
        <f ca="1">IF(ISBLANK(BudgetsTable[[#This Row],[budg_seq_yr]]),"FY"&amp;fiscalyear,"FY"&amp;fiscalyear-1+BudgetsTable[[#This Row],[budg_seq_yr]])</f>
        <v>FY18</v>
      </c>
      <c r="Z23" s="80">
        <v>118096</v>
      </c>
      <c r="AA23" s="79" t="s">
        <v>477</v>
      </c>
      <c r="AB23" s="79" t="s">
        <v>582</v>
      </c>
      <c r="AC23" s="77" t="s">
        <v>94</v>
      </c>
      <c r="AD23" s="79" t="s">
        <v>1444</v>
      </c>
    </row>
    <row r="24" spans="1:30" x14ac:dyDescent="0.4">
      <c r="A24" s="10" t="s">
        <v>652</v>
      </c>
      <c r="B24" s="77" t="s">
        <v>95</v>
      </c>
      <c r="C24" s="77">
        <f>C23+(BudgetsTable[[#This Row],[lead]]&lt;&gt;K23)</f>
        <v>14</v>
      </c>
      <c r="D24" s="77">
        <f>D23*(BudgetsTable[[#This Row],[lead]]=K23)+(BudgetsTable[[#This Row],[prop_id]]&lt;&gt;A23)</f>
        <v>1</v>
      </c>
      <c r="E24" s="78">
        <v>42933.579861111109</v>
      </c>
      <c r="F24" s="79" t="s">
        <v>1430</v>
      </c>
      <c r="G24" s="79" t="s">
        <v>477</v>
      </c>
      <c r="H24" s="79" t="s">
        <v>582</v>
      </c>
      <c r="I24" s="77" t="s">
        <v>654</v>
      </c>
      <c r="J24" s="77" t="s">
        <v>13</v>
      </c>
      <c r="K24" s="79" t="s">
        <v>652</v>
      </c>
      <c r="L24" s="7" t="str">
        <f>IF(BudgetsTable[[#This Row],[pi_last_name]]=" ","",HYPERLINK("https://www.ejacket.nsf.gov/ej/showProposal.do?Continue=Y&amp;ID="&amp;BudgetsTable[[#This Row],[prop_id]],BudgetsTable[[#This Row],[prop_id]]))</f>
        <v/>
      </c>
      <c r="M24" s="15" t="str">
        <f>IF(BudgetsTable[[#This Row],[pi_last_name]]=" ","",HYPERLINK("https://www.ejacket.nsf.gov/ej/processReviewAnalysis.do?dispatch=add&amp;uniqId="&amp;BudgetsTable[[#This Row],[prop_id]]&amp;PO_id,"&gt;ra"))</f>
        <v/>
      </c>
      <c r="N24" s="79" t="s">
        <v>13</v>
      </c>
      <c r="O24" s="7" t="str">
        <f>IF(BudgetsTable[[#This Row],[pi_last_name]]=" ","",HYPERLINK("mailto:"&amp;BudgetsTable[[#This Row],[pi_email]]&amp;"&amp;subject=Your NSF Proposal:  "&amp;BudgetsTable[[#This Row],[prop_id]],BudgetsTable[[#This Row],[pi_email]]))</f>
        <v/>
      </c>
      <c r="P24" s="79" t="s">
        <v>13</v>
      </c>
      <c r="Q24" s="79">
        <v>1</v>
      </c>
      <c r="R24" s="79">
        <v>1.3</v>
      </c>
      <c r="S24" s="80">
        <v>0</v>
      </c>
      <c r="T24" s="80">
        <v>0</v>
      </c>
      <c r="U24" s="80">
        <v>0</v>
      </c>
      <c r="V24" s="81">
        <v>103981</v>
      </c>
      <c r="W24" s="79">
        <v>0</v>
      </c>
      <c r="X24" s="79">
        <v>2</v>
      </c>
      <c r="Y24" s="11" t="str">
        <f ca="1">IF(ISBLANK(BudgetsTable[[#This Row],[budg_seq_yr]]),"FY"&amp;fiscalyear,"FY"&amp;fiscalyear-1+BudgetsTable[[#This Row],[budg_seq_yr]])</f>
        <v>FY19</v>
      </c>
      <c r="Z24" s="80">
        <v>103981</v>
      </c>
      <c r="AA24" s="79" t="s">
        <v>477</v>
      </c>
      <c r="AB24" s="79" t="s">
        <v>582</v>
      </c>
      <c r="AC24" s="77" t="s">
        <v>94</v>
      </c>
      <c r="AD24" s="79" t="s">
        <v>1444</v>
      </c>
    </row>
    <row r="25" spans="1:30" x14ac:dyDescent="0.4">
      <c r="A25" s="10" t="s">
        <v>652</v>
      </c>
      <c r="B25" s="77" t="s">
        <v>95</v>
      </c>
      <c r="C25" s="77">
        <f>C24+(BudgetsTable[[#This Row],[lead]]&lt;&gt;K24)</f>
        <v>14</v>
      </c>
      <c r="D25" s="77">
        <f>D24*(BudgetsTable[[#This Row],[lead]]=K24)+(BudgetsTable[[#This Row],[prop_id]]&lt;&gt;A24)</f>
        <v>1</v>
      </c>
      <c r="E25" s="78">
        <v>42933.579861111109</v>
      </c>
      <c r="F25" s="79" t="s">
        <v>1430</v>
      </c>
      <c r="G25" s="79" t="s">
        <v>477</v>
      </c>
      <c r="H25" s="79" t="s">
        <v>582</v>
      </c>
      <c r="I25" s="77" t="s">
        <v>654</v>
      </c>
      <c r="J25" s="77" t="s">
        <v>13</v>
      </c>
      <c r="K25" s="79" t="s">
        <v>652</v>
      </c>
      <c r="L25" s="7" t="str">
        <f>IF(BudgetsTable[[#This Row],[pi_last_name]]=" ","",HYPERLINK("https://www.ejacket.nsf.gov/ej/showProposal.do?Continue=Y&amp;ID="&amp;BudgetsTable[[#This Row],[prop_id]],BudgetsTable[[#This Row],[prop_id]]))</f>
        <v/>
      </c>
      <c r="M25" s="15" t="str">
        <f>IF(BudgetsTable[[#This Row],[pi_last_name]]=" ","",HYPERLINK("https://www.ejacket.nsf.gov/ej/processReviewAnalysis.do?dispatch=add&amp;uniqId="&amp;BudgetsTable[[#This Row],[prop_id]]&amp;PO_id,"&gt;ra"))</f>
        <v/>
      </c>
      <c r="N25" s="79" t="s">
        <v>13</v>
      </c>
      <c r="O25" s="7" t="str">
        <f>IF(BudgetsTable[[#This Row],[pi_last_name]]=" ","",HYPERLINK("mailto:"&amp;BudgetsTable[[#This Row],[pi_email]]&amp;"&amp;subject=Your NSF Proposal:  "&amp;BudgetsTable[[#This Row],[prop_id]],BudgetsTable[[#This Row],[pi_email]]))</f>
        <v/>
      </c>
      <c r="P25" s="79" t="s">
        <v>13</v>
      </c>
      <c r="Q25" s="79">
        <v>1</v>
      </c>
      <c r="R25" s="79">
        <v>1.3</v>
      </c>
      <c r="S25" s="80">
        <v>0</v>
      </c>
      <c r="T25" s="80">
        <v>0</v>
      </c>
      <c r="U25" s="80">
        <v>0</v>
      </c>
      <c r="V25" s="81">
        <v>105714</v>
      </c>
      <c r="W25" s="79">
        <v>0</v>
      </c>
      <c r="X25" s="79">
        <v>3</v>
      </c>
      <c r="Y25" s="11" t="str">
        <f ca="1">IF(ISBLANK(BudgetsTable[[#This Row],[budg_seq_yr]]),"FY"&amp;fiscalyear,"FY"&amp;fiscalyear-1+BudgetsTable[[#This Row],[budg_seq_yr]])</f>
        <v>FY20</v>
      </c>
      <c r="Z25" s="80">
        <v>105714</v>
      </c>
      <c r="AA25" s="79" t="s">
        <v>477</v>
      </c>
      <c r="AB25" s="79" t="s">
        <v>582</v>
      </c>
      <c r="AC25" s="77" t="s">
        <v>94</v>
      </c>
      <c r="AD25" s="79" t="s">
        <v>1444</v>
      </c>
    </row>
    <row r="26" spans="1:30" x14ac:dyDescent="0.4">
      <c r="A26" s="10" t="s">
        <v>652</v>
      </c>
      <c r="B26" s="77" t="s">
        <v>95</v>
      </c>
      <c r="C26" s="77">
        <f>C25+(BudgetsTable[[#This Row],[lead]]&lt;&gt;K25)</f>
        <v>14</v>
      </c>
      <c r="D26" s="77">
        <f>D25*(BudgetsTable[[#This Row],[lead]]=K25)+(BudgetsTable[[#This Row],[prop_id]]&lt;&gt;A25)</f>
        <v>1</v>
      </c>
      <c r="E26" s="78">
        <v>42933.579861111109</v>
      </c>
      <c r="F26" s="79" t="s">
        <v>1430</v>
      </c>
      <c r="G26" s="79" t="s">
        <v>477</v>
      </c>
      <c r="H26" s="79" t="s">
        <v>582</v>
      </c>
      <c r="I26" s="77" t="s">
        <v>654</v>
      </c>
      <c r="J26" s="77" t="s">
        <v>13</v>
      </c>
      <c r="K26" s="79" t="s">
        <v>652</v>
      </c>
      <c r="L26" s="7" t="str">
        <f>IF(BudgetsTable[[#This Row],[pi_last_name]]=" ","",HYPERLINK("https://www.ejacket.nsf.gov/ej/showProposal.do?Continue=Y&amp;ID="&amp;BudgetsTable[[#This Row],[prop_id]],BudgetsTable[[#This Row],[prop_id]]))</f>
        <v/>
      </c>
      <c r="M26" s="15" t="str">
        <f>IF(BudgetsTable[[#This Row],[pi_last_name]]=" ","",HYPERLINK("https://www.ejacket.nsf.gov/ej/processReviewAnalysis.do?dispatch=add&amp;uniqId="&amp;BudgetsTable[[#This Row],[prop_id]]&amp;PO_id,"&gt;ra"))</f>
        <v/>
      </c>
      <c r="N26" s="79" t="s">
        <v>13</v>
      </c>
      <c r="O26" s="7" t="str">
        <f>IF(BudgetsTable[[#This Row],[pi_last_name]]=" ","",HYPERLINK("mailto:"&amp;BudgetsTable[[#This Row],[pi_email]]&amp;"&amp;subject=Your NSF Proposal:  "&amp;BudgetsTable[[#This Row],[prop_id]],BudgetsTable[[#This Row],[pi_email]]))</f>
        <v/>
      </c>
      <c r="P26" s="79" t="s">
        <v>13</v>
      </c>
      <c r="Q26" s="79">
        <v>1</v>
      </c>
      <c r="R26" s="79">
        <v>1.3</v>
      </c>
      <c r="S26" s="80">
        <v>0</v>
      </c>
      <c r="T26" s="80">
        <v>0</v>
      </c>
      <c r="U26" s="80">
        <v>0</v>
      </c>
      <c r="V26" s="81">
        <v>107658</v>
      </c>
      <c r="W26" s="79">
        <v>0</v>
      </c>
      <c r="X26" s="79">
        <v>4</v>
      </c>
      <c r="Y26" s="11" t="str">
        <f ca="1">IF(ISBLANK(BudgetsTable[[#This Row],[budg_seq_yr]]),"FY"&amp;fiscalyear,"FY"&amp;fiscalyear-1+BudgetsTable[[#This Row],[budg_seq_yr]])</f>
        <v>FY21</v>
      </c>
      <c r="Z26" s="80">
        <v>107658</v>
      </c>
      <c r="AA26" s="79" t="s">
        <v>477</v>
      </c>
      <c r="AB26" s="79" t="s">
        <v>582</v>
      </c>
      <c r="AC26" s="77" t="s">
        <v>94</v>
      </c>
      <c r="AD26" s="79" t="s">
        <v>1444</v>
      </c>
    </row>
    <row r="27" spans="1:30" x14ac:dyDescent="0.4">
      <c r="A27" s="10" t="s">
        <v>652</v>
      </c>
      <c r="B27" s="77" t="s">
        <v>95</v>
      </c>
      <c r="C27" s="77">
        <f>C26+(BudgetsTable[[#This Row],[lead]]&lt;&gt;K26)</f>
        <v>14</v>
      </c>
      <c r="D27" s="77">
        <f>D26*(BudgetsTable[[#This Row],[lead]]=K26)+(BudgetsTable[[#This Row],[prop_id]]&lt;&gt;A26)</f>
        <v>1</v>
      </c>
      <c r="E27" s="78">
        <v>42933.579861111109</v>
      </c>
      <c r="F27" s="79" t="s">
        <v>1430</v>
      </c>
      <c r="G27" s="79" t="s">
        <v>477</v>
      </c>
      <c r="H27" s="79" t="s">
        <v>582</v>
      </c>
      <c r="I27" s="77" t="s">
        <v>654</v>
      </c>
      <c r="J27" s="77" t="s">
        <v>13</v>
      </c>
      <c r="K27" s="79" t="s">
        <v>652</v>
      </c>
      <c r="L27" s="7" t="str">
        <f>IF(BudgetsTable[[#This Row],[pi_last_name]]=" ","",HYPERLINK("https://www.ejacket.nsf.gov/ej/showProposal.do?Continue=Y&amp;ID="&amp;BudgetsTable[[#This Row],[prop_id]],BudgetsTable[[#This Row],[prop_id]]))</f>
        <v/>
      </c>
      <c r="M27" s="15" t="str">
        <f>IF(BudgetsTable[[#This Row],[pi_last_name]]=" ","",HYPERLINK("https://www.ejacket.nsf.gov/ej/processReviewAnalysis.do?dispatch=add&amp;uniqId="&amp;BudgetsTable[[#This Row],[prop_id]]&amp;PO_id,"&gt;ra"))</f>
        <v/>
      </c>
      <c r="N27" s="79" t="s">
        <v>13</v>
      </c>
      <c r="O27" s="7" t="str">
        <f>IF(BudgetsTable[[#This Row],[pi_last_name]]=" ","",HYPERLINK("mailto:"&amp;BudgetsTable[[#This Row],[pi_email]]&amp;"&amp;subject=Your NSF Proposal:  "&amp;BudgetsTable[[#This Row],[prop_id]],BudgetsTable[[#This Row],[pi_email]]))</f>
        <v/>
      </c>
      <c r="P27" s="79" t="s">
        <v>13</v>
      </c>
      <c r="Q27" s="79">
        <v>1</v>
      </c>
      <c r="R27" s="79">
        <v>1.3</v>
      </c>
      <c r="S27" s="80">
        <v>0</v>
      </c>
      <c r="T27" s="80">
        <v>0</v>
      </c>
      <c r="U27" s="80">
        <v>0</v>
      </c>
      <c r="V27" s="81">
        <v>109551</v>
      </c>
      <c r="W27" s="79">
        <v>0</v>
      </c>
      <c r="X27" s="79">
        <v>5</v>
      </c>
      <c r="Y27" s="11" t="str">
        <f ca="1">IF(ISBLANK(BudgetsTable[[#This Row],[budg_seq_yr]]),"FY"&amp;fiscalyear,"FY"&amp;fiscalyear-1+BudgetsTable[[#This Row],[budg_seq_yr]])</f>
        <v>FY22</v>
      </c>
      <c r="Z27" s="80">
        <v>109551</v>
      </c>
      <c r="AA27" s="79" t="s">
        <v>477</v>
      </c>
      <c r="AB27" s="79" t="s">
        <v>582</v>
      </c>
      <c r="AC27" s="77" t="s">
        <v>94</v>
      </c>
      <c r="AD27" s="79" t="s">
        <v>1444</v>
      </c>
    </row>
    <row r="28" spans="1:30" x14ac:dyDescent="0.4">
      <c r="A28" s="10" t="s">
        <v>669</v>
      </c>
      <c r="B28" s="77" t="s">
        <v>95</v>
      </c>
      <c r="C28" s="77">
        <f>C27+(BudgetsTable[[#This Row],[lead]]&lt;&gt;K27)</f>
        <v>15</v>
      </c>
      <c r="D28" s="77">
        <f>D27*(BudgetsTable[[#This Row],[lead]]=K27)+(BudgetsTable[[#This Row],[prop_id]]&lt;&gt;A27)</f>
        <v>1</v>
      </c>
      <c r="E28" s="78">
        <v>42933.713888888888</v>
      </c>
      <c r="F28" s="79" t="s">
        <v>1430</v>
      </c>
      <c r="G28" s="79" t="s">
        <v>477</v>
      </c>
      <c r="H28" s="79" t="s">
        <v>582</v>
      </c>
      <c r="I28" s="77" t="s">
        <v>604</v>
      </c>
      <c r="J28" s="77" t="s">
        <v>1452</v>
      </c>
      <c r="K28" s="79" t="s">
        <v>669</v>
      </c>
      <c r="L28" s="7" t="str">
        <f>IF(BudgetsTable[[#This Row],[pi_last_name]]=" ","",HYPERLINK("https://www.ejacket.nsf.gov/ej/showProposal.do?Continue=Y&amp;ID="&amp;BudgetsTable[[#This Row],[prop_id]],BudgetsTable[[#This Row],[prop_id]]))</f>
        <v>1749563</v>
      </c>
      <c r="M28" s="15" t="e">
        <f>IF(BudgetsTable[[#This Row],[pi_last_name]]=" ","",HYPERLINK("https://www.ejacket.nsf.gov/ej/processReviewAnalysis.do?dispatch=add&amp;uniqId="&amp;BudgetsTable[[#This Row],[prop_id]]&amp;PO_id,"&gt;ra"))</f>
        <v>#REF!</v>
      </c>
      <c r="N28" s="79" t="s">
        <v>670</v>
      </c>
      <c r="O28" s="7" t="str">
        <f>IF(BudgetsTable[[#This Row],[pi_last_name]]=" ","",HYPERLINK("mailto:"&amp;BudgetsTable[[#This Row],[pi_email]]&amp;"&amp;subject=Your NSF Proposal:  "&amp;BudgetsTable[[#This Row],[prop_id]],BudgetsTable[[#This Row],[pi_email]]))</f>
        <v>delpia@wisc.edu</v>
      </c>
      <c r="P28" s="79" t="s">
        <v>554</v>
      </c>
      <c r="Q28" s="79"/>
      <c r="R28" s="79"/>
      <c r="S28" s="80"/>
      <c r="T28" s="80"/>
      <c r="U28" s="80"/>
      <c r="V28" s="81"/>
      <c r="W28" s="79">
        <v>0</v>
      </c>
      <c r="X28" s="79"/>
      <c r="Y28" s="11" t="str">
        <f ca="1">IF(ISBLANK(BudgetsTable[[#This Row],[budg_seq_yr]]),"FY"&amp;fiscalyear,"FY"&amp;fiscalyear-1+BudgetsTable[[#This Row],[budg_seq_yr]])</f>
        <v>FY18</v>
      </c>
      <c r="Z28" s="80">
        <v>500000</v>
      </c>
      <c r="AA28" s="79" t="s">
        <v>477</v>
      </c>
      <c r="AB28" s="79" t="s">
        <v>582</v>
      </c>
      <c r="AC28" s="77" t="s">
        <v>94</v>
      </c>
      <c r="AD28" s="79" t="s">
        <v>1432</v>
      </c>
    </row>
    <row r="29" spans="1:30" x14ac:dyDescent="0.4">
      <c r="A29" s="10" t="s">
        <v>669</v>
      </c>
      <c r="B29" s="77" t="s">
        <v>95</v>
      </c>
      <c r="C29" s="77">
        <f>C28+(BudgetsTable[[#This Row],[lead]]&lt;&gt;K28)</f>
        <v>15</v>
      </c>
      <c r="D29" s="77">
        <f>D28*(BudgetsTable[[#This Row],[lead]]=K28)+(BudgetsTable[[#This Row],[prop_id]]&lt;&gt;A28)</f>
        <v>1</v>
      </c>
      <c r="E29" s="78">
        <v>42933.713888888888</v>
      </c>
      <c r="F29" s="79" t="s">
        <v>1430</v>
      </c>
      <c r="G29" s="79" t="s">
        <v>477</v>
      </c>
      <c r="H29" s="79" t="s">
        <v>582</v>
      </c>
      <c r="I29" s="77" t="s">
        <v>604</v>
      </c>
      <c r="J29" s="77" t="s">
        <v>13</v>
      </c>
      <c r="K29" s="79" t="s">
        <v>669</v>
      </c>
      <c r="L29" s="7" t="str">
        <f>IF(BudgetsTable[[#This Row],[pi_last_name]]=" ","",HYPERLINK("https://www.ejacket.nsf.gov/ej/showProposal.do?Continue=Y&amp;ID="&amp;BudgetsTable[[#This Row],[prop_id]],BudgetsTable[[#This Row],[prop_id]]))</f>
        <v/>
      </c>
      <c r="M29" s="15" t="str">
        <f>IF(BudgetsTable[[#This Row],[pi_last_name]]=" ","",HYPERLINK("https://www.ejacket.nsf.gov/ej/processReviewAnalysis.do?dispatch=add&amp;uniqId="&amp;BudgetsTable[[#This Row],[prop_id]]&amp;PO_id,"&gt;ra"))</f>
        <v/>
      </c>
      <c r="N29" s="79" t="s">
        <v>13</v>
      </c>
      <c r="O29" s="7" t="str">
        <f>IF(BudgetsTable[[#This Row],[pi_last_name]]=" ","",HYPERLINK("mailto:"&amp;BudgetsTable[[#This Row],[pi_email]]&amp;"&amp;subject=Your NSF Proposal:  "&amp;BudgetsTable[[#This Row],[prop_id]],BudgetsTable[[#This Row],[pi_email]]))</f>
        <v/>
      </c>
      <c r="P29" s="79" t="s">
        <v>13</v>
      </c>
      <c r="Q29" s="79">
        <v>1</v>
      </c>
      <c r="R29" s="79">
        <v>1</v>
      </c>
      <c r="S29" s="80">
        <v>0</v>
      </c>
      <c r="T29" s="80">
        <v>2483</v>
      </c>
      <c r="U29" s="80">
        <v>0</v>
      </c>
      <c r="V29" s="81">
        <v>103953</v>
      </c>
      <c r="W29" s="79">
        <v>0</v>
      </c>
      <c r="X29" s="79">
        <v>1</v>
      </c>
      <c r="Y29" s="11" t="str">
        <f ca="1">IF(ISBLANK(BudgetsTable[[#This Row],[budg_seq_yr]]),"FY"&amp;fiscalyear,"FY"&amp;fiscalyear-1+BudgetsTable[[#This Row],[budg_seq_yr]])</f>
        <v>FY18</v>
      </c>
      <c r="Z29" s="80">
        <v>103953</v>
      </c>
      <c r="AA29" s="79" t="s">
        <v>477</v>
      </c>
      <c r="AB29" s="79" t="s">
        <v>582</v>
      </c>
      <c r="AC29" s="77" t="s">
        <v>94</v>
      </c>
      <c r="AD29" s="79" t="s">
        <v>1432</v>
      </c>
    </row>
    <row r="30" spans="1:30" x14ac:dyDescent="0.4">
      <c r="A30" s="10" t="s">
        <v>669</v>
      </c>
      <c r="B30" s="77" t="s">
        <v>95</v>
      </c>
      <c r="C30" s="77">
        <f>C29+(BudgetsTable[[#This Row],[lead]]&lt;&gt;K29)</f>
        <v>15</v>
      </c>
      <c r="D30" s="77">
        <f>D29*(BudgetsTable[[#This Row],[lead]]=K29)+(BudgetsTable[[#This Row],[prop_id]]&lt;&gt;A29)</f>
        <v>1</v>
      </c>
      <c r="E30" s="78">
        <v>42933.713888888888</v>
      </c>
      <c r="F30" s="79" t="s">
        <v>1430</v>
      </c>
      <c r="G30" s="79" t="s">
        <v>477</v>
      </c>
      <c r="H30" s="79" t="s">
        <v>582</v>
      </c>
      <c r="I30" s="77" t="s">
        <v>604</v>
      </c>
      <c r="J30" s="77" t="s">
        <v>13</v>
      </c>
      <c r="K30" s="79" t="s">
        <v>669</v>
      </c>
      <c r="L30" s="7" t="str">
        <f>IF(BudgetsTable[[#This Row],[pi_last_name]]=" ","",HYPERLINK("https://www.ejacket.nsf.gov/ej/showProposal.do?Continue=Y&amp;ID="&amp;BudgetsTable[[#This Row],[prop_id]],BudgetsTable[[#This Row],[prop_id]]))</f>
        <v/>
      </c>
      <c r="M30" s="15" t="str">
        <f>IF(BudgetsTable[[#This Row],[pi_last_name]]=" ","",HYPERLINK("https://www.ejacket.nsf.gov/ej/processReviewAnalysis.do?dispatch=add&amp;uniqId="&amp;BudgetsTable[[#This Row],[prop_id]]&amp;PO_id,"&gt;ra"))</f>
        <v/>
      </c>
      <c r="N30" s="79" t="s">
        <v>13</v>
      </c>
      <c r="O30" s="7" t="str">
        <f>IF(BudgetsTable[[#This Row],[pi_last_name]]=" ","",HYPERLINK("mailto:"&amp;BudgetsTable[[#This Row],[pi_email]]&amp;"&amp;subject=Your NSF Proposal:  "&amp;BudgetsTable[[#This Row],[prop_id]],BudgetsTable[[#This Row],[pi_email]]))</f>
        <v/>
      </c>
      <c r="P30" s="79" t="s">
        <v>13</v>
      </c>
      <c r="Q30" s="79">
        <v>1</v>
      </c>
      <c r="R30" s="79">
        <v>1</v>
      </c>
      <c r="S30" s="80">
        <v>0</v>
      </c>
      <c r="T30" s="80">
        <v>2483</v>
      </c>
      <c r="U30" s="80">
        <v>0</v>
      </c>
      <c r="V30" s="81">
        <v>95986</v>
      </c>
      <c r="W30" s="79">
        <v>0</v>
      </c>
      <c r="X30" s="79">
        <v>2</v>
      </c>
      <c r="Y30" s="11" t="str">
        <f ca="1">IF(ISBLANK(BudgetsTable[[#This Row],[budg_seq_yr]]),"FY"&amp;fiscalyear,"FY"&amp;fiscalyear-1+BudgetsTable[[#This Row],[budg_seq_yr]])</f>
        <v>FY19</v>
      </c>
      <c r="Z30" s="80">
        <v>95986</v>
      </c>
      <c r="AA30" s="79" t="s">
        <v>477</v>
      </c>
      <c r="AB30" s="79" t="s">
        <v>582</v>
      </c>
      <c r="AC30" s="77" t="s">
        <v>94</v>
      </c>
      <c r="AD30" s="79" t="s">
        <v>1432</v>
      </c>
    </row>
    <row r="31" spans="1:30" x14ac:dyDescent="0.4">
      <c r="A31" s="10" t="s">
        <v>669</v>
      </c>
      <c r="B31" s="77" t="s">
        <v>95</v>
      </c>
      <c r="C31" s="77">
        <f>C30+(BudgetsTable[[#This Row],[lead]]&lt;&gt;K30)</f>
        <v>15</v>
      </c>
      <c r="D31" s="77">
        <f>D30*(BudgetsTable[[#This Row],[lead]]=K30)+(BudgetsTable[[#This Row],[prop_id]]&lt;&gt;A30)</f>
        <v>1</v>
      </c>
      <c r="E31" s="78">
        <v>42933.713888888888</v>
      </c>
      <c r="F31" s="79" t="s">
        <v>1430</v>
      </c>
      <c r="G31" s="79" t="s">
        <v>477</v>
      </c>
      <c r="H31" s="79" t="s">
        <v>582</v>
      </c>
      <c r="I31" s="77" t="s">
        <v>604</v>
      </c>
      <c r="J31" s="77" t="s">
        <v>13</v>
      </c>
      <c r="K31" s="79" t="s">
        <v>669</v>
      </c>
      <c r="L31" s="7" t="str">
        <f>IF(BudgetsTable[[#This Row],[pi_last_name]]=" ","",HYPERLINK("https://www.ejacket.nsf.gov/ej/showProposal.do?Continue=Y&amp;ID="&amp;BudgetsTable[[#This Row],[prop_id]],BudgetsTable[[#This Row],[prop_id]]))</f>
        <v/>
      </c>
      <c r="M31" s="15" t="str">
        <f>IF(BudgetsTable[[#This Row],[pi_last_name]]=" ","",HYPERLINK("https://www.ejacket.nsf.gov/ej/processReviewAnalysis.do?dispatch=add&amp;uniqId="&amp;BudgetsTable[[#This Row],[prop_id]]&amp;PO_id,"&gt;ra"))</f>
        <v/>
      </c>
      <c r="N31" s="79" t="s">
        <v>13</v>
      </c>
      <c r="O31" s="7" t="str">
        <f>IF(BudgetsTable[[#This Row],[pi_last_name]]=" ","",HYPERLINK("mailto:"&amp;BudgetsTable[[#This Row],[pi_email]]&amp;"&amp;subject=Your NSF Proposal:  "&amp;BudgetsTable[[#This Row],[prop_id]],BudgetsTable[[#This Row],[pi_email]]))</f>
        <v/>
      </c>
      <c r="P31" s="79" t="s">
        <v>13</v>
      </c>
      <c r="Q31" s="79">
        <v>1</v>
      </c>
      <c r="R31" s="79">
        <v>1</v>
      </c>
      <c r="S31" s="80">
        <v>0</v>
      </c>
      <c r="T31" s="80">
        <v>2483</v>
      </c>
      <c r="U31" s="80">
        <v>0</v>
      </c>
      <c r="V31" s="81">
        <v>97655</v>
      </c>
      <c r="W31" s="79">
        <v>0</v>
      </c>
      <c r="X31" s="79">
        <v>3</v>
      </c>
      <c r="Y31" s="11" t="str">
        <f ca="1">IF(ISBLANK(BudgetsTable[[#This Row],[budg_seq_yr]]),"FY"&amp;fiscalyear,"FY"&amp;fiscalyear-1+BudgetsTable[[#This Row],[budg_seq_yr]])</f>
        <v>FY20</v>
      </c>
      <c r="Z31" s="80">
        <v>97655</v>
      </c>
      <c r="AA31" s="79" t="s">
        <v>477</v>
      </c>
      <c r="AB31" s="79" t="s">
        <v>582</v>
      </c>
      <c r="AC31" s="77" t="s">
        <v>94</v>
      </c>
      <c r="AD31" s="79" t="s">
        <v>1432</v>
      </c>
    </row>
    <row r="32" spans="1:30" x14ac:dyDescent="0.4">
      <c r="A32" s="10" t="s">
        <v>669</v>
      </c>
      <c r="B32" s="77" t="s">
        <v>95</v>
      </c>
      <c r="C32" s="77">
        <f>C31+(BudgetsTable[[#This Row],[lead]]&lt;&gt;K31)</f>
        <v>15</v>
      </c>
      <c r="D32" s="77">
        <f>D31*(BudgetsTable[[#This Row],[lead]]=K31)+(BudgetsTable[[#This Row],[prop_id]]&lt;&gt;A31)</f>
        <v>1</v>
      </c>
      <c r="E32" s="78">
        <v>42933.713888888888</v>
      </c>
      <c r="F32" s="79" t="s">
        <v>1430</v>
      </c>
      <c r="G32" s="79" t="s">
        <v>477</v>
      </c>
      <c r="H32" s="79" t="s">
        <v>582</v>
      </c>
      <c r="I32" s="77" t="s">
        <v>604</v>
      </c>
      <c r="J32" s="77" t="s">
        <v>13</v>
      </c>
      <c r="K32" s="79" t="s">
        <v>669</v>
      </c>
      <c r="L32" s="7" t="str">
        <f>IF(BudgetsTable[[#This Row],[pi_last_name]]=" ","",HYPERLINK("https://www.ejacket.nsf.gov/ej/showProposal.do?Continue=Y&amp;ID="&amp;BudgetsTable[[#This Row],[prop_id]],BudgetsTable[[#This Row],[prop_id]]))</f>
        <v/>
      </c>
      <c r="M32" s="15" t="str">
        <f>IF(BudgetsTable[[#This Row],[pi_last_name]]=" ","",HYPERLINK("https://www.ejacket.nsf.gov/ej/processReviewAnalysis.do?dispatch=add&amp;uniqId="&amp;BudgetsTable[[#This Row],[prop_id]]&amp;PO_id,"&gt;ra"))</f>
        <v/>
      </c>
      <c r="N32" s="79" t="s">
        <v>13</v>
      </c>
      <c r="O32" s="7" t="str">
        <f>IF(BudgetsTable[[#This Row],[pi_last_name]]=" ","",HYPERLINK("mailto:"&amp;BudgetsTable[[#This Row],[pi_email]]&amp;"&amp;subject=Your NSF Proposal:  "&amp;BudgetsTable[[#This Row],[prop_id]],BudgetsTable[[#This Row],[pi_email]]))</f>
        <v/>
      </c>
      <c r="P32" s="79" t="s">
        <v>13</v>
      </c>
      <c r="Q32" s="79">
        <v>1</v>
      </c>
      <c r="R32" s="79">
        <v>1</v>
      </c>
      <c r="S32" s="80">
        <v>0</v>
      </c>
      <c r="T32" s="80">
        <v>2483</v>
      </c>
      <c r="U32" s="80">
        <v>0</v>
      </c>
      <c r="V32" s="81">
        <v>99915</v>
      </c>
      <c r="W32" s="79">
        <v>0</v>
      </c>
      <c r="X32" s="79">
        <v>4</v>
      </c>
      <c r="Y32" s="11" t="str">
        <f ca="1">IF(ISBLANK(BudgetsTable[[#This Row],[budg_seq_yr]]),"FY"&amp;fiscalyear,"FY"&amp;fiscalyear-1+BudgetsTable[[#This Row],[budg_seq_yr]])</f>
        <v>FY21</v>
      </c>
      <c r="Z32" s="80">
        <v>99915</v>
      </c>
      <c r="AA32" s="79" t="s">
        <v>477</v>
      </c>
      <c r="AB32" s="79" t="s">
        <v>582</v>
      </c>
      <c r="AC32" s="77" t="s">
        <v>94</v>
      </c>
      <c r="AD32" s="79" t="s">
        <v>1432</v>
      </c>
    </row>
    <row r="33" spans="1:30" x14ac:dyDescent="0.4">
      <c r="A33" s="10" t="s">
        <v>669</v>
      </c>
      <c r="B33" s="77" t="s">
        <v>95</v>
      </c>
      <c r="C33" s="77">
        <f>C32+(BudgetsTable[[#This Row],[lead]]&lt;&gt;K32)</f>
        <v>15</v>
      </c>
      <c r="D33" s="77">
        <f>D32*(BudgetsTable[[#This Row],[lead]]=K32)+(BudgetsTable[[#This Row],[prop_id]]&lt;&gt;A32)</f>
        <v>1</v>
      </c>
      <c r="E33" s="78">
        <v>42933.713888888888</v>
      </c>
      <c r="F33" s="79" t="s">
        <v>1430</v>
      </c>
      <c r="G33" s="79" t="s">
        <v>477</v>
      </c>
      <c r="H33" s="79" t="s">
        <v>582</v>
      </c>
      <c r="I33" s="77" t="s">
        <v>604</v>
      </c>
      <c r="J33" s="77" t="s">
        <v>13</v>
      </c>
      <c r="K33" s="79" t="s">
        <v>669</v>
      </c>
      <c r="L33" s="7" t="str">
        <f>IF(BudgetsTable[[#This Row],[pi_last_name]]=" ","",HYPERLINK("https://www.ejacket.nsf.gov/ej/showProposal.do?Continue=Y&amp;ID="&amp;BudgetsTable[[#This Row],[prop_id]],BudgetsTable[[#This Row],[prop_id]]))</f>
        <v/>
      </c>
      <c r="M33" s="15" t="str">
        <f>IF(BudgetsTable[[#This Row],[pi_last_name]]=" ","",HYPERLINK("https://www.ejacket.nsf.gov/ej/processReviewAnalysis.do?dispatch=add&amp;uniqId="&amp;BudgetsTable[[#This Row],[prop_id]]&amp;PO_id,"&gt;ra"))</f>
        <v/>
      </c>
      <c r="N33" s="79" t="s">
        <v>13</v>
      </c>
      <c r="O33" s="7" t="str">
        <f>IF(BudgetsTable[[#This Row],[pi_last_name]]=" ","",HYPERLINK("mailto:"&amp;BudgetsTable[[#This Row],[pi_email]]&amp;"&amp;subject=Your NSF Proposal:  "&amp;BudgetsTable[[#This Row],[prop_id]],BudgetsTable[[#This Row],[pi_email]]))</f>
        <v/>
      </c>
      <c r="P33" s="79" t="s">
        <v>13</v>
      </c>
      <c r="Q33" s="79">
        <v>1</v>
      </c>
      <c r="R33" s="79">
        <v>1</v>
      </c>
      <c r="S33" s="80">
        <v>0</v>
      </c>
      <c r="T33" s="80">
        <v>2484</v>
      </c>
      <c r="U33" s="80">
        <v>0</v>
      </c>
      <c r="V33" s="81">
        <v>102491</v>
      </c>
      <c r="W33" s="79">
        <v>0</v>
      </c>
      <c r="X33" s="79">
        <v>5</v>
      </c>
      <c r="Y33" s="11" t="str">
        <f ca="1">IF(ISBLANK(BudgetsTable[[#This Row],[budg_seq_yr]]),"FY"&amp;fiscalyear,"FY"&amp;fiscalyear-1+BudgetsTable[[#This Row],[budg_seq_yr]])</f>
        <v>FY22</v>
      </c>
      <c r="Z33" s="80">
        <v>102491</v>
      </c>
      <c r="AA33" s="79" t="s">
        <v>477</v>
      </c>
      <c r="AB33" s="79" t="s">
        <v>582</v>
      </c>
      <c r="AC33" s="77" t="s">
        <v>94</v>
      </c>
      <c r="AD33" s="79" t="s">
        <v>1432</v>
      </c>
    </row>
    <row r="34" spans="1:30" x14ac:dyDescent="0.4">
      <c r="A34" s="10" t="s">
        <v>677</v>
      </c>
      <c r="B34" s="77" t="s">
        <v>95</v>
      </c>
      <c r="C34" s="77">
        <f>C33+(BudgetsTable[[#This Row],[lead]]&lt;&gt;K33)</f>
        <v>16</v>
      </c>
      <c r="D34" s="77">
        <f>D33*(BudgetsTable[[#This Row],[lead]]=K33)+(BudgetsTable[[#This Row],[prop_id]]&lt;&gt;A33)</f>
        <v>1</v>
      </c>
      <c r="E34" s="78">
        <v>42933.820138888892</v>
      </c>
      <c r="F34" s="79" t="s">
        <v>1430</v>
      </c>
      <c r="G34" s="79" t="s">
        <v>477</v>
      </c>
      <c r="H34" s="79" t="s">
        <v>582</v>
      </c>
      <c r="I34" s="77" t="s">
        <v>604</v>
      </c>
      <c r="J34" s="77" t="s">
        <v>1458</v>
      </c>
      <c r="K34" s="79" t="s">
        <v>677</v>
      </c>
      <c r="L34" s="7" t="str">
        <f>IF(BudgetsTable[[#This Row],[pi_last_name]]=" ","",HYPERLINK("https://www.ejacket.nsf.gov/ej/showProposal.do?Continue=Y&amp;ID="&amp;BudgetsTable[[#This Row],[prop_id]],BudgetsTable[[#This Row],[prop_id]]))</f>
        <v>1749609</v>
      </c>
      <c r="M34" s="15" t="e">
        <f>IF(BudgetsTable[[#This Row],[pi_last_name]]=" ","",HYPERLINK("https://www.ejacket.nsf.gov/ej/processReviewAnalysis.do?dispatch=add&amp;uniqId="&amp;BudgetsTable[[#This Row],[prop_id]]&amp;PO_id,"&gt;ra"))</f>
        <v>#REF!</v>
      </c>
      <c r="N34" s="79" t="s">
        <v>678</v>
      </c>
      <c r="O34" s="7" t="str">
        <f>IF(BudgetsTable[[#This Row],[pi_last_name]]=" ","",HYPERLINK("mailto:"&amp;BudgetsTable[[#This Row],[pi_email]]&amp;"&amp;subject=Your NSF Proposal:  "&amp;BudgetsTable[[#This Row],[prop_id]],BudgetsTable[[#This Row],[pi_email]]))</f>
        <v>yintat@uw.edu</v>
      </c>
      <c r="P34" s="79" t="s">
        <v>1455</v>
      </c>
      <c r="Q34" s="79"/>
      <c r="R34" s="79"/>
      <c r="S34" s="80"/>
      <c r="T34" s="80"/>
      <c r="U34" s="80"/>
      <c r="V34" s="81"/>
      <c r="W34" s="79">
        <v>0</v>
      </c>
      <c r="X34" s="79"/>
      <c r="Y34" s="11" t="str">
        <f ca="1">IF(ISBLANK(BudgetsTable[[#This Row],[budg_seq_yr]]),"FY"&amp;fiscalyear,"FY"&amp;fiscalyear-1+BudgetsTable[[#This Row],[budg_seq_yr]])</f>
        <v>FY18</v>
      </c>
      <c r="Z34" s="80">
        <v>549841</v>
      </c>
      <c r="AA34" s="79" t="s">
        <v>477</v>
      </c>
      <c r="AB34" s="79" t="s">
        <v>582</v>
      </c>
      <c r="AC34" s="77" t="s">
        <v>94</v>
      </c>
      <c r="AD34" s="79" t="s">
        <v>1432</v>
      </c>
    </row>
    <row r="35" spans="1:30" x14ac:dyDescent="0.4">
      <c r="A35" s="10" t="s">
        <v>677</v>
      </c>
      <c r="B35" s="77" t="s">
        <v>95</v>
      </c>
      <c r="C35" s="77">
        <f>C34+(BudgetsTable[[#This Row],[lead]]&lt;&gt;K34)</f>
        <v>16</v>
      </c>
      <c r="D35" s="77">
        <f>D34*(BudgetsTable[[#This Row],[lead]]=K34)+(BudgetsTable[[#This Row],[prop_id]]&lt;&gt;A34)</f>
        <v>1</v>
      </c>
      <c r="E35" s="78">
        <v>42933.820138888892</v>
      </c>
      <c r="F35" s="79" t="s">
        <v>1430</v>
      </c>
      <c r="G35" s="79" t="s">
        <v>477</v>
      </c>
      <c r="H35" s="79" t="s">
        <v>582</v>
      </c>
      <c r="I35" s="77" t="s">
        <v>604</v>
      </c>
      <c r="J35" s="77" t="s">
        <v>13</v>
      </c>
      <c r="K35" s="79" t="s">
        <v>677</v>
      </c>
      <c r="L35" s="7" t="str">
        <f>IF(BudgetsTable[[#This Row],[pi_last_name]]=" ","",HYPERLINK("https://www.ejacket.nsf.gov/ej/showProposal.do?Continue=Y&amp;ID="&amp;BudgetsTable[[#This Row],[prop_id]],BudgetsTable[[#This Row],[prop_id]]))</f>
        <v/>
      </c>
      <c r="M35" s="15" t="str">
        <f>IF(BudgetsTable[[#This Row],[pi_last_name]]=" ","",HYPERLINK("https://www.ejacket.nsf.gov/ej/processReviewAnalysis.do?dispatch=add&amp;uniqId="&amp;BudgetsTable[[#This Row],[prop_id]]&amp;PO_id,"&gt;ra"))</f>
        <v/>
      </c>
      <c r="N35" s="79" t="s">
        <v>13</v>
      </c>
      <c r="O35" s="7" t="str">
        <f>IF(BudgetsTable[[#This Row],[pi_last_name]]=" ","",HYPERLINK("mailto:"&amp;BudgetsTable[[#This Row],[pi_email]]&amp;"&amp;subject=Your NSF Proposal:  "&amp;BudgetsTable[[#This Row],[prop_id]],BudgetsTable[[#This Row],[pi_email]]))</f>
        <v/>
      </c>
      <c r="P35" s="79" t="s">
        <v>13</v>
      </c>
      <c r="Q35" s="79">
        <v>1</v>
      </c>
      <c r="R35" s="79">
        <v>0.5</v>
      </c>
      <c r="S35" s="80">
        <v>0</v>
      </c>
      <c r="T35" s="80">
        <v>0</v>
      </c>
      <c r="U35" s="80">
        <v>0</v>
      </c>
      <c r="V35" s="81">
        <v>105589</v>
      </c>
      <c r="W35" s="79">
        <v>0</v>
      </c>
      <c r="X35" s="79">
        <v>1</v>
      </c>
      <c r="Y35" s="11" t="str">
        <f ca="1">IF(ISBLANK(BudgetsTable[[#This Row],[budg_seq_yr]]),"FY"&amp;fiscalyear,"FY"&amp;fiscalyear-1+BudgetsTable[[#This Row],[budg_seq_yr]])</f>
        <v>FY18</v>
      </c>
      <c r="Z35" s="80">
        <v>105589</v>
      </c>
      <c r="AA35" s="79" t="s">
        <v>477</v>
      </c>
      <c r="AB35" s="79" t="s">
        <v>582</v>
      </c>
      <c r="AC35" s="77" t="s">
        <v>94</v>
      </c>
      <c r="AD35" s="79" t="s">
        <v>1432</v>
      </c>
    </row>
    <row r="36" spans="1:30" x14ac:dyDescent="0.4">
      <c r="A36" s="10" t="s">
        <v>677</v>
      </c>
      <c r="B36" s="77" t="s">
        <v>95</v>
      </c>
      <c r="C36" s="77">
        <f>C35+(BudgetsTable[[#This Row],[lead]]&lt;&gt;K35)</f>
        <v>16</v>
      </c>
      <c r="D36" s="77">
        <f>D35*(BudgetsTable[[#This Row],[lead]]=K35)+(BudgetsTable[[#This Row],[prop_id]]&lt;&gt;A35)</f>
        <v>1</v>
      </c>
      <c r="E36" s="78">
        <v>42933.820138888892</v>
      </c>
      <c r="F36" s="79" t="s">
        <v>1430</v>
      </c>
      <c r="G36" s="79" t="s">
        <v>477</v>
      </c>
      <c r="H36" s="79" t="s">
        <v>582</v>
      </c>
      <c r="I36" s="77" t="s">
        <v>604</v>
      </c>
      <c r="J36" s="77" t="s">
        <v>13</v>
      </c>
      <c r="K36" s="79" t="s">
        <v>677</v>
      </c>
      <c r="L36" s="7" t="str">
        <f>IF(BudgetsTable[[#This Row],[pi_last_name]]=" ","",HYPERLINK("https://www.ejacket.nsf.gov/ej/showProposal.do?Continue=Y&amp;ID="&amp;BudgetsTable[[#This Row],[prop_id]],BudgetsTable[[#This Row],[prop_id]]))</f>
        <v/>
      </c>
      <c r="M36" s="15" t="str">
        <f>IF(BudgetsTable[[#This Row],[pi_last_name]]=" ","",HYPERLINK("https://www.ejacket.nsf.gov/ej/processReviewAnalysis.do?dispatch=add&amp;uniqId="&amp;BudgetsTable[[#This Row],[prop_id]]&amp;PO_id,"&gt;ra"))</f>
        <v/>
      </c>
      <c r="N36" s="79" t="s">
        <v>13</v>
      </c>
      <c r="O36" s="7" t="str">
        <f>IF(BudgetsTable[[#This Row],[pi_last_name]]=" ","",HYPERLINK("mailto:"&amp;BudgetsTable[[#This Row],[pi_email]]&amp;"&amp;subject=Your NSF Proposal:  "&amp;BudgetsTable[[#This Row],[prop_id]],BudgetsTable[[#This Row],[pi_email]]))</f>
        <v/>
      </c>
      <c r="P36" s="79" t="s">
        <v>13</v>
      </c>
      <c r="Q36" s="79">
        <v>1</v>
      </c>
      <c r="R36" s="79">
        <v>0.5</v>
      </c>
      <c r="S36" s="80">
        <v>0</v>
      </c>
      <c r="T36" s="80">
        <v>0</v>
      </c>
      <c r="U36" s="80">
        <v>0</v>
      </c>
      <c r="V36" s="81">
        <v>110067</v>
      </c>
      <c r="W36" s="79">
        <v>0</v>
      </c>
      <c r="X36" s="79">
        <v>2</v>
      </c>
      <c r="Y36" s="11" t="str">
        <f ca="1">IF(ISBLANK(BudgetsTable[[#This Row],[budg_seq_yr]]),"FY"&amp;fiscalyear,"FY"&amp;fiscalyear-1+BudgetsTable[[#This Row],[budg_seq_yr]])</f>
        <v>FY19</v>
      </c>
      <c r="Z36" s="80">
        <v>110067</v>
      </c>
      <c r="AA36" s="79" t="s">
        <v>477</v>
      </c>
      <c r="AB36" s="79" t="s">
        <v>582</v>
      </c>
      <c r="AC36" s="77" t="s">
        <v>94</v>
      </c>
      <c r="AD36" s="79" t="s">
        <v>1432</v>
      </c>
    </row>
    <row r="37" spans="1:30" x14ac:dyDescent="0.4">
      <c r="A37" s="10" t="s">
        <v>677</v>
      </c>
      <c r="B37" s="77" t="s">
        <v>95</v>
      </c>
      <c r="C37" s="77">
        <f>C36+(BudgetsTable[[#This Row],[lead]]&lt;&gt;K36)</f>
        <v>16</v>
      </c>
      <c r="D37" s="77">
        <f>D36*(BudgetsTable[[#This Row],[lead]]=K36)+(BudgetsTable[[#This Row],[prop_id]]&lt;&gt;A36)</f>
        <v>1</v>
      </c>
      <c r="E37" s="78">
        <v>42933.820138888892</v>
      </c>
      <c r="F37" s="79" t="s">
        <v>1430</v>
      </c>
      <c r="G37" s="79" t="s">
        <v>477</v>
      </c>
      <c r="H37" s="79" t="s">
        <v>582</v>
      </c>
      <c r="I37" s="77" t="s">
        <v>604</v>
      </c>
      <c r="J37" s="77" t="s">
        <v>13</v>
      </c>
      <c r="K37" s="79" t="s">
        <v>677</v>
      </c>
      <c r="L37" s="7" t="str">
        <f>IF(BudgetsTable[[#This Row],[pi_last_name]]=" ","",HYPERLINK("https://www.ejacket.nsf.gov/ej/showProposal.do?Continue=Y&amp;ID="&amp;BudgetsTable[[#This Row],[prop_id]],BudgetsTable[[#This Row],[prop_id]]))</f>
        <v/>
      </c>
      <c r="M37" s="15" t="str">
        <f>IF(BudgetsTable[[#This Row],[pi_last_name]]=" ","",HYPERLINK("https://www.ejacket.nsf.gov/ej/processReviewAnalysis.do?dispatch=add&amp;uniqId="&amp;BudgetsTable[[#This Row],[prop_id]]&amp;PO_id,"&gt;ra"))</f>
        <v/>
      </c>
      <c r="N37" s="79" t="s">
        <v>13</v>
      </c>
      <c r="O37" s="7" t="str">
        <f>IF(BudgetsTable[[#This Row],[pi_last_name]]=" ","",HYPERLINK("mailto:"&amp;BudgetsTable[[#This Row],[pi_email]]&amp;"&amp;subject=Your NSF Proposal:  "&amp;BudgetsTable[[#This Row],[prop_id]],BudgetsTable[[#This Row],[pi_email]]))</f>
        <v/>
      </c>
      <c r="P37" s="79" t="s">
        <v>13</v>
      </c>
      <c r="Q37" s="79">
        <v>1</v>
      </c>
      <c r="R37" s="79">
        <v>0.5</v>
      </c>
      <c r="S37" s="80">
        <v>0</v>
      </c>
      <c r="T37" s="80">
        <v>0</v>
      </c>
      <c r="U37" s="80">
        <v>0</v>
      </c>
      <c r="V37" s="81">
        <v>114453</v>
      </c>
      <c r="W37" s="79">
        <v>0</v>
      </c>
      <c r="X37" s="79">
        <v>3</v>
      </c>
      <c r="Y37" s="11" t="str">
        <f ca="1">IF(ISBLANK(BudgetsTable[[#This Row],[budg_seq_yr]]),"FY"&amp;fiscalyear,"FY"&amp;fiscalyear-1+BudgetsTable[[#This Row],[budg_seq_yr]])</f>
        <v>FY20</v>
      </c>
      <c r="Z37" s="80">
        <v>114453</v>
      </c>
      <c r="AA37" s="79" t="s">
        <v>477</v>
      </c>
      <c r="AB37" s="79" t="s">
        <v>582</v>
      </c>
      <c r="AC37" s="77" t="s">
        <v>94</v>
      </c>
      <c r="AD37" s="79" t="s">
        <v>1432</v>
      </c>
    </row>
    <row r="38" spans="1:30" x14ac:dyDescent="0.4">
      <c r="A38" s="10" t="s">
        <v>677</v>
      </c>
      <c r="B38" s="77" t="s">
        <v>95</v>
      </c>
      <c r="C38" s="77">
        <f>C37+(BudgetsTable[[#This Row],[lead]]&lt;&gt;K37)</f>
        <v>16</v>
      </c>
      <c r="D38" s="77">
        <f>D37*(BudgetsTable[[#This Row],[lead]]=K37)+(BudgetsTable[[#This Row],[prop_id]]&lt;&gt;A37)</f>
        <v>1</v>
      </c>
      <c r="E38" s="78">
        <v>42933.820138888892</v>
      </c>
      <c r="F38" s="79" t="s">
        <v>1430</v>
      </c>
      <c r="G38" s="79" t="s">
        <v>477</v>
      </c>
      <c r="H38" s="79" t="s">
        <v>582</v>
      </c>
      <c r="I38" s="77" t="s">
        <v>604</v>
      </c>
      <c r="J38" s="77" t="s">
        <v>13</v>
      </c>
      <c r="K38" s="79" t="s">
        <v>677</v>
      </c>
      <c r="L38" s="7" t="str">
        <f>IF(BudgetsTable[[#This Row],[pi_last_name]]=" ","",HYPERLINK("https://www.ejacket.nsf.gov/ej/showProposal.do?Continue=Y&amp;ID="&amp;BudgetsTable[[#This Row],[prop_id]],BudgetsTable[[#This Row],[prop_id]]))</f>
        <v/>
      </c>
      <c r="M38" s="15" t="str">
        <f>IF(BudgetsTable[[#This Row],[pi_last_name]]=" ","",HYPERLINK("https://www.ejacket.nsf.gov/ej/processReviewAnalysis.do?dispatch=add&amp;uniqId="&amp;BudgetsTable[[#This Row],[prop_id]]&amp;PO_id,"&gt;ra"))</f>
        <v/>
      </c>
      <c r="N38" s="79" t="s">
        <v>13</v>
      </c>
      <c r="O38" s="7" t="str">
        <f>IF(BudgetsTable[[#This Row],[pi_last_name]]=" ","",HYPERLINK("mailto:"&amp;BudgetsTable[[#This Row],[pi_email]]&amp;"&amp;subject=Your NSF Proposal:  "&amp;BudgetsTable[[#This Row],[prop_id]],BudgetsTable[[#This Row],[pi_email]]))</f>
        <v/>
      </c>
      <c r="P38" s="79" t="s">
        <v>13</v>
      </c>
      <c r="Q38" s="79">
        <v>1</v>
      </c>
      <c r="R38" s="79">
        <v>0.5</v>
      </c>
      <c r="S38" s="80">
        <v>0</v>
      </c>
      <c r="T38" s="80">
        <v>0</v>
      </c>
      <c r="U38" s="80">
        <v>0</v>
      </c>
      <c r="V38" s="81">
        <v>119025</v>
      </c>
      <c r="W38" s="79">
        <v>0</v>
      </c>
      <c r="X38" s="79">
        <v>4</v>
      </c>
      <c r="Y38" s="11" t="str">
        <f ca="1">IF(ISBLANK(BudgetsTable[[#This Row],[budg_seq_yr]]),"FY"&amp;fiscalyear,"FY"&amp;fiscalyear-1+BudgetsTable[[#This Row],[budg_seq_yr]])</f>
        <v>FY21</v>
      </c>
      <c r="Z38" s="80">
        <v>119025</v>
      </c>
      <c r="AA38" s="79" t="s">
        <v>477</v>
      </c>
      <c r="AB38" s="79" t="s">
        <v>582</v>
      </c>
      <c r="AC38" s="77" t="s">
        <v>94</v>
      </c>
      <c r="AD38" s="79" t="s">
        <v>1432</v>
      </c>
    </row>
    <row r="39" spans="1:30" x14ac:dyDescent="0.4">
      <c r="A39" s="10" t="s">
        <v>677</v>
      </c>
      <c r="B39" s="77" t="s">
        <v>95</v>
      </c>
      <c r="C39" s="77">
        <f>C38+(BudgetsTable[[#This Row],[lead]]&lt;&gt;K38)</f>
        <v>16</v>
      </c>
      <c r="D39" s="77">
        <f>D38*(BudgetsTable[[#This Row],[lead]]=K38)+(BudgetsTable[[#This Row],[prop_id]]&lt;&gt;A38)</f>
        <v>1</v>
      </c>
      <c r="E39" s="78">
        <v>42933.820138888892</v>
      </c>
      <c r="F39" s="79" t="s">
        <v>1430</v>
      </c>
      <c r="G39" s="79" t="s">
        <v>477</v>
      </c>
      <c r="H39" s="79" t="s">
        <v>582</v>
      </c>
      <c r="I39" s="77" t="s">
        <v>604</v>
      </c>
      <c r="J39" s="77" t="s">
        <v>13</v>
      </c>
      <c r="K39" s="79" t="s">
        <v>677</v>
      </c>
      <c r="L39" s="7" t="str">
        <f>IF(BudgetsTable[[#This Row],[pi_last_name]]=" ","",HYPERLINK("https://www.ejacket.nsf.gov/ej/showProposal.do?Continue=Y&amp;ID="&amp;BudgetsTable[[#This Row],[prop_id]],BudgetsTable[[#This Row],[prop_id]]))</f>
        <v/>
      </c>
      <c r="M39" s="15" t="str">
        <f>IF(BudgetsTable[[#This Row],[pi_last_name]]=" ","",HYPERLINK("https://www.ejacket.nsf.gov/ej/processReviewAnalysis.do?dispatch=add&amp;uniqId="&amp;BudgetsTable[[#This Row],[prop_id]]&amp;PO_id,"&gt;ra"))</f>
        <v/>
      </c>
      <c r="N39" s="79" t="s">
        <v>13</v>
      </c>
      <c r="O39" s="7" t="str">
        <f>IF(BudgetsTable[[#This Row],[pi_last_name]]=" ","",HYPERLINK("mailto:"&amp;BudgetsTable[[#This Row],[pi_email]]&amp;"&amp;subject=Your NSF Proposal:  "&amp;BudgetsTable[[#This Row],[prop_id]],BudgetsTable[[#This Row],[pi_email]]))</f>
        <v/>
      </c>
      <c r="P39" s="79" t="s">
        <v>13</v>
      </c>
      <c r="Q39" s="79">
        <v>1</v>
      </c>
      <c r="R39" s="79">
        <v>0.5</v>
      </c>
      <c r="S39" s="80">
        <v>0</v>
      </c>
      <c r="T39" s="80">
        <v>0</v>
      </c>
      <c r="U39" s="80">
        <v>0</v>
      </c>
      <c r="V39" s="81">
        <v>100707</v>
      </c>
      <c r="W39" s="79">
        <v>0</v>
      </c>
      <c r="X39" s="79">
        <v>5</v>
      </c>
      <c r="Y39" s="11" t="str">
        <f ca="1">IF(ISBLANK(BudgetsTable[[#This Row],[budg_seq_yr]]),"FY"&amp;fiscalyear,"FY"&amp;fiscalyear-1+BudgetsTable[[#This Row],[budg_seq_yr]])</f>
        <v>FY22</v>
      </c>
      <c r="Z39" s="80">
        <v>100707</v>
      </c>
      <c r="AA39" s="79" t="s">
        <v>477</v>
      </c>
      <c r="AB39" s="79" t="s">
        <v>582</v>
      </c>
      <c r="AC39" s="77" t="s">
        <v>94</v>
      </c>
      <c r="AD39" s="79" t="s">
        <v>1432</v>
      </c>
    </row>
    <row r="40" spans="1:30" x14ac:dyDescent="0.4">
      <c r="A40" s="10" t="s">
        <v>685</v>
      </c>
      <c r="B40" s="77" t="s">
        <v>95</v>
      </c>
      <c r="C40" s="77">
        <f>C39+(BudgetsTable[[#This Row],[lead]]&lt;&gt;K39)</f>
        <v>17</v>
      </c>
      <c r="D40" s="77">
        <f>D39*(BudgetsTable[[#This Row],[lead]]=K39)+(BudgetsTable[[#This Row],[prop_id]]&lt;&gt;A39)</f>
        <v>1</v>
      </c>
      <c r="E40" s="78">
        <v>42934.453472222223</v>
      </c>
      <c r="F40" s="79" t="s">
        <v>1430</v>
      </c>
      <c r="G40" s="79" t="s">
        <v>477</v>
      </c>
      <c r="H40" s="79" t="s">
        <v>582</v>
      </c>
      <c r="I40" s="77" t="s">
        <v>654</v>
      </c>
      <c r="J40" s="77" t="s">
        <v>1463</v>
      </c>
      <c r="K40" s="79" t="s">
        <v>685</v>
      </c>
      <c r="L40" s="7" t="str">
        <f>IF(BudgetsTable[[#This Row],[pi_last_name]]=" ","",HYPERLINK("https://www.ejacket.nsf.gov/ej/showProposal.do?Continue=Y&amp;ID="&amp;BudgetsTable[[#This Row],[prop_id]],BudgetsTable[[#This Row],[prop_id]]))</f>
        <v>1749678</v>
      </c>
      <c r="M40" s="15" t="e">
        <f>IF(BudgetsTable[[#This Row],[pi_last_name]]=" ","",HYPERLINK("https://www.ejacket.nsf.gov/ej/processReviewAnalysis.do?dispatch=add&amp;uniqId="&amp;BudgetsTable[[#This Row],[prop_id]]&amp;PO_id,"&gt;ra"))</f>
        <v>#REF!</v>
      </c>
      <c r="N40" s="79" t="s">
        <v>686</v>
      </c>
      <c r="O40" s="7" t="str">
        <f>IF(BudgetsTable[[#This Row],[pi_last_name]]=" ","",HYPERLINK("mailto:"&amp;BudgetsTable[[#This Row],[pi_email]]&amp;"&amp;subject=Your NSF Proposal:  "&amp;BudgetsTable[[#This Row],[prop_id]],BudgetsTable[[#This Row],[pi_email]]))</f>
        <v>sim3@ucmerced.edu</v>
      </c>
      <c r="P40" s="79" t="s">
        <v>1460</v>
      </c>
      <c r="Q40" s="79"/>
      <c r="R40" s="79"/>
      <c r="S40" s="80"/>
      <c r="T40" s="80"/>
      <c r="U40" s="80"/>
      <c r="V40" s="81"/>
      <c r="W40" s="79">
        <v>0</v>
      </c>
      <c r="X40" s="79"/>
      <c r="Y40" s="11" t="str">
        <f ca="1">IF(ISBLANK(BudgetsTable[[#This Row],[budg_seq_yr]]),"FY"&amp;fiscalyear,"FY"&amp;fiscalyear-1+BudgetsTable[[#This Row],[budg_seq_yr]])</f>
        <v>FY18</v>
      </c>
      <c r="Z40" s="80">
        <v>514477</v>
      </c>
      <c r="AA40" s="79" t="s">
        <v>477</v>
      </c>
      <c r="AB40" s="79" t="s">
        <v>582</v>
      </c>
      <c r="AC40" s="77" t="s">
        <v>94</v>
      </c>
      <c r="AD40" s="79" t="s">
        <v>1432</v>
      </c>
    </row>
    <row r="41" spans="1:30" x14ac:dyDescent="0.4">
      <c r="A41" s="10" t="s">
        <v>685</v>
      </c>
      <c r="B41" s="77" t="s">
        <v>95</v>
      </c>
      <c r="C41" s="77">
        <f>C40+(BudgetsTable[[#This Row],[lead]]&lt;&gt;K40)</f>
        <v>17</v>
      </c>
      <c r="D41" s="77">
        <f>D40*(BudgetsTable[[#This Row],[lead]]=K40)+(BudgetsTable[[#This Row],[prop_id]]&lt;&gt;A40)</f>
        <v>1</v>
      </c>
      <c r="E41" s="78">
        <v>42934.453472222223</v>
      </c>
      <c r="F41" s="79" t="s">
        <v>1430</v>
      </c>
      <c r="G41" s="79" t="s">
        <v>477</v>
      </c>
      <c r="H41" s="79" t="s">
        <v>582</v>
      </c>
      <c r="I41" s="77" t="s">
        <v>654</v>
      </c>
      <c r="J41" s="77" t="s">
        <v>13</v>
      </c>
      <c r="K41" s="79" t="s">
        <v>685</v>
      </c>
      <c r="L41" s="7" t="str">
        <f>IF(BudgetsTable[[#This Row],[pi_last_name]]=" ","",HYPERLINK("https://www.ejacket.nsf.gov/ej/showProposal.do?Continue=Y&amp;ID="&amp;BudgetsTable[[#This Row],[prop_id]],BudgetsTable[[#This Row],[prop_id]]))</f>
        <v/>
      </c>
      <c r="M41" s="15" t="str">
        <f>IF(BudgetsTable[[#This Row],[pi_last_name]]=" ","",HYPERLINK("https://www.ejacket.nsf.gov/ej/processReviewAnalysis.do?dispatch=add&amp;uniqId="&amp;BudgetsTable[[#This Row],[prop_id]]&amp;PO_id,"&gt;ra"))</f>
        <v/>
      </c>
      <c r="N41" s="79" t="s">
        <v>13</v>
      </c>
      <c r="O41" s="7" t="str">
        <f>IF(BudgetsTable[[#This Row],[pi_last_name]]=" ","",HYPERLINK("mailto:"&amp;BudgetsTable[[#This Row],[pi_email]]&amp;"&amp;subject=Your NSF Proposal:  "&amp;BudgetsTable[[#This Row],[prop_id]],BudgetsTable[[#This Row],[pi_email]]))</f>
        <v/>
      </c>
      <c r="P41" s="79" t="s">
        <v>13</v>
      </c>
      <c r="Q41" s="79">
        <v>0</v>
      </c>
      <c r="R41" s="79">
        <v>0</v>
      </c>
      <c r="S41" s="80">
        <v>0</v>
      </c>
      <c r="T41" s="80">
        <v>0</v>
      </c>
      <c r="U41" s="80">
        <v>0</v>
      </c>
      <c r="V41" s="81">
        <v>91413</v>
      </c>
      <c r="W41" s="79">
        <v>0</v>
      </c>
      <c r="X41" s="79">
        <v>1</v>
      </c>
      <c r="Y41" s="11" t="str">
        <f ca="1">IF(ISBLANK(BudgetsTable[[#This Row],[budg_seq_yr]]),"FY"&amp;fiscalyear,"FY"&amp;fiscalyear-1+BudgetsTable[[#This Row],[budg_seq_yr]])</f>
        <v>FY18</v>
      </c>
      <c r="Z41" s="80">
        <v>91413</v>
      </c>
      <c r="AA41" s="79" t="s">
        <v>477</v>
      </c>
      <c r="AB41" s="79" t="s">
        <v>582</v>
      </c>
      <c r="AC41" s="77" t="s">
        <v>94</v>
      </c>
      <c r="AD41" s="79" t="s">
        <v>1432</v>
      </c>
    </row>
    <row r="42" spans="1:30" x14ac:dyDescent="0.4">
      <c r="A42" s="10" t="s">
        <v>685</v>
      </c>
      <c r="B42" s="77" t="s">
        <v>95</v>
      </c>
      <c r="C42" s="77">
        <f>C41+(BudgetsTable[[#This Row],[lead]]&lt;&gt;K41)</f>
        <v>17</v>
      </c>
      <c r="D42" s="77">
        <f>D41*(BudgetsTable[[#This Row],[lead]]=K41)+(BudgetsTable[[#This Row],[prop_id]]&lt;&gt;A41)</f>
        <v>1</v>
      </c>
      <c r="E42" s="78">
        <v>42934.453472222223</v>
      </c>
      <c r="F42" s="79" t="s">
        <v>1430</v>
      </c>
      <c r="G42" s="79" t="s">
        <v>477</v>
      </c>
      <c r="H42" s="79" t="s">
        <v>582</v>
      </c>
      <c r="I42" s="77" t="s">
        <v>654</v>
      </c>
      <c r="J42" s="77" t="s">
        <v>13</v>
      </c>
      <c r="K42" s="79" t="s">
        <v>685</v>
      </c>
      <c r="L42" s="7" t="str">
        <f>IF(BudgetsTable[[#This Row],[pi_last_name]]=" ","",HYPERLINK("https://www.ejacket.nsf.gov/ej/showProposal.do?Continue=Y&amp;ID="&amp;BudgetsTable[[#This Row],[prop_id]],BudgetsTable[[#This Row],[prop_id]]))</f>
        <v/>
      </c>
      <c r="M42" s="15" t="str">
        <f>IF(BudgetsTable[[#This Row],[pi_last_name]]=" ","",HYPERLINK("https://www.ejacket.nsf.gov/ej/processReviewAnalysis.do?dispatch=add&amp;uniqId="&amp;BudgetsTable[[#This Row],[prop_id]]&amp;PO_id,"&gt;ra"))</f>
        <v/>
      </c>
      <c r="N42" s="79" t="s">
        <v>13</v>
      </c>
      <c r="O42" s="7" t="str">
        <f>IF(BudgetsTable[[#This Row],[pi_last_name]]=" ","",HYPERLINK("mailto:"&amp;BudgetsTable[[#This Row],[pi_email]]&amp;"&amp;subject=Your NSF Proposal:  "&amp;BudgetsTable[[#This Row],[prop_id]],BudgetsTable[[#This Row],[pi_email]]))</f>
        <v/>
      </c>
      <c r="P42" s="79" t="s">
        <v>13</v>
      </c>
      <c r="Q42" s="79">
        <v>1</v>
      </c>
      <c r="R42" s="79">
        <v>1</v>
      </c>
      <c r="S42" s="80">
        <v>0</v>
      </c>
      <c r="T42" s="80">
        <v>0</v>
      </c>
      <c r="U42" s="80">
        <v>0</v>
      </c>
      <c r="V42" s="81">
        <v>113277</v>
      </c>
      <c r="W42" s="79">
        <v>0</v>
      </c>
      <c r="X42" s="79">
        <v>2</v>
      </c>
      <c r="Y42" s="11" t="str">
        <f ca="1">IF(ISBLANK(BudgetsTable[[#This Row],[budg_seq_yr]]),"FY"&amp;fiscalyear,"FY"&amp;fiscalyear-1+BudgetsTable[[#This Row],[budg_seq_yr]])</f>
        <v>FY19</v>
      </c>
      <c r="Z42" s="80">
        <v>113277</v>
      </c>
      <c r="AA42" s="79" t="s">
        <v>477</v>
      </c>
      <c r="AB42" s="79" t="s">
        <v>582</v>
      </c>
      <c r="AC42" s="77" t="s">
        <v>94</v>
      </c>
      <c r="AD42" s="79" t="s">
        <v>1432</v>
      </c>
    </row>
    <row r="43" spans="1:30" x14ac:dyDescent="0.4">
      <c r="A43" s="10" t="s">
        <v>685</v>
      </c>
      <c r="B43" s="77" t="s">
        <v>95</v>
      </c>
      <c r="C43" s="77">
        <f>C42+(BudgetsTable[[#This Row],[lead]]&lt;&gt;K42)</f>
        <v>17</v>
      </c>
      <c r="D43" s="77">
        <f>D42*(BudgetsTable[[#This Row],[lead]]=K42)+(BudgetsTable[[#This Row],[prop_id]]&lt;&gt;A42)</f>
        <v>1</v>
      </c>
      <c r="E43" s="78">
        <v>42934.453472222223</v>
      </c>
      <c r="F43" s="79" t="s">
        <v>1430</v>
      </c>
      <c r="G43" s="79" t="s">
        <v>477</v>
      </c>
      <c r="H43" s="79" t="s">
        <v>582</v>
      </c>
      <c r="I43" s="77" t="s">
        <v>654</v>
      </c>
      <c r="J43" s="77" t="s">
        <v>13</v>
      </c>
      <c r="K43" s="79" t="s">
        <v>685</v>
      </c>
      <c r="L43" s="7" t="str">
        <f>IF(BudgetsTable[[#This Row],[pi_last_name]]=" ","",HYPERLINK("https://www.ejacket.nsf.gov/ej/showProposal.do?Continue=Y&amp;ID="&amp;BudgetsTable[[#This Row],[prop_id]],BudgetsTable[[#This Row],[prop_id]]))</f>
        <v/>
      </c>
      <c r="M43" s="15" t="str">
        <f>IF(BudgetsTable[[#This Row],[pi_last_name]]=" ","",HYPERLINK("https://www.ejacket.nsf.gov/ej/processReviewAnalysis.do?dispatch=add&amp;uniqId="&amp;BudgetsTable[[#This Row],[prop_id]]&amp;PO_id,"&gt;ra"))</f>
        <v/>
      </c>
      <c r="N43" s="79" t="s">
        <v>13</v>
      </c>
      <c r="O43" s="7" t="str">
        <f>IF(BudgetsTable[[#This Row],[pi_last_name]]=" ","",HYPERLINK("mailto:"&amp;BudgetsTable[[#This Row],[pi_email]]&amp;"&amp;subject=Your NSF Proposal:  "&amp;BudgetsTable[[#This Row],[prop_id]],BudgetsTable[[#This Row],[pi_email]]))</f>
        <v/>
      </c>
      <c r="P43" s="79" t="s">
        <v>13</v>
      </c>
      <c r="Q43" s="79">
        <v>1</v>
      </c>
      <c r="R43" s="79">
        <v>2</v>
      </c>
      <c r="S43" s="80">
        <v>0</v>
      </c>
      <c r="T43" s="80">
        <v>0</v>
      </c>
      <c r="U43" s="80">
        <v>0</v>
      </c>
      <c r="V43" s="81">
        <v>100094</v>
      </c>
      <c r="W43" s="79">
        <v>0</v>
      </c>
      <c r="X43" s="79">
        <v>3</v>
      </c>
      <c r="Y43" s="11" t="str">
        <f ca="1">IF(ISBLANK(BudgetsTable[[#This Row],[budg_seq_yr]]),"FY"&amp;fiscalyear,"FY"&amp;fiscalyear-1+BudgetsTable[[#This Row],[budg_seq_yr]])</f>
        <v>FY20</v>
      </c>
      <c r="Z43" s="80">
        <v>100094</v>
      </c>
      <c r="AA43" s="79" t="s">
        <v>477</v>
      </c>
      <c r="AB43" s="79" t="s">
        <v>582</v>
      </c>
      <c r="AC43" s="77" t="s">
        <v>94</v>
      </c>
      <c r="AD43" s="79" t="s">
        <v>1432</v>
      </c>
    </row>
    <row r="44" spans="1:30" x14ac:dyDescent="0.4">
      <c r="A44" s="10" t="s">
        <v>685</v>
      </c>
      <c r="B44" s="77" t="s">
        <v>95</v>
      </c>
      <c r="C44" s="77">
        <f>C43+(BudgetsTable[[#This Row],[lead]]&lt;&gt;K43)</f>
        <v>17</v>
      </c>
      <c r="D44" s="77">
        <f>D43*(BudgetsTable[[#This Row],[lead]]=K43)+(BudgetsTable[[#This Row],[prop_id]]&lt;&gt;A43)</f>
        <v>1</v>
      </c>
      <c r="E44" s="78">
        <v>42934.453472222223</v>
      </c>
      <c r="F44" s="79" t="s">
        <v>1430</v>
      </c>
      <c r="G44" s="79" t="s">
        <v>477</v>
      </c>
      <c r="H44" s="79" t="s">
        <v>582</v>
      </c>
      <c r="I44" s="77" t="s">
        <v>654</v>
      </c>
      <c r="J44" s="77" t="s">
        <v>13</v>
      </c>
      <c r="K44" s="79" t="s">
        <v>685</v>
      </c>
      <c r="L44" s="7" t="str">
        <f>IF(BudgetsTable[[#This Row],[pi_last_name]]=" ","",HYPERLINK("https://www.ejacket.nsf.gov/ej/showProposal.do?Continue=Y&amp;ID="&amp;BudgetsTable[[#This Row],[prop_id]],BudgetsTable[[#This Row],[prop_id]]))</f>
        <v/>
      </c>
      <c r="M44" s="15" t="str">
        <f>IF(BudgetsTable[[#This Row],[pi_last_name]]=" ","",HYPERLINK("https://www.ejacket.nsf.gov/ej/processReviewAnalysis.do?dispatch=add&amp;uniqId="&amp;BudgetsTable[[#This Row],[prop_id]]&amp;PO_id,"&gt;ra"))</f>
        <v/>
      </c>
      <c r="N44" s="79" t="s">
        <v>13</v>
      </c>
      <c r="O44" s="7" t="str">
        <f>IF(BudgetsTable[[#This Row],[pi_last_name]]=" ","",HYPERLINK("mailto:"&amp;BudgetsTable[[#This Row],[pi_email]]&amp;"&amp;subject=Your NSF Proposal:  "&amp;BudgetsTable[[#This Row],[prop_id]],BudgetsTable[[#This Row],[pi_email]]))</f>
        <v/>
      </c>
      <c r="P44" s="79" t="s">
        <v>13</v>
      </c>
      <c r="Q44" s="79">
        <v>1</v>
      </c>
      <c r="R44" s="79">
        <v>2</v>
      </c>
      <c r="S44" s="80">
        <v>0</v>
      </c>
      <c r="T44" s="80">
        <v>0</v>
      </c>
      <c r="U44" s="80">
        <v>0</v>
      </c>
      <c r="V44" s="81">
        <v>103215</v>
      </c>
      <c r="W44" s="79">
        <v>0</v>
      </c>
      <c r="X44" s="79">
        <v>4</v>
      </c>
      <c r="Y44" s="11" t="str">
        <f ca="1">IF(ISBLANK(BudgetsTable[[#This Row],[budg_seq_yr]]),"FY"&amp;fiscalyear,"FY"&amp;fiscalyear-1+BudgetsTable[[#This Row],[budg_seq_yr]])</f>
        <v>FY21</v>
      </c>
      <c r="Z44" s="80">
        <v>103215</v>
      </c>
      <c r="AA44" s="79" t="s">
        <v>477</v>
      </c>
      <c r="AB44" s="79" t="s">
        <v>582</v>
      </c>
      <c r="AC44" s="77" t="s">
        <v>94</v>
      </c>
      <c r="AD44" s="79" t="s">
        <v>1432</v>
      </c>
    </row>
    <row r="45" spans="1:30" x14ac:dyDescent="0.4">
      <c r="A45" s="10" t="s">
        <v>685</v>
      </c>
      <c r="B45" s="77" t="s">
        <v>95</v>
      </c>
      <c r="C45" s="77">
        <f>C44+(BudgetsTable[[#This Row],[lead]]&lt;&gt;K44)</f>
        <v>17</v>
      </c>
      <c r="D45" s="77">
        <f>D44*(BudgetsTable[[#This Row],[lead]]=K44)+(BudgetsTable[[#This Row],[prop_id]]&lt;&gt;A44)</f>
        <v>1</v>
      </c>
      <c r="E45" s="78">
        <v>42934.453472222223</v>
      </c>
      <c r="F45" s="79" t="s">
        <v>1430</v>
      </c>
      <c r="G45" s="79" t="s">
        <v>477</v>
      </c>
      <c r="H45" s="79" t="s">
        <v>582</v>
      </c>
      <c r="I45" s="77" t="s">
        <v>654</v>
      </c>
      <c r="J45" s="77" t="s">
        <v>13</v>
      </c>
      <c r="K45" s="79" t="s">
        <v>685</v>
      </c>
      <c r="L45" s="7" t="str">
        <f>IF(BudgetsTable[[#This Row],[pi_last_name]]=" ","",HYPERLINK("https://www.ejacket.nsf.gov/ej/showProposal.do?Continue=Y&amp;ID="&amp;BudgetsTable[[#This Row],[prop_id]],BudgetsTable[[#This Row],[prop_id]]))</f>
        <v/>
      </c>
      <c r="M45" s="15" t="str">
        <f>IF(BudgetsTable[[#This Row],[pi_last_name]]=" ","",HYPERLINK("https://www.ejacket.nsf.gov/ej/processReviewAnalysis.do?dispatch=add&amp;uniqId="&amp;BudgetsTable[[#This Row],[prop_id]]&amp;PO_id,"&gt;ra"))</f>
        <v/>
      </c>
      <c r="N45" s="79" t="s">
        <v>13</v>
      </c>
      <c r="O45" s="7" t="str">
        <f>IF(BudgetsTable[[#This Row],[pi_last_name]]=" ","",HYPERLINK("mailto:"&amp;BudgetsTable[[#This Row],[pi_email]]&amp;"&amp;subject=Your NSF Proposal:  "&amp;BudgetsTable[[#This Row],[prop_id]],BudgetsTable[[#This Row],[pi_email]]))</f>
        <v/>
      </c>
      <c r="P45" s="79" t="s">
        <v>13</v>
      </c>
      <c r="Q45" s="79">
        <v>1</v>
      </c>
      <c r="R45" s="79">
        <v>2</v>
      </c>
      <c r="S45" s="80">
        <v>0</v>
      </c>
      <c r="T45" s="80">
        <v>0</v>
      </c>
      <c r="U45" s="80">
        <v>0</v>
      </c>
      <c r="V45" s="81">
        <v>106478</v>
      </c>
      <c r="W45" s="79">
        <v>0</v>
      </c>
      <c r="X45" s="79">
        <v>5</v>
      </c>
      <c r="Y45" s="11" t="str">
        <f ca="1">IF(ISBLANK(BudgetsTable[[#This Row],[budg_seq_yr]]),"FY"&amp;fiscalyear,"FY"&amp;fiscalyear-1+BudgetsTable[[#This Row],[budg_seq_yr]])</f>
        <v>FY22</v>
      </c>
      <c r="Z45" s="80">
        <v>106478</v>
      </c>
      <c r="AA45" s="79" t="s">
        <v>477</v>
      </c>
      <c r="AB45" s="79" t="s">
        <v>582</v>
      </c>
      <c r="AC45" s="77" t="s">
        <v>94</v>
      </c>
      <c r="AD45" s="79" t="s">
        <v>1432</v>
      </c>
    </row>
    <row r="46" spans="1:30" x14ac:dyDescent="0.4">
      <c r="A46" s="10" t="s">
        <v>702</v>
      </c>
      <c r="B46" s="77" t="s">
        <v>95</v>
      </c>
      <c r="C46" s="77">
        <f>C45+(BudgetsTable[[#This Row],[lead]]&lt;&gt;K45)</f>
        <v>18</v>
      </c>
      <c r="D46" s="77">
        <f>D45*(BudgetsTable[[#This Row],[lead]]=K45)+(BudgetsTable[[#This Row],[prop_id]]&lt;&gt;A45)</f>
        <v>1</v>
      </c>
      <c r="E46" s="78">
        <v>42934.507638888892</v>
      </c>
      <c r="F46" s="79" t="s">
        <v>1430</v>
      </c>
      <c r="G46" s="79" t="s">
        <v>477</v>
      </c>
      <c r="H46" s="79" t="s">
        <v>582</v>
      </c>
      <c r="I46" s="77" t="s">
        <v>654</v>
      </c>
      <c r="J46" s="77" t="s">
        <v>1468</v>
      </c>
      <c r="K46" s="79" t="s">
        <v>702</v>
      </c>
      <c r="L46" s="7" t="str">
        <f>IF(BudgetsTable[[#This Row],[pi_last_name]]=" ","",HYPERLINK("https://www.ejacket.nsf.gov/ej/showProposal.do?Continue=Y&amp;ID="&amp;BudgetsTable[[#This Row],[prop_id]],BudgetsTable[[#This Row],[prop_id]]))</f>
        <v>1749734</v>
      </c>
      <c r="M46" s="15" t="e">
        <f>IF(BudgetsTable[[#This Row],[pi_last_name]]=" ","",HYPERLINK("https://www.ejacket.nsf.gov/ej/processReviewAnalysis.do?dispatch=add&amp;uniqId="&amp;BudgetsTable[[#This Row],[prop_id]]&amp;PO_id,"&gt;ra"))</f>
        <v>#REF!</v>
      </c>
      <c r="N46" s="79" t="s">
        <v>703</v>
      </c>
      <c r="O46" s="7" t="str">
        <f>IF(BudgetsTable[[#This Row],[pi_last_name]]=" ","",HYPERLINK("mailto:"&amp;BudgetsTable[[#This Row],[pi_email]]&amp;"&amp;subject=Your NSF Proposal:  "&amp;BudgetsTable[[#This Row],[prop_id]],BudgetsTable[[#This Row],[pi_email]]))</f>
        <v>sidford@stanford.edu</v>
      </c>
      <c r="P46" s="79" t="s">
        <v>1465</v>
      </c>
      <c r="Q46" s="79"/>
      <c r="R46" s="79"/>
      <c r="S46" s="80"/>
      <c r="T46" s="80"/>
      <c r="U46" s="80"/>
      <c r="V46" s="81"/>
      <c r="W46" s="79">
        <v>0</v>
      </c>
      <c r="X46" s="79"/>
      <c r="Y46" s="11" t="str">
        <f ca="1">IF(ISBLANK(BudgetsTable[[#This Row],[budg_seq_yr]]),"FY"&amp;fiscalyear,"FY"&amp;fiscalyear-1+BudgetsTable[[#This Row],[budg_seq_yr]])</f>
        <v>FY18</v>
      </c>
      <c r="Z46" s="80">
        <v>500000</v>
      </c>
      <c r="AA46" s="79" t="s">
        <v>477</v>
      </c>
      <c r="AB46" s="79" t="s">
        <v>582</v>
      </c>
      <c r="AC46" s="77" t="s">
        <v>94</v>
      </c>
      <c r="AD46" s="79" t="s">
        <v>584</v>
      </c>
    </row>
    <row r="47" spans="1:30" x14ac:dyDescent="0.4">
      <c r="A47" s="10" t="s">
        <v>702</v>
      </c>
      <c r="B47" s="77" t="s">
        <v>95</v>
      </c>
      <c r="C47" s="77">
        <f>C46+(BudgetsTable[[#This Row],[lead]]&lt;&gt;K46)</f>
        <v>18</v>
      </c>
      <c r="D47" s="77">
        <f>D46*(BudgetsTable[[#This Row],[lead]]=K46)+(BudgetsTable[[#This Row],[prop_id]]&lt;&gt;A46)</f>
        <v>1</v>
      </c>
      <c r="E47" s="78">
        <v>42934.507638888892</v>
      </c>
      <c r="F47" s="79" t="s">
        <v>1430</v>
      </c>
      <c r="G47" s="79" t="s">
        <v>477</v>
      </c>
      <c r="H47" s="79" t="s">
        <v>582</v>
      </c>
      <c r="I47" s="77" t="s">
        <v>654</v>
      </c>
      <c r="J47" s="77" t="s">
        <v>13</v>
      </c>
      <c r="K47" s="79" t="s">
        <v>702</v>
      </c>
      <c r="L47" s="7" t="str">
        <f>IF(BudgetsTable[[#This Row],[pi_last_name]]=" ","",HYPERLINK("https://www.ejacket.nsf.gov/ej/showProposal.do?Continue=Y&amp;ID="&amp;BudgetsTable[[#This Row],[prop_id]],BudgetsTable[[#This Row],[prop_id]]))</f>
        <v/>
      </c>
      <c r="M47" s="15" t="str">
        <f>IF(BudgetsTable[[#This Row],[pi_last_name]]=" ","",HYPERLINK("https://www.ejacket.nsf.gov/ej/processReviewAnalysis.do?dispatch=add&amp;uniqId="&amp;BudgetsTable[[#This Row],[prop_id]]&amp;PO_id,"&gt;ra"))</f>
        <v/>
      </c>
      <c r="N47" s="79" t="s">
        <v>13</v>
      </c>
      <c r="O47" s="7" t="str">
        <f>IF(BudgetsTable[[#This Row],[pi_last_name]]=" ","",HYPERLINK("mailto:"&amp;BudgetsTable[[#This Row],[pi_email]]&amp;"&amp;subject=Your NSF Proposal:  "&amp;BudgetsTable[[#This Row],[prop_id]],BudgetsTable[[#This Row],[pi_email]]))</f>
        <v/>
      </c>
      <c r="P47" s="79" t="s">
        <v>13</v>
      </c>
      <c r="Q47" s="79">
        <v>1</v>
      </c>
      <c r="R47" s="79">
        <v>1.35</v>
      </c>
      <c r="S47" s="80">
        <v>0</v>
      </c>
      <c r="T47" s="80">
        <v>0</v>
      </c>
      <c r="U47" s="80">
        <v>1500</v>
      </c>
      <c r="V47" s="81">
        <v>94388</v>
      </c>
      <c r="W47" s="79">
        <v>0</v>
      </c>
      <c r="X47" s="79">
        <v>1</v>
      </c>
      <c r="Y47" s="11" t="str">
        <f ca="1">IF(ISBLANK(BudgetsTable[[#This Row],[budg_seq_yr]]),"FY"&amp;fiscalyear,"FY"&amp;fiscalyear-1+BudgetsTable[[#This Row],[budg_seq_yr]])</f>
        <v>FY18</v>
      </c>
      <c r="Z47" s="80">
        <v>94388</v>
      </c>
      <c r="AA47" s="79" t="s">
        <v>477</v>
      </c>
      <c r="AB47" s="79" t="s">
        <v>582</v>
      </c>
      <c r="AC47" s="77" t="s">
        <v>94</v>
      </c>
      <c r="AD47" s="79" t="s">
        <v>584</v>
      </c>
    </row>
    <row r="48" spans="1:30" x14ac:dyDescent="0.4">
      <c r="A48" s="10" t="s">
        <v>702</v>
      </c>
      <c r="B48" s="77" t="s">
        <v>95</v>
      </c>
      <c r="C48" s="77">
        <f>C47+(BudgetsTable[[#This Row],[lead]]&lt;&gt;K47)</f>
        <v>18</v>
      </c>
      <c r="D48" s="77">
        <f>D47*(BudgetsTable[[#This Row],[lead]]=K47)+(BudgetsTable[[#This Row],[prop_id]]&lt;&gt;A47)</f>
        <v>1</v>
      </c>
      <c r="E48" s="78">
        <v>42934.507638888892</v>
      </c>
      <c r="F48" s="79" t="s">
        <v>1430</v>
      </c>
      <c r="G48" s="79" t="s">
        <v>477</v>
      </c>
      <c r="H48" s="79" t="s">
        <v>582</v>
      </c>
      <c r="I48" s="77" t="s">
        <v>654</v>
      </c>
      <c r="J48" s="77" t="s">
        <v>13</v>
      </c>
      <c r="K48" s="79" t="s">
        <v>702</v>
      </c>
      <c r="L48" s="7" t="str">
        <f>IF(BudgetsTable[[#This Row],[pi_last_name]]=" ","",HYPERLINK("https://www.ejacket.nsf.gov/ej/showProposal.do?Continue=Y&amp;ID="&amp;BudgetsTable[[#This Row],[prop_id]],BudgetsTable[[#This Row],[prop_id]]))</f>
        <v/>
      </c>
      <c r="M48" s="15" t="str">
        <f>IF(BudgetsTable[[#This Row],[pi_last_name]]=" ","",HYPERLINK("https://www.ejacket.nsf.gov/ej/processReviewAnalysis.do?dispatch=add&amp;uniqId="&amp;BudgetsTable[[#This Row],[prop_id]]&amp;PO_id,"&gt;ra"))</f>
        <v/>
      </c>
      <c r="N48" s="79" t="s">
        <v>13</v>
      </c>
      <c r="O48" s="7" t="str">
        <f>IF(BudgetsTable[[#This Row],[pi_last_name]]=" ","",HYPERLINK("mailto:"&amp;BudgetsTable[[#This Row],[pi_email]]&amp;"&amp;subject=Your NSF Proposal:  "&amp;BudgetsTable[[#This Row],[prop_id]],BudgetsTable[[#This Row],[pi_email]]))</f>
        <v/>
      </c>
      <c r="P48" s="79" t="s">
        <v>13</v>
      </c>
      <c r="Q48" s="79">
        <v>1</v>
      </c>
      <c r="R48" s="79">
        <v>1.35</v>
      </c>
      <c r="S48" s="80">
        <v>0</v>
      </c>
      <c r="T48" s="80">
        <v>0</v>
      </c>
      <c r="U48" s="80">
        <v>1500</v>
      </c>
      <c r="V48" s="81">
        <v>97104</v>
      </c>
      <c r="W48" s="79">
        <v>0</v>
      </c>
      <c r="X48" s="79">
        <v>2</v>
      </c>
      <c r="Y48" s="11" t="str">
        <f ca="1">IF(ISBLANK(BudgetsTable[[#This Row],[budg_seq_yr]]),"FY"&amp;fiscalyear,"FY"&amp;fiscalyear-1+BudgetsTable[[#This Row],[budg_seq_yr]])</f>
        <v>FY19</v>
      </c>
      <c r="Z48" s="80">
        <v>97104</v>
      </c>
      <c r="AA48" s="79" t="s">
        <v>477</v>
      </c>
      <c r="AB48" s="79" t="s">
        <v>582</v>
      </c>
      <c r="AC48" s="77" t="s">
        <v>94</v>
      </c>
      <c r="AD48" s="79" t="s">
        <v>584</v>
      </c>
    </row>
    <row r="49" spans="1:30" x14ac:dyDescent="0.4">
      <c r="A49" s="10" t="s">
        <v>702</v>
      </c>
      <c r="B49" s="77" t="s">
        <v>95</v>
      </c>
      <c r="C49" s="77">
        <f>C48+(BudgetsTable[[#This Row],[lead]]&lt;&gt;K48)</f>
        <v>18</v>
      </c>
      <c r="D49" s="77">
        <f>D48*(BudgetsTable[[#This Row],[lead]]=K48)+(BudgetsTable[[#This Row],[prop_id]]&lt;&gt;A48)</f>
        <v>1</v>
      </c>
      <c r="E49" s="78">
        <v>42934.507638888892</v>
      </c>
      <c r="F49" s="79" t="s">
        <v>1430</v>
      </c>
      <c r="G49" s="79" t="s">
        <v>477</v>
      </c>
      <c r="H49" s="79" t="s">
        <v>582</v>
      </c>
      <c r="I49" s="77" t="s">
        <v>654</v>
      </c>
      <c r="J49" s="77" t="s">
        <v>13</v>
      </c>
      <c r="K49" s="79" t="s">
        <v>702</v>
      </c>
      <c r="L49" s="7" t="str">
        <f>IF(BudgetsTable[[#This Row],[pi_last_name]]=" ","",HYPERLINK("https://www.ejacket.nsf.gov/ej/showProposal.do?Continue=Y&amp;ID="&amp;BudgetsTable[[#This Row],[prop_id]],BudgetsTable[[#This Row],[prop_id]]))</f>
        <v/>
      </c>
      <c r="M49" s="15" t="str">
        <f>IF(BudgetsTable[[#This Row],[pi_last_name]]=" ","",HYPERLINK("https://www.ejacket.nsf.gov/ej/processReviewAnalysis.do?dispatch=add&amp;uniqId="&amp;BudgetsTable[[#This Row],[prop_id]]&amp;PO_id,"&gt;ra"))</f>
        <v/>
      </c>
      <c r="N49" s="79" t="s">
        <v>13</v>
      </c>
      <c r="O49" s="7" t="str">
        <f>IF(BudgetsTable[[#This Row],[pi_last_name]]=" ","",HYPERLINK("mailto:"&amp;BudgetsTable[[#This Row],[pi_email]]&amp;"&amp;subject=Your NSF Proposal:  "&amp;BudgetsTable[[#This Row],[prop_id]],BudgetsTable[[#This Row],[pi_email]]))</f>
        <v/>
      </c>
      <c r="P49" s="79" t="s">
        <v>13</v>
      </c>
      <c r="Q49" s="79">
        <v>1</v>
      </c>
      <c r="R49" s="79">
        <v>1.35</v>
      </c>
      <c r="S49" s="80">
        <v>0</v>
      </c>
      <c r="T49" s="80">
        <v>0</v>
      </c>
      <c r="U49" s="80">
        <v>1500</v>
      </c>
      <c r="V49" s="81">
        <v>99911</v>
      </c>
      <c r="W49" s="79">
        <v>0</v>
      </c>
      <c r="X49" s="79">
        <v>3</v>
      </c>
      <c r="Y49" s="11" t="str">
        <f ca="1">IF(ISBLANK(BudgetsTable[[#This Row],[budg_seq_yr]]),"FY"&amp;fiscalyear,"FY"&amp;fiscalyear-1+BudgetsTable[[#This Row],[budg_seq_yr]])</f>
        <v>FY20</v>
      </c>
      <c r="Z49" s="80">
        <v>99911</v>
      </c>
      <c r="AA49" s="79" t="s">
        <v>477</v>
      </c>
      <c r="AB49" s="79" t="s">
        <v>582</v>
      </c>
      <c r="AC49" s="77" t="s">
        <v>94</v>
      </c>
      <c r="AD49" s="79" t="s">
        <v>584</v>
      </c>
    </row>
    <row r="50" spans="1:30" x14ac:dyDescent="0.4">
      <c r="A50" s="10" t="s">
        <v>702</v>
      </c>
      <c r="B50" s="77" t="s">
        <v>95</v>
      </c>
      <c r="C50" s="77">
        <f>C49+(BudgetsTable[[#This Row],[lead]]&lt;&gt;K49)</f>
        <v>18</v>
      </c>
      <c r="D50" s="77">
        <f>D49*(BudgetsTable[[#This Row],[lead]]=K49)+(BudgetsTable[[#This Row],[prop_id]]&lt;&gt;A49)</f>
        <v>1</v>
      </c>
      <c r="E50" s="78">
        <v>42934.507638888892</v>
      </c>
      <c r="F50" s="79" t="s">
        <v>1430</v>
      </c>
      <c r="G50" s="79" t="s">
        <v>477</v>
      </c>
      <c r="H50" s="79" t="s">
        <v>582</v>
      </c>
      <c r="I50" s="77" t="s">
        <v>654</v>
      </c>
      <c r="J50" s="77" t="s">
        <v>13</v>
      </c>
      <c r="K50" s="79" t="s">
        <v>702</v>
      </c>
      <c r="L50" s="7" t="str">
        <f>IF(BudgetsTable[[#This Row],[pi_last_name]]=" ","",HYPERLINK("https://www.ejacket.nsf.gov/ej/showProposal.do?Continue=Y&amp;ID="&amp;BudgetsTable[[#This Row],[prop_id]],BudgetsTable[[#This Row],[prop_id]]))</f>
        <v/>
      </c>
      <c r="M50" s="15" t="str">
        <f>IF(BudgetsTable[[#This Row],[pi_last_name]]=" ","",HYPERLINK("https://www.ejacket.nsf.gov/ej/processReviewAnalysis.do?dispatch=add&amp;uniqId="&amp;BudgetsTable[[#This Row],[prop_id]]&amp;PO_id,"&gt;ra"))</f>
        <v/>
      </c>
      <c r="N50" s="79" t="s">
        <v>13</v>
      </c>
      <c r="O50" s="7" t="str">
        <f>IF(BudgetsTable[[#This Row],[pi_last_name]]=" ","",HYPERLINK("mailto:"&amp;BudgetsTable[[#This Row],[pi_email]]&amp;"&amp;subject=Your NSF Proposal:  "&amp;BudgetsTable[[#This Row],[prop_id]],BudgetsTable[[#This Row],[pi_email]]))</f>
        <v/>
      </c>
      <c r="P50" s="79" t="s">
        <v>13</v>
      </c>
      <c r="Q50" s="79">
        <v>1</v>
      </c>
      <c r="R50" s="79">
        <v>1.35</v>
      </c>
      <c r="S50" s="80">
        <v>0</v>
      </c>
      <c r="T50" s="80">
        <v>0</v>
      </c>
      <c r="U50" s="80">
        <v>1500</v>
      </c>
      <c r="V50" s="81">
        <v>102803</v>
      </c>
      <c r="W50" s="79">
        <v>0</v>
      </c>
      <c r="X50" s="79">
        <v>4</v>
      </c>
      <c r="Y50" s="11" t="str">
        <f ca="1">IF(ISBLANK(BudgetsTable[[#This Row],[budg_seq_yr]]),"FY"&amp;fiscalyear,"FY"&amp;fiscalyear-1+BudgetsTable[[#This Row],[budg_seq_yr]])</f>
        <v>FY21</v>
      </c>
      <c r="Z50" s="80">
        <v>102803</v>
      </c>
      <c r="AA50" s="79" t="s">
        <v>477</v>
      </c>
      <c r="AB50" s="79" t="s">
        <v>582</v>
      </c>
      <c r="AC50" s="77" t="s">
        <v>94</v>
      </c>
      <c r="AD50" s="79" t="s">
        <v>584</v>
      </c>
    </row>
    <row r="51" spans="1:30" x14ac:dyDescent="0.4">
      <c r="A51" s="10" t="s">
        <v>702</v>
      </c>
      <c r="B51" s="77" t="s">
        <v>95</v>
      </c>
      <c r="C51" s="77">
        <f>C50+(BudgetsTable[[#This Row],[lead]]&lt;&gt;K50)</f>
        <v>18</v>
      </c>
      <c r="D51" s="77">
        <f>D50*(BudgetsTable[[#This Row],[lead]]=K50)+(BudgetsTable[[#This Row],[prop_id]]&lt;&gt;A50)</f>
        <v>1</v>
      </c>
      <c r="E51" s="78">
        <v>42934.507638888892</v>
      </c>
      <c r="F51" s="79" t="s">
        <v>1430</v>
      </c>
      <c r="G51" s="79" t="s">
        <v>477</v>
      </c>
      <c r="H51" s="79" t="s">
        <v>582</v>
      </c>
      <c r="I51" s="77" t="s">
        <v>654</v>
      </c>
      <c r="J51" s="77" t="s">
        <v>13</v>
      </c>
      <c r="K51" s="79" t="s">
        <v>702</v>
      </c>
      <c r="L51" s="7" t="str">
        <f>IF(BudgetsTable[[#This Row],[pi_last_name]]=" ","",HYPERLINK("https://www.ejacket.nsf.gov/ej/showProposal.do?Continue=Y&amp;ID="&amp;BudgetsTable[[#This Row],[prop_id]],BudgetsTable[[#This Row],[prop_id]]))</f>
        <v/>
      </c>
      <c r="M51" s="15" t="str">
        <f>IF(BudgetsTable[[#This Row],[pi_last_name]]=" ","",HYPERLINK("https://www.ejacket.nsf.gov/ej/processReviewAnalysis.do?dispatch=add&amp;uniqId="&amp;BudgetsTable[[#This Row],[prop_id]]&amp;PO_id,"&gt;ra"))</f>
        <v/>
      </c>
      <c r="N51" s="79" t="s">
        <v>13</v>
      </c>
      <c r="O51" s="7" t="str">
        <f>IF(BudgetsTable[[#This Row],[pi_last_name]]=" ","",HYPERLINK("mailto:"&amp;BudgetsTable[[#This Row],[pi_email]]&amp;"&amp;subject=Your NSF Proposal:  "&amp;BudgetsTable[[#This Row],[prop_id]],BudgetsTable[[#This Row],[pi_email]]))</f>
        <v/>
      </c>
      <c r="P51" s="79" t="s">
        <v>13</v>
      </c>
      <c r="Q51" s="79">
        <v>1</v>
      </c>
      <c r="R51" s="79">
        <v>1.35</v>
      </c>
      <c r="S51" s="80">
        <v>0</v>
      </c>
      <c r="T51" s="80">
        <v>0</v>
      </c>
      <c r="U51" s="80">
        <v>1500</v>
      </c>
      <c r="V51" s="81">
        <v>105794</v>
      </c>
      <c r="W51" s="79">
        <v>0</v>
      </c>
      <c r="X51" s="79">
        <v>5</v>
      </c>
      <c r="Y51" s="11" t="str">
        <f ca="1">IF(ISBLANK(BudgetsTable[[#This Row],[budg_seq_yr]]),"FY"&amp;fiscalyear,"FY"&amp;fiscalyear-1+BudgetsTable[[#This Row],[budg_seq_yr]])</f>
        <v>FY22</v>
      </c>
      <c r="Z51" s="80">
        <v>105794</v>
      </c>
      <c r="AA51" s="79" t="s">
        <v>477</v>
      </c>
      <c r="AB51" s="79" t="s">
        <v>582</v>
      </c>
      <c r="AC51" s="77" t="s">
        <v>94</v>
      </c>
      <c r="AD51" s="79" t="s">
        <v>584</v>
      </c>
    </row>
    <row r="52" spans="1:30" x14ac:dyDescent="0.4">
      <c r="A52" s="10" t="s">
        <v>712</v>
      </c>
      <c r="B52" s="77" t="s">
        <v>95</v>
      </c>
      <c r="C52" s="77">
        <f>C51+(BudgetsTable[[#This Row],[lead]]&lt;&gt;K51)</f>
        <v>19</v>
      </c>
      <c r="D52" s="77">
        <f>D51*(BudgetsTable[[#This Row],[lead]]=K51)+(BudgetsTable[[#This Row],[prop_id]]&lt;&gt;A51)</f>
        <v>1</v>
      </c>
      <c r="E52" s="78">
        <v>42934.524305555555</v>
      </c>
      <c r="F52" s="79" t="s">
        <v>1430</v>
      </c>
      <c r="G52" s="79" t="s">
        <v>477</v>
      </c>
      <c r="H52" s="79" t="s">
        <v>582</v>
      </c>
      <c r="I52" s="77" t="s">
        <v>611</v>
      </c>
      <c r="J52" s="77" t="s">
        <v>1475</v>
      </c>
      <c r="K52" s="79" t="s">
        <v>712</v>
      </c>
      <c r="L52" s="7" t="str">
        <f>IF(BudgetsTable[[#This Row],[pi_last_name]]=" ","",HYPERLINK("https://www.ejacket.nsf.gov/ej/showProposal.do?Continue=Y&amp;ID="&amp;BudgetsTable[[#This Row],[prop_id]],BudgetsTable[[#This Row],[prop_id]]))</f>
        <v>1749747</v>
      </c>
      <c r="M52" s="15" t="e">
        <f>IF(BudgetsTable[[#This Row],[pi_last_name]]=" ","",HYPERLINK("https://www.ejacket.nsf.gov/ej/processReviewAnalysis.do?dispatch=add&amp;uniqId="&amp;BudgetsTable[[#This Row],[prop_id]]&amp;PO_id,"&gt;ra"))</f>
        <v>#REF!</v>
      </c>
      <c r="N52" s="79" t="s">
        <v>713</v>
      </c>
      <c r="O52" s="7" t="str">
        <f>IF(BudgetsTable[[#This Row],[pi_last_name]]=" ","",HYPERLINK("mailto:"&amp;BudgetsTable[[#This Row],[pi_email]]&amp;"&amp;subject=Your NSF Proposal:  "&amp;BudgetsTable[[#This Row],[prop_id]],BudgetsTable[[#This Row],[pi_email]]))</f>
        <v>omri@cs.columbia.edu</v>
      </c>
      <c r="P52" s="79" t="s">
        <v>1472</v>
      </c>
      <c r="Q52" s="79"/>
      <c r="R52" s="79"/>
      <c r="S52" s="80"/>
      <c r="T52" s="80"/>
      <c r="U52" s="80"/>
      <c r="V52" s="81"/>
      <c r="W52" s="79">
        <v>0</v>
      </c>
      <c r="X52" s="79"/>
      <c r="Y52" s="11" t="str">
        <f ca="1">IF(ISBLANK(BudgetsTable[[#This Row],[budg_seq_yr]]),"FY"&amp;fiscalyear,"FY"&amp;fiscalyear-1+BudgetsTable[[#This Row],[budg_seq_yr]])</f>
        <v>FY18</v>
      </c>
      <c r="Z52" s="80">
        <v>400000</v>
      </c>
      <c r="AA52" s="79" t="s">
        <v>477</v>
      </c>
      <c r="AB52" s="79" t="s">
        <v>582</v>
      </c>
      <c r="AC52" s="77" t="s">
        <v>94</v>
      </c>
      <c r="AD52" s="79" t="s">
        <v>1469</v>
      </c>
    </row>
    <row r="53" spans="1:30" x14ac:dyDescent="0.4">
      <c r="A53" s="10" t="s">
        <v>712</v>
      </c>
      <c r="B53" s="77" t="s">
        <v>95</v>
      </c>
      <c r="C53" s="77">
        <f>C52+(BudgetsTable[[#This Row],[lead]]&lt;&gt;K52)</f>
        <v>19</v>
      </c>
      <c r="D53" s="77">
        <f>D52*(BudgetsTable[[#This Row],[lead]]=K52)+(BudgetsTable[[#This Row],[prop_id]]&lt;&gt;A52)</f>
        <v>1</v>
      </c>
      <c r="E53" s="78">
        <v>42934.524305555555</v>
      </c>
      <c r="F53" s="79" t="s">
        <v>1430</v>
      </c>
      <c r="G53" s="79" t="s">
        <v>477</v>
      </c>
      <c r="H53" s="79" t="s">
        <v>582</v>
      </c>
      <c r="I53" s="77" t="s">
        <v>611</v>
      </c>
      <c r="J53" s="77" t="s">
        <v>13</v>
      </c>
      <c r="K53" s="79" t="s">
        <v>712</v>
      </c>
      <c r="L53" s="7" t="str">
        <f>IF(BudgetsTable[[#This Row],[pi_last_name]]=" ","",HYPERLINK("https://www.ejacket.nsf.gov/ej/showProposal.do?Continue=Y&amp;ID="&amp;BudgetsTable[[#This Row],[prop_id]],BudgetsTable[[#This Row],[prop_id]]))</f>
        <v/>
      </c>
      <c r="M53" s="15" t="str">
        <f>IF(BudgetsTable[[#This Row],[pi_last_name]]=" ","",HYPERLINK("https://www.ejacket.nsf.gov/ej/processReviewAnalysis.do?dispatch=add&amp;uniqId="&amp;BudgetsTable[[#This Row],[prop_id]]&amp;PO_id,"&gt;ra"))</f>
        <v/>
      </c>
      <c r="N53" s="79" t="s">
        <v>13</v>
      </c>
      <c r="O53" s="7" t="str">
        <f>IF(BudgetsTable[[#This Row],[pi_last_name]]=" ","",HYPERLINK("mailto:"&amp;BudgetsTable[[#This Row],[pi_email]]&amp;"&amp;subject=Your NSF Proposal:  "&amp;BudgetsTable[[#This Row],[prop_id]],BudgetsTable[[#This Row],[pi_email]]))</f>
        <v/>
      </c>
      <c r="P53" s="79" t="s">
        <v>13</v>
      </c>
      <c r="Q53" s="79">
        <v>1</v>
      </c>
      <c r="R53" s="79">
        <v>1</v>
      </c>
      <c r="S53" s="80">
        <v>0</v>
      </c>
      <c r="T53" s="80">
        <v>0</v>
      </c>
      <c r="U53" s="80">
        <v>0</v>
      </c>
      <c r="V53" s="81">
        <v>34924</v>
      </c>
      <c r="W53" s="79">
        <v>0</v>
      </c>
      <c r="X53" s="79">
        <v>1</v>
      </c>
      <c r="Y53" s="11" t="str">
        <f ca="1">IF(ISBLANK(BudgetsTable[[#This Row],[budg_seq_yr]]),"FY"&amp;fiscalyear,"FY"&amp;fiscalyear-1+BudgetsTable[[#This Row],[budg_seq_yr]])</f>
        <v>FY18</v>
      </c>
      <c r="Z53" s="80">
        <v>34924</v>
      </c>
      <c r="AA53" s="79" t="s">
        <v>477</v>
      </c>
      <c r="AB53" s="79" t="s">
        <v>582</v>
      </c>
      <c r="AC53" s="77" t="s">
        <v>94</v>
      </c>
      <c r="AD53" s="79" t="s">
        <v>1469</v>
      </c>
    </row>
    <row r="54" spans="1:30" x14ac:dyDescent="0.4">
      <c r="A54" s="10" t="s">
        <v>712</v>
      </c>
      <c r="B54" s="77" t="s">
        <v>95</v>
      </c>
      <c r="C54" s="77">
        <f>C53+(BudgetsTable[[#This Row],[lead]]&lt;&gt;K53)</f>
        <v>19</v>
      </c>
      <c r="D54" s="77">
        <f>D53*(BudgetsTable[[#This Row],[lead]]=K53)+(BudgetsTable[[#This Row],[prop_id]]&lt;&gt;A53)</f>
        <v>1</v>
      </c>
      <c r="E54" s="78">
        <v>42934.524305555555</v>
      </c>
      <c r="F54" s="79" t="s">
        <v>1430</v>
      </c>
      <c r="G54" s="79" t="s">
        <v>477</v>
      </c>
      <c r="H54" s="79" t="s">
        <v>582</v>
      </c>
      <c r="I54" s="77" t="s">
        <v>611</v>
      </c>
      <c r="J54" s="77" t="s">
        <v>13</v>
      </c>
      <c r="K54" s="79" t="s">
        <v>712</v>
      </c>
      <c r="L54" s="7" t="str">
        <f>IF(BudgetsTable[[#This Row],[pi_last_name]]=" ","",HYPERLINK("https://www.ejacket.nsf.gov/ej/showProposal.do?Continue=Y&amp;ID="&amp;BudgetsTable[[#This Row],[prop_id]],BudgetsTable[[#This Row],[prop_id]]))</f>
        <v/>
      </c>
      <c r="M54" s="15" t="str">
        <f>IF(BudgetsTable[[#This Row],[pi_last_name]]=" ","",HYPERLINK("https://www.ejacket.nsf.gov/ej/processReviewAnalysis.do?dispatch=add&amp;uniqId="&amp;BudgetsTable[[#This Row],[prop_id]]&amp;PO_id,"&gt;ra"))</f>
        <v/>
      </c>
      <c r="N54" s="79" t="s">
        <v>13</v>
      </c>
      <c r="O54" s="7" t="str">
        <f>IF(BudgetsTable[[#This Row],[pi_last_name]]=" ","",HYPERLINK("mailto:"&amp;BudgetsTable[[#This Row],[pi_email]]&amp;"&amp;subject=Your NSF Proposal:  "&amp;BudgetsTable[[#This Row],[prop_id]],BudgetsTable[[#This Row],[pi_email]]))</f>
        <v/>
      </c>
      <c r="P54" s="79" t="s">
        <v>13</v>
      </c>
      <c r="Q54" s="79">
        <v>1</v>
      </c>
      <c r="R54" s="79">
        <v>0</v>
      </c>
      <c r="S54" s="80">
        <v>0</v>
      </c>
      <c r="T54" s="80">
        <v>0</v>
      </c>
      <c r="U54" s="80">
        <v>0</v>
      </c>
      <c r="V54" s="81">
        <v>111068</v>
      </c>
      <c r="W54" s="79">
        <v>0</v>
      </c>
      <c r="X54" s="79">
        <v>2</v>
      </c>
      <c r="Y54" s="11" t="str">
        <f ca="1">IF(ISBLANK(BudgetsTable[[#This Row],[budg_seq_yr]]),"FY"&amp;fiscalyear,"FY"&amp;fiscalyear-1+BudgetsTable[[#This Row],[budg_seq_yr]])</f>
        <v>FY19</v>
      </c>
      <c r="Z54" s="80">
        <v>111068</v>
      </c>
      <c r="AA54" s="79" t="s">
        <v>477</v>
      </c>
      <c r="AB54" s="79" t="s">
        <v>582</v>
      </c>
      <c r="AC54" s="77" t="s">
        <v>94</v>
      </c>
      <c r="AD54" s="79" t="s">
        <v>1469</v>
      </c>
    </row>
    <row r="55" spans="1:30" x14ac:dyDescent="0.4">
      <c r="A55" s="10" t="s">
        <v>712</v>
      </c>
      <c r="B55" s="77" t="s">
        <v>95</v>
      </c>
      <c r="C55" s="77">
        <f>C54+(BudgetsTable[[#This Row],[lead]]&lt;&gt;K54)</f>
        <v>19</v>
      </c>
      <c r="D55" s="77">
        <f>D54*(BudgetsTable[[#This Row],[lead]]=K54)+(BudgetsTable[[#This Row],[prop_id]]&lt;&gt;A54)</f>
        <v>1</v>
      </c>
      <c r="E55" s="78">
        <v>42934.524305555555</v>
      </c>
      <c r="F55" s="79" t="s">
        <v>1430</v>
      </c>
      <c r="G55" s="79" t="s">
        <v>477</v>
      </c>
      <c r="H55" s="79" t="s">
        <v>582</v>
      </c>
      <c r="I55" s="77" t="s">
        <v>611</v>
      </c>
      <c r="J55" s="77" t="s">
        <v>13</v>
      </c>
      <c r="K55" s="79" t="s">
        <v>712</v>
      </c>
      <c r="L55" s="7" t="str">
        <f>IF(BudgetsTable[[#This Row],[pi_last_name]]=" ","",HYPERLINK("https://www.ejacket.nsf.gov/ej/showProposal.do?Continue=Y&amp;ID="&amp;BudgetsTable[[#This Row],[prop_id]],BudgetsTable[[#This Row],[prop_id]]))</f>
        <v/>
      </c>
      <c r="M55" s="15" t="str">
        <f>IF(BudgetsTable[[#This Row],[pi_last_name]]=" ","",HYPERLINK("https://www.ejacket.nsf.gov/ej/processReviewAnalysis.do?dispatch=add&amp;uniqId="&amp;BudgetsTable[[#This Row],[prop_id]]&amp;PO_id,"&gt;ra"))</f>
        <v/>
      </c>
      <c r="N55" s="79" t="s">
        <v>13</v>
      </c>
      <c r="O55" s="7" t="str">
        <f>IF(BudgetsTable[[#This Row],[pi_last_name]]=" ","",HYPERLINK("mailto:"&amp;BudgetsTable[[#This Row],[pi_email]]&amp;"&amp;subject=Your NSF Proposal:  "&amp;BudgetsTable[[#This Row],[prop_id]],BudgetsTable[[#This Row],[pi_email]]))</f>
        <v/>
      </c>
      <c r="P55" s="79" t="s">
        <v>13</v>
      </c>
      <c r="Q55" s="79">
        <v>1</v>
      </c>
      <c r="R55" s="79">
        <v>0</v>
      </c>
      <c r="S55" s="80">
        <v>0</v>
      </c>
      <c r="T55" s="80">
        <v>0</v>
      </c>
      <c r="U55" s="80">
        <v>0</v>
      </c>
      <c r="V55" s="81">
        <v>114521</v>
      </c>
      <c r="W55" s="79">
        <v>0</v>
      </c>
      <c r="X55" s="79">
        <v>3</v>
      </c>
      <c r="Y55" s="11" t="str">
        <f ca="1">IF(ISBLANK(BudgetsTable[[#This Row],[budg_seq_yr]]),"FY"&amp;fiscalyear,"FY"&amp;fiscalyear-1+BudgetsTable[[#This Row],[budg_seq_yr]])</f>
        <v>FY20</v>
      </c>
      <c r="Z55" s="80">
        <v>114521</v>
      </c>
      <c r="AA55" s="79" t="s">
        <v>477</v>
      </c>
      <c r="AB55" s="79" t="s">
        <v>582</v>
      </c>
      <c r="AC55" s="77" t="s">
        <v>94</v>
      </c>
      <c r="AD55" s="79" t="s">
        <v>1469</v>
      </c>
    </row>
    <row r="56" spans="1:30" x14ac:dyDescent="0.4">
      <c r="A56" s="10" t="s">
        <v>712</v>
      </c>
      <c r="B56" s="77" t="s">
        <v>95</v>
      </c>
      <c r="C56" s="77">
        <f>C55+(BudgetsTable[[#This Row],[lead]]&lt;&gt;K55)</f>
        <v>19</v>
      </c>
      <c r="D56" s="77">
        <f>D55*(BudgetsTable[[#This Row],[lead]]=K55)+(BudgetsTable[[#This Row],[prop_id]]&lt;&gt;A55)</f>
        <v>1</v>
      </c>
      <c r="E56" s="78">
        <v>42934.524305555555</v>
      </c>
      <c r="F56" s="79" t="s">
        <v>1430</v>
      </c>
      <c r="G56" s="79" t="s">
        <v>477</v>
      </c>
      <c r="H56" s="79" t="s">
        <v>582</v>
      </c>
      <c r="I56" s="77" t="s">
        <v>611</v>
      </c>
      <c r="J56" s="77" t="s">
        <v>13</v>
      </c>
      <c r="K56" s="79" t="s">
        <v>712</v>
      </c>
      <c r="L56" s="7" t="str">
        <f>IF(BudgetsTable[[#This Row],[pi_last_name]]=" ","",HYPERLINK("https://www.ejacket.nsf.gov/ej/showProposal.do?Continue=Y&amp;ID="&amp;BudgetsTable[[#This Row],[prop_id]],BudgetsTable[[#This Row],[prop_id]]))</f>
        <v/>
      </c>
      <c r="M56" s="15" t="str">
        <f>IF(BudgetsTable[[#This Row],[pi_last_name]]=" ","",HYPERLINK("https://www.ejacket.nsf.gov/ej/processReviewAnalysis.do?dispatch=add&amp;uniqId="&amp;BudgetsTable[[#This Row],[prop_id]]&amp;PO_id,"&gt;ra"))</f>
        <v/>
      </c>
      <c r="N56" s="79" t="s">
        <v>13</v>
      </c>
      <c r="O56" s="7" t="str">
        <f>IF(BudgetsTable[[#This Row],[pi_last_name]]=" ","",HYPERLINK("mailto:"&amp;BudgetsTable[[#This Row],[pi_email]]&amp;"&amp;subject=Your NSF Proposal:  "&amp;BudgetsTable[[#This Row],[prop_id]],BudgetsTable[[#This Row],[pi_email]]))</f>
        <v/>
      </c>
      <c r="P56" s="79" t="s">
        <v>13</v>
      </c>
      <c r="Q56" s="79">
        <v>1</v>
      </c>
      <c r="R56" s="79">
        <v>0</v>
      </c>
      <c r="S56" s="80">
        <v>0</v>
      </c>
      <c r="T56" s="80">
        <v>0</v>
      </c>
      <c r="U56" s="80">
        <v>0</v>
      </c>
      <c r="V56" s="81">
        <v>118710</v>
      </c>
      <c r="W56" s="79">
        <v>0</v>
      </c>
      <c r="X56" s="79">
        <v>4</v>
      </c>
      <c r="Y56" s="11" t="str">
        <f ca="1">IF(ISBLANK(BudgetsTable[[#This Row],[budg_seq_yr]]),"FY"&amp;fiscalyear,"FY"&amp;fiscalyear-1+BudgetsTable[[#This Row],[budg_seq_yr]])</f>
        <v>FY21</v>
      </c>
      <c r="Z56" s="80">
        <v>118710</v>
      </c>
      <c r="AA56" s="79" t="s">
        <v>477</v>
      </c>
      <c r="AB56" s="79" t="s">
        <v>582</v>
      </c>
      <c r="AC56" s="77" t="s">
        <v>94</v>
      </c>
      <c r="AD56" s="79" t="s">
        <v>1469</v>
      </c>
    </row>
    <row r="57" spans="1:30" x14ac:dyDescent="0.4">
      <c r="A57" s="10" t="s">
        <v>712</v>
      </c>
      <c r="B57" s="77" t="s">
        <v>95</v>
      </c>
      <c r="C57" s="77">
        <f>C56+(BudgetsTable[[#This Row],[lead]]&lt;&gt;K56)</f>
        <v>19</v>
      </c>
      <c r="D57" s="77">
        <f>D56*(BudgetsTable[[#This Row],[lead]]=K56)+(BudgetsTable[[#This Row],[prop_id]]&lt;&gt;A56)</f>
        <v>1</v>
      </c>
      <c r="E57" s="78">
        <v>42934.524305555555</v>
      </c>
      <c r="F57" s="79" t="s">
        <v>1430</v>
      </c>
      <c r="G57" s="79" t="s">
        <v>477</v>
      </c>
      <c r="H57" s="79" t="s">
        <v>582</v>
      </c>
      <c r="I57" s="77" t="s">
        <v>611</v>
      </c>
      <c r="J57" s="77" t="s">
        <v>13</v>
      </c>
      <c r="K57" s="79" t="s">
        <v>712</v>
      </c>
      <c r="L57" s="7" t="str">
        <f>IF(BudgetsTable[[#This Row],[pi_last_name]]=" ","",HYPERLINK("https://www.ejacket.nsf.gov/ej/showProposal.do?Continue=Y&amp;ID="&amp;BudgetsTable[[#This Row],[prop_id]],BudgetsTable[[#This Row],[prop_id]]))</f>
        <v/>
      </c>
      <c r="M57" s="15" t="str">
        <f>IF(BudgetsTable[[#This Row],[pi_last_name]]=" ","",HYPERLINK("https://www.ejacket.nsf.gov/ej/processReviewAnalysis.do?dispatch=add&amp;uniqId="&amp;BudgetsTable[[#This Row],[prop_id]]&amp;PO_id,"&gt;ra"))</f>
        <v/>
      </c>
      <c r="N57" s="79" t="s">
        <v>13</v>
      </c>
      <c r="O57" s="7" t="str">
        <f>IF(BudgetsTable[[#This Row],[pi_last_name]]=" ","",HYPERLINK("mailto:"&amp;BudgetsTable[[#This Row],[pi_email]]&amp;"&amp;subject=Your NSF Proposal:  "&amp;BudgetsTable[[#This Row],[prop_id]],BudgetsTable[[#This Row],[pi_email]]))</f>
        <v/>
      </c>
      <c r="P57" s="79" t="s">
        <v>13</v>
      </c>
      <c r="Q57" s="79">
        <v>1</v>
      </c>
      <c r="R57" s="79">
        <v>0</v>
      </c>
      <c r="S57" s="80">
        <v>0</v>
      </c>
      <c r="T57" s="80">
        <v>0</v>
      </c>
      <c r="U57" s="80">
        <v>0</v>
      </c>
      <c r="V57" s="81">
        <v>20777</v>
      </c>
      <c r="W57" s="79">
        <v>0</v>
      </c>
      <c r="X57" s="79">
        <v>5</v>
      </c>
      <c r="Y57" s="11" t="str">
        <f ca="1">IF(ISBLANK(BudgetsTable[[#This Row],[budg_seq_yr]]),"FY"&amp;fiscalyear,"FY"&amp;fiscalyear-1+BudgetsTable[[#This Row],[budg_seq_yr]])</f>
        <v>FY22</v>
      </c>
      <c r="Z57" s="80">
        <v>20777</v>
      </c>
      <c r="AA57" s="79" t="s">
        <v>477</v>
      </c>
      <c r="AB57" s="79" t="s">
        <v>582</v>
      </c>
      <c r="AC57" s="77" t="s">
        <v>94</v>
      </c>
      <c r="AD57" s="79" t="s">
        <v>1469</v>
      </c>
    </row>
    <row r="58" spans="1:30" x14ac:dyDescent="0.4">
      <c r="A58" s="10" t="s">
        <v>733</v>
      </c>
      <c r="B58" s="77" t="s">
        <v>95</v>
      </c>
      <c r="C58" s="77">
        <f>C57+(BudgetsTable[[#This Row],[lead]]&lt;&gt;K57)</f>
        <v>20</v>
      </c>
      <c r="D58" s="77">
        <f>D57*(BudgetsTable[[#This Row],[lead]]=K57)+(BudgetsTable[[#This Row],[prop_id]]&lt;&gt;A57)</f>
        <v>1</v>
      </c>
      <c r="E58" s="78">
        <v>42934.524305555555</v>
      </c>
      <c r="F58" s="79" t="s">
        <v>1430</v>
      </c>
      <c r="G58" s="79" t="s">
        <v>477</v>
      </c>
      <c r="H58" s="79" t="s">
        <v>582</v>
      </c>
      <c r="I58" s="77" t="s">
        <v>611</v>
      </c>
      <c r="J58" s="77" t="s">
        <v>1480</v>
      </c>
      <c r="K58" s="79" t="s">
        <v>733</v>
      </c>
      <c r="L58" s="7" t="str">
        <f>IF(BudgetsTable[[#This Row],[pi_last_name]]=" ","",HYPERLINK("https://www.ejacket.nsf.gov/ej/showProposal.do?Continue=Y&amp;ID="&amp;BudgetsTable[[#This Row],[prop_id]],BudgetsTable[[#This Row],[prop_id]]))</f>
        <v>1749748</v>
      </c>
      <c r="M58" s="15" t="e">
        <f>IF(BudgetsTable[[#This Row],[pi_last_name]]=" ","",HYPERLINK("https://www.ejacket.nsf.gov/ej/processReviewAnalysis.do?dispatch=add&amp;uniqId="&amp;BudgetsTable[[#This Row],[prop_id]]&amp;PO_id,"&gt;ra"))</f>
        <v>#REF!</v>
      </c>
      <c r="N58" s="79" t="s">
        <v>734</v>
      </c>
      <c r="O58" s="7" t="str">
        <f>IF(BudgetsTable[[#This Row],[pi_last_name]]=" ","",HYPERLINK("mailto:"&amp;BudgetsTable[[#This Row],[pi_email]]&amp;"&amp;subject=Your NSF Proposal:  "&amp;BudgetsTable[[#This Row],[prop_id]],BudgetsTable[[#This Row],[pi_email]]))</f>
        <v>karthe@illinois.edu</v>
      </c>
      <c r="P58" s="79" t="s">
        <v>1477</v>
      </c>
      <c r="Q58" s="79"/>
      <c r="R58" s="79"/>
      <c r="S58" s="80"/>
      <c r="T58" s="80"/>
      <c r="U58" s="80"/>
      <c r="V58" s="81"/>
      <c r="W58" s="79">
        <v>0</v>
      </c>
      <c r="X58" s="79"/>
      <c r="Y58" s="11" t="str">
        <f ca="1">IF(ISBLANK(BudgetsTable[[#This Row],[budg_seq_yr]]),"FY"&amp;fiscalyear,"FY"&amp;fiscalyear-1+BudgetsTable[[#This Row],[budg_seq_yr]])</f>
        <v>FY18</v>
      </c>
      <c r="Z58" s="80">
        <v>446040</v>
      </c>
      <c r="AA58" s="79" t="s">
        <v>477</v>
      </c>
      <c r="AB58" s="79" t="s">
        <v>582</v>
      </c>
      <c r="AC58" s="77" t="s">
        <v>94</v>
      </c>
      <c r="AD58" s="79" t="s">
        <v>1432</v>
      </c>
    </row>
    <row r="59" spans="1:30" x14ac:dyDescent="0.4">
      <c r="A59" s="10" t="s">
        <v>733</v>
      </c>
      <c r="B59" s="77" t="s">
        <v>95</v>
      </c>
      <c r="C59" s="77">
        <f>C58+(BudgetsTable[[#This Row],[lead]]&lt;&gt;K58)</f>
        <v>20</v>
      </c>
      <c r="D59" s="77">
        <f>D58*(BudgetsTable[[#This Row],[lead]]=K58)+(BudgetsTable[[#This Row],[prop_id]]&lt;&gt;A58)</f>
        <v>1</v>
      </c>
      <c r="E59" s="78">
        <v>42934.524305555555</v>
      </c>
      <c r="F59" s="79" t="s">
        <v>1430</v>
      </c>
      <c r="G59" s="79" t="s">
        <v>477</v>
      </c>
      <c r="H59" s="79" t="s">
        <v>582</v>
      </c>
      <c r="I59" s="77" t="s">
        <v>611</v>
      </c>
      <c r="J59" s="77" t="s">
        <v>13</v>
      </c>
      <c r="K59" s="79" t="s">
        <v>733</v>
      </c>
      <c r="L59" s="7" t="str">
        <f>IF(BudgetsTable[[#This Row],[pi_last_name]]=" ","",HYPERLINK("https://www.ejacket.nsf.gov/ej/showProposal.do?Continue=Y&amp;ID="&amp;BudgetsTable[[#This Row],[prop_id]],BudgetsTable[[#This Row],[prop_id]]))</f>
        <v/>
      </c>
      <c r="M59" s="15" t="str">
        <f>IF(BudgetsTable[[#This Row],[pi_last_name]]=" ","",HYPERLINK("https://www.ejacket.nsf.gov/ej/processReviewAnalysis.do?dispatch=add&amp;uniqId="&amp;BudgetsTable[[#This Row],[prop_id]]&amp;PO_id,"&gt;ra"))</f>
        <v/>
      </c>
      <c r="N59" s="79" t="s">
        <v>13</v>
      </c>
      <c r="O59" s="7" t="str">
        <f>IF(BudgetsTable[[#This Row],[pi_last_name]]=" ","",HYPERLINK("mailto:"&amp;BudgetsTable[[#This Row],[pi_email]]&amp;"&amp;subject=Your NSF Proposal:  "&amp;BudgetsTable[[#This Row],[prop_id]],BudgetsTable[[#This Row],[pi_email]]))</f>
        <v/>
      </c>
      <c r="P59" s="79" t="s">
        <v>13</v>
      </c>
      <c r="Q59" s="79">
        <v>1</v>
      </c>
      <c r="R59" s="79">
        <v>1</v>
      </c>
      <c r="S59" s="80">
        <v>0</v>
      </c>
      <c r="T59" s="80">
        <v>4000</v>
      </c>
      <c r="U59" s="80">
        <v>0</v>
      </c>
      <c r="V59" s="81">
        <v>86236</v>
      </c>
      <c r="W59" s="79">
        <v>0</v>
      </c>
      <c r="X59" s="79">
        <v>1</v>
      </c>
      <c r="Y59" s="11" t="str">
        <f ca="1">IF(ISBLANK(BudgetsTable[[#This Row],[budg_seq_yr]]),"FY"&amp;fiscalyear,"FY"&amp;fiscalyear-1+BudgetsTable[[#This Row],[budg_seq_yr]])</f>
        <v>FY18</v>
      </c>
      <c r="Z59" s="80">
        <v>86236</v>
      </c>
      <c r="AA59" s="79" t="s">
        <v>477</v>
      </c>
      <c r="AB59" s="79" t="s">
        <v>582</v>
      </c>
      <c r="AC59" s="77" t="s">
        <v>94</v>
      </c>
      <c r="AD59" s="79" t="s">
        <v>1432</v>
      </c>
    </row>
    <row r="60" spans="1:30" x14ac:dyDescent="0.4">
      <c r="A60" s="10" t="s">
        <v>733</v>
      </c>
      <c r="B60" s="77" t="s">
        <v>95</v>
      </c>
      <c r="C60" s="77">
        <f>C59+(BudgetsTable[[#This Row],[lead]]&lt;&gt;K59)</f>
        <v>20</v>
      </c>
      <c r="D60" s="77">
        <f>D59*(BudgetsTable[[#This Row],[lead]]=K59)+(BudgetsTable[[#This Row],[prop_id]]&lt;&gt;A59)</f>
        <v>1</v>
      </c>
      <c r="E60" s="78">
        <v>42934.524305555555</v>
      </c>
      <c r="F60" s="79" t="s">
        <v>1430</v>
      </c>
      <c r="G60" s="79" t="s">
        <v>477</v>
      </c>
      <c r="H60" s="79" t="s">
        <v>582</v>
      </c>
      <c r="I60" s="77" t="s">
        <v>611</v>
      </c>
      <c r="J60" s="77" t="s">
        <v>13</v>
      </c>
      <c r="K60" s="79" t="s">
        <v>733</v>
      </c>
      <c r="L60" s="7" t="str">
        <f>IF(BudgetsTable[[#This Row],[pi_last_name]]=" ","",HYPERLINK("https://www.ejacket.nsf.gov/ej/showProposal.do?Continue=Y&amp;ID="&amp;BudgetsTable[[#This Row],[prop_id]],BudgetsTable[[#This Row],[prop_id]]))</f>
        <v/>
      </c>
      <c r="M60" s="15" t="str">
        <f>IF(BudgetsTable[[#This Row],[pi_last_name]]=" ","",HYPERLINK("https://www.ejacket.nsf.gov/ej/processReviewAnalysis.do?dispatch=add&amp;uniqId="&amp;BudgetsTable[[#This Row],[prop_id]]&amp;PO_id,"&gt;ra"))</f>
        <v/>
      </c>
      <c r="N60" s="79" t="s">
        <v>13</v>
      </c>
      <c r="O60" s="7" t="str">
        <f>IF(BudgetsTable[[#This Row],[pi_last_name]]=" ","",HYPERLINK("mailto:"&amp;BudgetsTable[[#This Row],[pi_email]]&amp;"&amp;subject=Your NSF Proposal:  "&amp;BudgetsTable[[#This Row],[prop_id]],BudgetsTable[[#This Row],[pi_email]]))</f>
        <v/>
      </c>
      <c r="P60" s="79" t="s">
        <v>13</v>
      </c>
      <c r="Q60" s="79">
        <v>1</v>
      </c>
      <c r="R60" s="79">
        <v>1</v>
      </c>
      <c r="S60" s="80">
        <v>0</v>
      </c>
      <c r="T60" s="80">
        <v>4000</v>
      </c>
      <c r="U60" s="80">
        <v>0</v>
      </c>
      <c r="V60" s="81">
        <v>88371</v>
      </c>
      <c r="W60" s="79">
        <v>0</v>
      </c>
      <c r="X60" s="79">
        <v>2</v>
      </c>
      <c r="Y60" s="11" t="str">
        <f ca="1">IF(ISBLANK(BudgetsTable[[#This Row],[budg_seq_yr]]),"FY"&amp;fiscalyear,"FY"&amp;fiscalyear-1+BudgetsTable[[#This Row],[budg_seq_yr]])</f>
        <v>FY19</v>
      </c>
      <c r="Z60" s="80">
        <v>88371</v>
      </c>
      <c r="AA60" s="79" t="s">
        <v>477</v>
      </c>
      <c r="AB60" s="79" t="s">
        <v>582</v>
      </c>
      <c r="AC60" s="77" t="s">
        <v>94</v>
      </c>
      <c r="AD60" s="79" t="s">
        <v>1432</v>
      </c>
    </row>
    <row r="61" spans="1:30" x14ac:dyDescent="0.4">
      <c r="A61" s="10" t="s">
        <v>733</v>
      </c>
      <c r="B61" s="77" t="s">
        <v>95</v>
      </c>
      <c r="C61" s="77">
        <f>C60+(BudgetsTable[[#This Row],[lead]]&lt;&gt;K60)</f>
        <v>20</v>
      </c>
      <c r="D61" s="77">
        <f>D60*(BudgetsTable[[#This Row],[lead]]=K60)+(BudgetsTable[[#This Row],[prop_id]]&lt;&gt;A60)</f>
        <v>1</v>
      </c>
      <c r="E61" s="78">
        <v>42934.524305555555</v>
      </c>
      <c r="F61" s="79" t="s">
        <v>1430</v>
      </c>
      <c r="G61" s="79" t="s">
        <v>477</v>
      </c>
      <c r="H61" s="79" t="s">
        <v>582</v>
      </c>
      <c r="I61" s="77" t="s">
        <v>611</v>
      </c>
      <c r="J61" s="77" t="s">
        <v>13</v>
      </c>
      <c r="K61" s="79" t="s">
        <v>733</v>
      </c>
      <c r="L61" s="7" t="str">
        <f>IF(BudgetsTable[[#This Row],[pi_last_name]]=" ","",HYPERLINK("https://www.ejacket.nsf.gov/ej/showProposal.do?Continue=Y&amp;ID="&amp;BudgetsTable[[#This Row],[prop_id]],BudgetsTable[[#This Row],[prop_id]]))</f>
        <v/>
      </c>
      <c r="M61" s="15" t="str">
        <f>IF(BudgetsTable[[#This Row],[pi_last_name]]=" ","",HYPERLINK("https://www.ejacket.nsf.gov/ej/processReviewAnalysis.do?dispatch=add&amp;uniqId="&amp;BudgetsTable[[#This Row],[prop_id]]&amp;PO_id,"&gt;ra"))</f>
        <v/>
      </c>
      <c r="N61" s="79" t="s">
        <v>13</v>
      </c>
      <c r="O61" s="7" t="str">
        <f>IF(BudgetsTable[[#This Row],[pi_last_name]]=" ","",HYPERLINK("mailto:"&amp;BudgetsTable[[#This Row],[pi_email]]&amp;"&amp;subject=Your NSF Proposal:  "&amp;BudgetsTable[[#This Row],[prop_id]],BudgetsTable[[#This Row],[pi_email]]))</f>
        <v/>
      </c>
      <c r="P61" s="79" t="s">
        <v>13</v>
      </c>
      <c r="Q61" s="79">
        <v>1</v>
      </c>
      <c r="R61" s="79">
        <v>1</v>
      </c>
      <c r="S61" s="80">
        <v>0</v>
      </c>
      <c r="T61" s="80">
        <v>4000</v>
      </c>
      <c r="U61" s="80">
        <v>0</v>
      </c>
      <c r="V61" s="81">
        <v>88191</v>
      </c>
      <c r="W61" s="79">
        <v>0</v>
      </c>
      <c r="X61" s="79">
        <v>3</v>
      </c>
      <c r="Y61" s="11" t="str">
        <f ca="1">IF(ISBLANK(BudgetsTable[[#This Row],[budg_seq_yr]]),"FY"&amp;fiscalyear,"FY"&amp;fiscalyear-1+BudgetsTable[[#This Row],[budg_seq_yr]])</f>
        <v>FY20</v>
      </c>
      <c r="Z61" s="80">
        <v>88191</v>
      </c>
      <c r="AA61" s="79" t="s">
        <v>477</v>
      </c>
      <c r="AB61" s="79" t="s">
        <v>582</v>
      </c>
      <c r="AC61" s="77" t="s">
        <v>94</v>
      </c>
      <c r="AD61" s="79" t="s">
        <v>1432</v>
      </c>
    </row>
    <row r="62" spans="1:30" x14ac:dyDescent="0.4">
      <c r="A62" s="10" t="s">
        <v>733</v>
      </c>
      <c r="B62" s="77" t="s">
        <v>95</v>
      </c>
      <c r="C62" s="77">
        <f>C61+(BudgetsTable[[#This Row],[lead]]&lt;&gt;K61)</f>
        <v>20</v>
      </c>
      <c r="D62" s="77">
        <f>D61*(BudgetsTable[[#This Row],[lead]]=K61)+(BudgetsTable[[#This Row],[prop_id]]&lt;&gt;A61)</f>
        <v>1</v>
      </c>
      <c r="E62" s="78">
        <v>42934.524305555555</v>
      </c>
      <c r="F62" s="79" t="s">
        <v>1430</v>
      </c>
      <c r="G62" s="79" t="s">
        <v>477</v>
      </c>
      <c r="H62" s="79" t="s">
        <v>582</v>
      </c>
      <c r="I62" s="77" t="s">
        <v>611</v>
      </c>
      <c r="J62" s="77" t="s">
        <v>13</v>
      </c>
      <c r="K62" s="79" t="s">
        <v>733</v>
      </c>
      <c r="L62" s="7" t="str">
        <f>IF(BudgetsTable[[#This Row],[pi_last_name]]=" ","",HYPERLINK("https://www.ejacket.nsf.gov/ej/showProposal.do?Continue=Y&amp;ID="&amp;BudgetsTable[[#This Row],[prop_id]],BudgetsTable[[#This Row],[prop_id]]))</f>
        <v/>
      </c>
      <c r="M62" s="15" t="str">
        <f>IF(BudgetsTable[[#This Row],[pi_last_name]]=" ","",HYPERLINK("https://www.ejacket.nsf.gov/ej/processReviewAnalysis.do?dispatch=add&amp;uniqId="&amp;BudgetsTable[[#This Row],[prop_id]]&amp;PO_id,"&gt;ra"))</f>
        <v/>
      </c>
      <c r="N62" s="79" t="s">
        <v>13</v>
      </c>
      <c r="O62" s="7" t="str">
        <f>IF(BudgetsTable[[#This Row],[pi_last_name]]=" ","",HYPERLINK("mailto:"&amp;BudgetsTable[[#This Row],[pi_email]]&amp;"&amp;subject=Your NSF Proposal:  "&amp;BudgetsTable[[#This Row],[prop_id]],BudgetsTable[[#This Row],[pi_email]]))</f>
        <v/>
      </c>
      <c r="P62" s="79" t="s">
        <v>13</v>
      </c>
      <c r="Q62" s="79">
        <v>1</v>
      </c>
      <c r="R62" s="79">
        <v>1</v>
      </c>
      <c r="S62" s="80">
        <v>0</v>
      </c>
      <c r="T62" s="80">
        <v>4000</v>
      </c>
      <c r="U62" s="80">
        <v>0</v>
      </c>
      <c r="V62" s="81">
        <v>90454</v>
      </c>
      <c r="W62" s="79">
        <v>0</v>
      </c>
      <c r="X62" s="79">
        <v>4</v>
      </c>
      <c r="Y62" s="11" t="str">
        <f ca="1">IF(ISBLANK(BudgetsTable[[#This Row],[budg_seq_yr]]),"FY"&amp;fiscalyear,"FY"&amp;fiscalyear-1+BudgetsTable[[#This Row],[budg_seq_yr]])</f>
        <v>FY21</v>
      </c>
      <c r="Z62" s="80">
        <v>90454</v>
      </c>
      <c r="AA62" s="79" t="s">
        <v>477</v>
      </c>
      <c r="AB62" s="79" t="s">
        <v>582</v>
      </c>
      <c r="AC62" s="77" t="s">
        <v>94</v>
      </c>
      <c r="AD62" s="79" t="s">
        <v>1432</v>
      </c>
    </row>
    <row r="63" spans="1:30" x14ac:dyDescent="0.4">
      <c r="A63" s="10" t="s">
        <v>733</v>
      </c>
      <c r="B63" s="77" t="s">
        <v>95</v>
      </c>
      <c r="C63" s="77">
        <f>C62+(BudgetsTable[[#This Row],[lead]]&lt;&gt;K62)</f>
        <v>20</v>
      </c>
      <c r="D63" s="77">
        <f>D62*(BudgetsTable[[#This Row],[lead]]=K62)+(BudgetsTable[[#This Row],[prop_id]]&lt;&gt;A62)</f>
        <v>1</v>
      </c>
      <c r="E63" s="78">
        <v>42934.524305555555</v>
      </c>
      <c r="F63" s="79" t="s">
        <v>1430</v>
      </c>
      <c r="G63" s="79" t="s">
        <v>477</v>
      </c>
      <c r="H63" s="79" t="s">
        <v>582</v>
      </c>
      <c r="I63" s="77" t="s">
        <v>611</v>
      </c>
      <c r="J63" s="77" t="s">
        <v>13</v>
      </c>
      <c r="K63" s="79" t="s">
        <v>733</v>
      </c>
      <c r="L63" s="7" t="str">
        <f>IF(BudgetsTable[[#This Row],[pi_last_name]]=" ","",HYPERLINK("https://www.ejacket.nsf.gov/ej/showProposal.do?Continue=Y&amp;ID="&amp;BudgetsTable[[#This Row],[prop_id]],BudgetsTable[[#This Row],[prop_id]]))</f>
        <v/>
      </c>
      <c r="M63" s="15" t="str">
        <f>IF(BudgetsTable[[#This Row],[pi_last_name]]=" ","",HYPERLINK("https://www.ejacket.nsf.gov/ej/processReviewAnalysis.do?dispatch=add&amp;uniqId="&amp;BudgetsTable[[#This Row],[prop_id]]&amp;PO_id,"&gt;ra"))</f>
        <v/>
      </c>
      <c r="N63" s="79" t="s">
        <v>13</v>
      </c>
      <c r="O63" s="7" t="str">
        <f>IF(BudgetsTable[[#This Row],[pi_last_name]]=" ","",HYPERLINK("mailto:"&amp;BudgetsTable[[#This Row],[pi_email]]&amp;"&amp;subject=Your NSF Proposal:  "&amp;BudgetsTable[[#This Row],[prop_id]],BudgetsTable[[#This Row],[pi_email]]))</f>
        <v/>
      </c>
      <c r="P63" s="79" t="s">
        <v>13</v>
      </c>
      <c r="Q63" s="79">
        <v>1</v>
      </c>
      <c r="R63" s="79">
        <v>1</v>
      </c>
      <c r="S63" s="80">
        <v>0</v>
      </c>
      <c r="T63" s="80">
        <v>4000</v>
      </c>
      <c r="U63" s="80">
        <v>0</v>
      </c>
      <c r="V63" s="81">
        <v>92788</v>
      </c>
      <c r="W63" s="79">
        <v>0</v>
      </c>
      <c r="X63" s="79">
        <v>5</v>
      </c>
      <c r="Y63" s="11" t="str">
        <f ca="1">IF(ISBLANK(BudgetsTable[[#This Row],[budg_seq_yr]]),"FY"&amp;fiscalyear,"FY"&amp;fiscalyear-1+BudgetsTable[[#This Row],[budg_seq_yr]])</f>
        <v>FY22</v>
      </c>
      <c r="Z63" s="80">
        <v>92788</v>
      </c>
      <c r="AA63" s="79" t="s">
        <v>477</v>
      </c>
      <c r="AB63" s="79" t="s">
        <v>582</v>
      </c>
      <c r="AC63" s="77" t="s">
        <v>94</v>
      </c>
      <c r="AD63" s="79" t="s">
        <v>1432</v>
      </c>
    </row>
    <row r="64" spans="1:30" x14ac:dyDescent="0.4">
      <c r="A64" s="10" t="s">
        <v>742</v>
      </c>
      <c r="B64" s="77" t="s">
        <v>95</v>
      </c>
      <c r="C64" s="77">
        <f>C63+(BudgetsTable[[#This Row],[lead]]&lt;&gt;K63)</f>
        <v>21</v>
      </c>
      <c r="D64" s="77">
        <f>D63*(BudgetsTable[[#This Row],[lead]]=K63)+(BudgetsTable[[#This Row],[prop_id]]&lt;&gt;A63)</f>
        <v>1</v>
      </c>
      <c r="E64" s="78">
        <v>42934.625694444447</v>
      </c>
      <c r="F64" s="79" t="s">
        <v>1430</v>
      </c>
      <c r="G64" s="79" t="s">
        <v>477</v>
      </c>
      <c r="H64" s="79" t="s">
        <v>582</v>
      </c>
      <c r="I64" s="77" t="s">
        <v>604</v>
      </c>
      <c r="J64" s="77" t="s">
        <v>1485</v>
      </c>
      <c r="K64" s="79" t="s">
        <v>742</v>
      </c>
      <c r="L64" s="7" t="str">
        <f>IF(BudgetsTable[[#This Row],[pi_last_name]]=" ","",HYPERLINK("https://www.ejacket.nsf.gov/ej/showProposal.do?Continue=Y&amp;ID="&amp;BudgetsTable[[#This Row],[prop_id]],BudgetsTable[[#This Row],[prop_id]]))</f>
        <v>1749855</v>
      </c>
      <c r="M64" s="15" t="e">
        <f>IF(BudgetsTable[[#This Row],[pi_last_name]]=" ","",HYPERLINK("https://www.ejacket.nsf.gov/ej/processReviewAnalysis.do?dispatch=add&amp;uniqId="&amp;BudgetsTable[[#This Row],[prop_id]]&amp;PO_id,"&gt;ra"))</f>
        <v>#REF!</v>
      </c>
      <c r="N64" s="79" t="s">
        <v>743</v>
      </c>
      <c r="O64" s="7" t="str">
        <f>IF(BudgetsTable[[#This Row],[pi_last_name]]=" ","",HYPERLINK("mailto:"&amp;BudgetsTable[[#This Row],[pi_email]]&amp;"&amp;subject=Your NSF Proposal:  "&amp;BudgetsTable[[#This Row],[prop_id]],BudgetsTable[[#This Row],[pi_email]]))</f>
        <v>francesco@cs.stonybrook.edu</v>
      </c>
      <c r="P64" s="79" t="s">
        <v>1482</v>
      </c>
      <c r="Q64" s="79"/>
      <c r="R64" s="79"/>
      <c r="S64" s="80"/>
      <c r="T64" s="80"/>
      <c r="U64" s="80"/>
      <c r="V64" s="81"/>
      <c r="W64" s="79">
        <v>0</v>
      </c>
      <c r="X64" s="79"/>
      <c r="Y64" s="11" t="str">
        <f ca="1">IF(ISBLANK(BudgetsTable[[#This Row],[budg_seq_yr]]),"FY"&amp;fiscalyear,"FY"&amp;fiscalyear-1+BudgetsTable[[#This Row],[budg_seq_yr]])</f>
        <v>FY18</v>
      </c>
      <c r="Z64" s="80">
        <v>516750</v>
      </c>
      <c r="AA64" s="79" t="s">
        <v>477</v>
      </c>
      <c r="AB64" s="79" t="s">
        <v>582</v>
      </c>
      <c r="AC64" s="77" t="s">
        <v>94</v>
      </c>
      <c r="AD64" s="79" t="s">
        <v>1432</v>
      </c>
    </row>
    <row r="65" spans="1:30" x14ac:dyDescent="0.4">
      <c r="A65" s="10" t="s">
        <v>742</v>
      </c>
      <c r="B65" s="77" t="s">
        <v>95</v>
      </c>
      <c r="C65" s="77">
        <f>C64+(BudgetsTable[[#This Row],[lead]]&lt;&gt;K64)</f>
        <v>21</v>
      </c>
      <c r="D65" s="77">
        <f>D64*(BudgetsTable[[#This Row],[lead]]=K64)+(BudgetsTable[[#This Row],[prop_id]]&lt;&gt;A64)</f>
        <v>1</v>
      </c>
      <c r="E65" s="78">
        <v>42934.625694444447</v>
      </c>
      <c r="F65" s="79" t="s">
        <v>1430</v>
      </c>
      <c r="G65" s="79" t="s">
        <v>477</v>
      </c>
      <c r="H65" s="79" t="s">
        <v>582</v>
      </c>
      <c r="I65" s="77" t="s">
        <v>604</v>
      </c>
      <c r="J65" s="77" t="s">
        <v>13</v>
      </c>
      <c r="K65" s="79" t="s">
        <v>742</v>
      </c>
      <c r="L65" s="7" t="str">
        <f>IF(BudgetsTable[[#This Row],[pi_last_name]]=" ","",HYPERLINK("https://www.ejacket.nsf.gov/ej/showProposal.do?Continue=Y&amp;ID="&amp;BudgetsTable[[#This Row],[prop_id]],BudgetsTable[[#This Row],[prop_id]]))</f>
        <v/>
      </c>
      <c r="M65" s="15" t="str">
        <f>IF(BudgetsTable[[#This Row],[pi_last_name]]=" ","",HYPERLINK("https://www.ejacket.nsf.gov/ej/processReviewAnalysis.do?dispatch=add&amp;uniqId="&amp;BudgetsTable[[#This Row],[prop_id]]&amp;PO_id,"&gt;ra"))</f>
        <v/>
      </c>
      <c r="N65" s="79" t="s">
        <v>13</v>
      </c>
      <c r="O65" s="7" t="str">
        <f>IF(BudgetsTable[[#This Row],[pi_last_name]]=" ","",HYPERLINK("mailto:"&amp;BudgetsTable[[#This Row],[pi_email]]&amp;"&amp;subject=Your NSF Proposal:  "&amp;BudgetsTable[[#This Row],[prop_id]],BudgetsTable[[#This Row],[pi_email]]))</f>
        <v/>
      </c>
      <c r="P65" s="79" t="s">
        <v>13</v>
      </c>
      <c r="Q65" s="79">
        <v>1</v>
      </c>
      <c r="R65" s="79">
        <v>1</v>
      </c>
      <c r="S65" s="80">
        <v>0</v>
      </c>
      <c r="T65" s="80">
        <v>2000</v>
      </c>
      <c r="U65" s="80">
        <v>0</v>
      </c>
      <c r="V65" s="81">
        <v>93299</v>
      </c>
      <c r="W65" s="79">
        <v>0</v>
      </c>
      <c r="X65" s="79">
        <v>1</v>
      </c>
      <c r="Y65" s="11" t="str">
        <f ca="1">IF(ISBLANK(BudgetsTable[[#This Row],[budg_seq_yr]]),"FY"&amp;fiscalyear,"FY"&amp;fiscalyear-1+BudgetsTable[[#This Row],[budg_seq_yr]])</f>
        <v>FY18</v>
      </c>
      <c r="Z65" s="80">
        <v>93299</v>
      </c>
      <c r="AA65" s="79" t="s">
        <v>477</v>
      </c>
      <c r="AB65" s="79" t="s">
        <v>582</v>
      </c>
      <c r="AC65" s="77" t="s">
        <v>94</v>
      </c>
      <c r="AD65" s="79" t="s">
        <v>1432</v>
      </c>
    </row>
    <row r="66" spans="1:30" x14ac:dyDescent="0.4">
      <c r="A66" s="10" t="s">
        <v>742</v>
      </c>
      <c r="B66" s="77" t="s">
        <v>95</v>
      </c>
      <c r="C66" s="77">
        <f>C65+(BudgetsTable[[#This Row],[lead]]&lt;&gt;K65)</f>
        <v>21</v>
      </c>
      <c r="D66" s="77">
        <f>D65*(BudgetsTable[[#This Row],[lead]]=K65)+(BudgetsTable[[#This Row],[prop_id]]&lt;&gt;A65)</f>
        <v>1</v>
      </c>
      <c r="E66" s="78">
        <v>42934.625694444447</v>
      </c>
      <c r="F66" s="79" t="s">
        <v>1430</v>
      </c>
      <c r="G66" s="79" t="s">
        <v>477</v>
      </c>
      <c r="H66" s="79" t="s">
        <v>582</v>
      </c>
      <c r="I66" s="77" t="s">
        <v>604</v>
      </c>
      <c r="J66" s="77" t="s">
        <v>13</v>
      </c>
      <c r="K66" s="79" t="s">
        <v>742</v>
      </c>
      <c r="L66" s="7" t="str">
        <f>IF(BudgetsTable[[#This Row],[pi_last_name]]=" ","",HYPERLINK("https://www.ejacket.nsf.gov/ej/showProposal.do?Continue=Y&amp;ID="&amp;BudgetsTable[[#This Row],[prop_id]],BudgetsTable[[#This Row],[prop_id]]))</f>
        <v/>
      </c>
      <c r="M66" s="15" t="str">
        <f>IF(BudgetsTable[[#This Row],[pi_last_name]]=" ","",HYPERLINK("https://www.ejacket.nsf.gov/ej/processReviewAnalysis.do?dispatch=add&amp;uniqId="&amp;BudgetsTable[[#This Row],[prop_id]]&amp;PO_id,"&gt;ra"))</f>
        <v/>
      </c>
      <c r="N66" s="79" t="s">
        <v>13</v>
      </c>
      <c r="O66" s="7" t="str">
        <f>IF(BudgetsTable[[#This Row],[pi_last_name]]=" ","",HYPERLINK("mailto:"&amp;BudgetsTable[[#This Row],[pi_email]]&amp;"&amp;subject=Your NSF Proposal:  "&amp;BudgetsTable[[#This Row],[prop_id]],BudgetsTable[[#This Row],[pi_email]]))</f>
        <v/>
      </c>
      <c r="P66" s="79" t="s">
        <v>13</v>
      </c>
      <c r="Q66" s="79">
        <v>1</v>
      </c>
      <c r="R66" s="79">
        <v>1</v>
      </c>
      <c r="S66" s="80">
        <v>0</v>
      </c>
      <c r="T66" s="80">
        <v>2000</v>
      </c>
      <c r="U66" s="80">
        <v>0</v>
      </c>
      <c r="V66" s="81">
        <v>101945</v>
      </c>
      <c r="W66" s="79">
        <v>0</v>
      </c>
      <c r="X66" s="79">
        <v>2</v>
      </c>
      <c r="Y66" s="11" t="str">
        <f ca="1">IF(ISBLANK(BudgetsTable[[#This Row],[budg_seq_yr]]),"FY"&amp;fiscalyear,"FY"&amp;fiscalyear-1+BudgetsTable[[#This Row],[budg_seq_yr]])</f>
        <v>FY19</v>
      </c>
      <c r="Z66" s="80">
        <v>101945</v>
      </c>
      <c r="AA66" s="79" t="s">
        <v>477</v>
      </c>
      <c r="AB66" s="79" t="s">
        <v>582</v>
      </c>
      <c r="AC66" s="77" t="s">
        <v>94</v>
      </c>
      <c r="AD66" s="79" t="s">
        <v>1432</v>
      </c>
    </row>
    <row r="67" spans="1:30" x14ac:dyDescent="0.4">
      <c r="A67" s="10" t="s">
        <v>742</v>
      </c>
      <c r="B67" s="77" t="s">
        <v>95</v>
      </c>
      <c r="C67" s="77">
        <f>C66+(BudgetsTable[[#This Row],[lead]]&lt;&gt;K66)</f>
        <v>21</v>
      </c>
      <c r="D67" s="77">
        <f>D66*(BudgetsTable[[#This Row],[lead]]=K66)+(BudgetsTable[[#This Row],[prop_id]]&lt;&gt;A66)</f>
        <v>1</v>
      </c>
      <c r="E67" s="78">
        <v>42934.625694444447</v>
      </c>
      <c r="F67" s="79" t="s">
        <v>1430</v>
      </c>
      <c r="G67" s="79" t="s">
        <v>477</v>
      </c>
      <c r="H67" s="79" t="s">
        <v>582</v>
      </c>
      <c r="I67" s="77" t="s">
        <v>604</v>
      </c>
      <c r="J67" s="77" t="s">
        <v>13</v>
      </c>
      <c r="K67" s="79" t="s">
        <v>742</v>
      </c>
      <c r="L67" s="7" t="str">
        <f>IF(BudgetsTable[[#This Row],[pi_last_name]]=" ","",HYPERLINK("https://www.ejacket.nsf.gov/ej/showProposal.do?Continue=Y&amp;ID="&amp;BudgetsTable[[#This Row],[prop_id]],BudgetsTable[[#This Row],[prop_id]]))</f>
        <v/>
      </c>
      <c r="M67" s="15" t="str">
        <f>IF(BudgetsTable[[#This Row],[pi_last_name]]=" ","",HYPERLINK("https://www.ejacket.nsf.gov/ej/processReviewAnalysis.do?dispatch=add&amp;uniqId="&amp;BudgetsTable[[#This Row],[prop_id]]&amp;PO_id,"&gt;ra"))</f>
        <v/>
      </c>
      <c r="N67" s="79" t="s">
        <v>13</v>
      </c>
      <c r="O67" s="7" t="str">
        <f>IF(BudgetsTable[[#This Row],[pi_last_name]]=" ","",HYPERLINK("mailto:"&amp;BudgetsTable[[#This Row],[pi_email]]&amp;"&amp;subject=Your NSF Proposal:  "&amp;BudgetsTable[[#This Row],[prop_id]],BudgetsTable[[#This Row],[pi_email]]))</f>
        <v/>
      </c>
      <c r="P67" s="79" t="s">
        <v>13</v>
      </c>
      <c r="Q67" s="79">
        <v>1</v>
      </c>
      <c r="R67" s="79">
        <v>1</v>
      </c>
      <c r="S67" s="80">
        <v>0</v>
      </c>
      <c r="T67" s="80">
        <v>2000</v>
      </c>
      <c r="U67" s="80">
        <v>0</v>
      </c>
      <c r="V67" s="81">
        <v>104505</v>
      </c>
      <c r="W67" s="79">
        <v>0</v>
      </c>
      <c r="X67" s="79">
        <v>3</v>
      </c>
      <c r="Y67" s="11" t="str">
        <f ca="1">IF(ISBLANK(BudgetsTable[[#This Row],[budg_seq_yr]]),"FY"&amp;fiscalyear,"FY"&amp;fiscalyear-1+BudgetsTable[[#This Row],[budg_seq_yr]])</f>
        <v>FY20</v>
      </c>
      <c r="Z67" s="80">
        <v>104505</v>
      </c>
      <c r="AA67" s="79" t="s">
        <v>477</v>
      </c>
      <c r="AB67" s="79" t="s">
        <v>582</v>
      </c>
      <c r="AC67" s="77" t="s">
        <v>94</v>
      </c>
      <c r="AD67" s="79" t="s">
        <v>1432</v>
      </c>
    </row>
    <row r="68" spans="1:30" x14ac:dyDescent="0.4">
      <c r="A68" s="10" t="s">
        <v>742</v>
      </c>
      <c r="B68" s="77" t="s">
        <v>95</v>
      </c>
      <c r="C68" s="77">
        <f>C67+(BudgetsTable[[#This Row],[lead]]&lt;&gt;K67)</f>
        <v>21</v>
      </c>
      <c r="D68" s="77">
        <f>D67*(BudgetsTable[[#This Row],[lead]]=K67)+(BudgetsTable[[#This Row],[prop_id]]&lt;&gt;A67)</f>
        <v>1</v>
      </c>
      <c r="E68" s="78">
        <v>42934.625694444447</v>
      </c>
      <c r="F68" s="79" t="s">
        <v>1430</v>
      </c>
      <c r="G68" s="79" t="s">
        <v>477</v>
      </c>
      <c r="H68" s="79" t="s">
        <v>582</v>
      </c>
      <c r="I68" s="77" t="s">
        <v>604</v>
      </c>
      <c r="J68" s="77" t="s">
        <v>13</v>
      </c>
      <c r="K68" s="79" t="s">
        <v>742</v>
      </c>
      <c r="L68" s="7" t="str">
        <f>IF(BudgetsTable[[#This Row],[pi_last_name]]=" ","",HYPERLINK("https://www.ejacket.nsf.gov/ej/showProposal.do?Continue=Y&amp;ID="&amp;BudgetsTable[[#This Row],[prop_id]],BudgetsTable[[#This Row],[prop_id]]))</f>
        <v/>
      </c>
      <c r="M68" s="15" t="str">
        <f>IF(BudgetsTable[[#This Row],[pi_last_name]]=" ","",HYPERLINK("https://www.ejacket.nsf.gov/ej/processReviewAnalysis.do?dispatch=add&amp;uniqId="&amp;BudgetsTable[[#This Row],[prop_id]]&amp;PO_id,"&gt;ra"))</f>
        <v/>
      </c>
      <c r="N68" s="79" t="s">
        <v>13</v>
      </c>
      <c r="O68" s="7" t="str">
        <f>IF(BudgetsTable[[#This Row],[pi_last_name]]=" ","",HYPERLINK("mailto:"&amp;BudgetsTable[[#This Row],[pi_email]]&amp;"&amp;subject=Your NSF Proposal:  "&amp;BudgetsTable[[#This Row],[prop_id]],BudgetsTable[[#This Row],[pi_email]]))</f>
        <v/>
      </c>
      <c r="P68" s="79" t="s">
        <v>13</v>
      </c>
      <c r="Q68" s="79">
        <v>1</v>
      </c>
      <c r="R68" s="79">
        <v>1</v>
      </c>
      <c r="S68" s="80">
        <v>0</v>
      </c>
      <c r="T68" s="80">
        <v>2000</v>
      </c>
      <c r="U68" s="80">
        <v>0</v>
      </c>
      <c r="V68" s="81">
        <v>107143</v>
      </c>
      <c r="W68" s="79">
        <v>0</v>
      </c>
      <c r="X68" s="79">
        <v>4</v>
      </c>
      <c r="Y68" s="11" t="str">
        <f ca="1">IF(ISBLANK(BudgetsTable[[#This Row],[budg_seq_yr]]),"FY"&amp;fiscalyear,"FY"&amp;fiscalyear-1+BudgetsTable[[#This Row],[budg_seq_yr]])</f>
        <v>FY21</v>
      </c>
      <c r="Z68" s="80">
        <v>107143</v>
      </c>
      <c r="AA68" s="79" t="s">
        <v>477</v>
      </c>
      <c r="AB68" s="79" t="s">
        <v>582</v>
      </c>
      <c r="AC68" s="77" t="s">
        <v>94</v>
      </c>
      <c r="AD68" s="79" t="s">
        <v>1432</v>
      </c>
    </row>
    <row r="69" spans="1:30" x14ac:dyDescent="0.4">
      <c r="A69" s="10" t="s">
        <v>742</v>
      </c>
      <c r="B69" s="77" t="s">
        <v>95</v>
      </c>
      <c r="C69" s="77">
        <f>C68+(BudgetsTable[[#This Row],[lead]]&lt;&gt;K68)</f>
        <v>21</v>
      </c>
      <c r="D69" s="77">
        <f>D68*(BudgetsTable[[#This Row],[lead]]=K68)+(BudgetsTable[[#This Row],[prop_id]]&lt;&gt;A68)</f>
        <v>1</v>
      </c>
      <c r="E69" s="78">
        <v>42934.625694444447</v>
      </c>
      <c r="F69" s="79" t="s">
        <v>1430</v>
      </c>
      <c r="G69" s="79" t="s">
        <v>477</v>
      </c>
      <c r="H69" s="79" t="s">
        <v>582</v>
      </c>
      <c r="I69" s="77" t="s">
        <v>604</v>
      </c>
      <c r="J69" s="77" t="s">
        <v>13</v>
      </c>
      <c r="K69" s="79" t="s">
        <v>742</v>
      </c>
      <c r="L69" s="7" t="str">
        <f>IF(BudgetsTable[[#This Row],[pi_last_name]]=" ","",HYPERLINK("https://www.ejacket.nsf.gov/ej/showProposal.do?Continue=Y&amp;ID="&amp;BudgetsTable[[#This Row],[prop_id]],BudgetsTable[[#This Row],[prop_id]]))</f>
        <v/>
      </c>
      <c r="M69" s="15" t="str">
        <f>IF(BudgetsTable[[#This Row],[pi_last_name]]=" ","",HYPERLINK("https://www.ejacket.nsf.gov/ej/processReviewAnalysis.do?dispatch=add&amp;uniqId="&amp;BudgetsTable[[#This Row],[prop_id]]&amp;PO_id,"&gt;ra"))</f>
        <v/>
      </c>
      <c r="N69" s="79" t="s">
        <v>13</v>
      </c>
      <c r="O69" s="7" t="str">
        <f>IF(BudgetsTable[[#This Row],[pi_last_name]]=" ","",HYPERLINK("mailto:"&amp;BudgetsTable[[#This Row],[pi_email]]&amp;"&amp;subject=Your NSF Proposal:  "&amp;BudgetsTable[[#This Row],[prop_id]],BudgetsTable[[#This Row],[pi_email]]))</f>
        <v/>
      </c>
      <c r="P69" s="79" t="s">
        <v>13</v>
      </c>
      <c r="Q69" s="79">
        <v>1</v>
      </c>
      <c r="R69" s="79">
        <v>1</v>
      </c>
      <c r="S69" s="80">
        <v>0</v>
      </c>
      <c r="T69" s="80">
        <v>2000</v>
      </c>
      <c r="U69" s="80">
        <v>0</v>
      </c>
      <c r="V69" s="81">
        <v>109858</v>
      </c>
      <c r="W69" s="79">
        <v>0</v>
      </c>
      <c r="X69" s="79">
        <v>5</v>
      </c>
      <c r="Y69" s="11" t="str">
        <f ca="1">IF(ISBLANK(BudgetsTable[[#This Row],[budg_seq_yr]]),"FY"&amp;fiscalyear,"FY"&amp;fiscalyear-1+BudgetsTable[[#This Row],[budg_seq_yr]])</f>
        <v>FY22</v>
      </c>
      <c r="Z69" s="80">
        <v>109858</v>
      </c>
      <c r="AA69" s="79" t="s">
        <v>477</v>
      </c>
      <c r="AB69" s="79" t="s">
        <v>582</v>
      </c>
      <c r="AC69" s="77" t="s">
        <v>94</v>
      </c>
      <c r="AD69" s="79" t="s">
        <v>1432</v>
      </c>
    </row>
    <row r="70" spans="1:30" x14ac:dyDescent="0.4">
      <c r="A70" s="10" t="s">
        <v>762</v>
      </c>
      <c r="B70" s="77" t="s">
        <v>95</v>
      </c>
      <c r="C70" s="77">
        <f>C69+(BudgetsTable[[#This Row],[lead]]&lt;&gt;K69)</f>
        <v>22</v>
      </c>
      <c r="D70" s="77">
        <f>D69*(BudgetsTable[[#This Row],[lead]]=K69)+(BudgetsTable[[#This Row],[prop_id]]&lt;&gt;A69)</f>
        <v>1</v>
      </c>
      <c r="E70" s="78">
        <v>42934.695138888892</v>
      </c>
      <c r="F70" s="79" t="s">
        <v>1430</v>
      </c>
      <c r="G70" s="79" t="s">
        <v>477</v>
      </c>
      <c r="H70" s="79" t="s">
        <v>582</v>
      </c>
      <c r="I70" s="77" t="s">
        <v>604</v>
      </c>
      <c r="J70" s="77" t="s">
        <v>1490</v>
      </c>
      <c r="K70" s="79" t="s">
        <v>762</v>
      </c>
      <c r="L70" s="7" t="str">
        <f>IF(BudgetsTable[[#This Row],[pi_last_name]]=" ","",HYPERLINK("https://www.ejacket.nsf.gov/ej/showProposal.do?Continue=Y&amp;ID="&amp;BudgetsTable[[#This Row],[prop_id]],BudgetsTable[[#This Row],[prop_id]]))</f>
        <v>1749977</v>
      </c>
      <c r="M70" s="15" t="e">
        <f>IF(BudgetsTable[[#This Row],[pi_last_name]]=" ","",HYPERLINK("https://www.ejacket.nsf.gov/ej/processReviewAnalysis.do?dispatch=add&amp;uniqId="&amp;BudgetsTable[[#This Row],[prop_id]]&amp;PO_id,"&gt;ra"))</f>
        <v>#REF!</v>
      </c>
      <c r="N70" s="79" t="s">
        <v>763</v>
      </c>
      <c r="O70" s="7" t="str">
        <f>IF(BudgetsTable[[#This Row],[pi_last_name]]=" ","",HYPERLINK("mailto:"&amp;BudgetsTable[[#This Row],[pi_email]]&amp;"&amp;subject=Your NSF Proposal:  "&amp;BudgetsTable[[#This Row],[prop_id]],BudgetsTable[[#This Row],[pi_email]]))</f>
        <v>jsolomon@mit.edu</v>
      </c>
      <c r="P70" s="79" t="s">
        <v>1487</v>
      </c>
      <c r="Q70" s="79"/>
      <c r="R70" s="79"/>
      <c r="S70" s="80"/>
      <c r="T70" s="80"/>
      <c r="U70" s="80"/>
      <c r="V70" s="81"/>
      <c r="W70" s="79">
        <v>0</v>
      </c>
      <c r="X70" s="79"/>
      <c r="Y70" s="11" t="str">
        <f ca="1">IF(ISBLANK(BudgetsTable[[#This Row],[budg_seq_yr]]),"FY"&amp;fiscalyear,"FY"&amp;fiscalyear-1+BudgetsTable[[#This Row],[budg_seq_yr]])</f>
        <v>FY18</v>
      </c>
      <c r="Z70" s="80">
        <v>550000</v>
      </c>
      <c r="AA70" s="79" t="s">
        <v>477</v>
      </c>
      <c r="AB70" s="79" t="s">
        <v>582</v>
      </c>
      <c r="AC70" s="77" t="s">
        <v>94</v>
      </c>
      <c r="AD70" s="79" t="s">
        <v>1439</v>
      </c>
    </row>
    <row r="71" spans="1:30" x14ac:dyDescent="0.4">
      <c r="A71" s="10" t="s">
        <v>762</v>
      </c>
      <c r="B71" s="77" t="s">
        <v>95</v>
      </c>
      <c r="C71" s="77">
        <f>C70+(BudgetsTable[[#This Row],[lead]]&lt;&gt;K70)</f>
        <v>22</v>
      </c>
      <c r="D71" s="77">
        <f>D70*(BudgetsTable[[#This Row],[lead]]=K70)+(BudgetsTable[[#This Row],[prop_id]]&lt;&gt;A70)</f>
        <v>1</v>
      </c>
      <c r="E71" s="78">
        <v>42934.695138888892</v>
      </c>
      <c r="F71" s="79" t="s">
        <v>1430</v>
      </c>
      <c r="G71" s="79" t="s">
        <v>477</v>
      </c>
      <c r="H71" s="79" t="s">
        <v>582</v>
      </c>
      <c r="I71" s="77" t="s">
        <v>604</v>
      </c>
      <c r="J71" s="77" t="s">
        <v>13</v>
      </c>
      <c r="K71" s="79" t="s">
        <v>762</v>
      </c>
      <c r="L71" s="7" t="str">
        <f>IF(BudgetsTable[[#This Row],[pi_last_name]]=" ","",HYPERLINK("https://www.ejacket.nsf.gov/ej/showProposal.do?Continue=Y&amp;ID="&amp;BudgetsTable[[#This Row],[prop_id]],BudgetsTable[[#This Row],[prop_id]]))</f>
        <v/>
      </c>
      <c r="M71" s="15" t="str">
        <f>IF(BudgetsTable[[#This Row],[pi_last_name]]=" ","",HYPERLINK("https://www.ejacket.nsf.gov/ej/processReviewAnalysis.do?dispatch=add&amp;uniqId="&amp;BudgetsTable[[#This Row],[prop_id]]&amp;PO_id,"&gt;ra"))</f>
        <v/>
      </c>
      <c r="N71" s="79" t="s">
        <v>13</v>
      </c>
      <c r="O71" s="7" t="str">
        <f>IF(BudgetsTable[[#This Row],[pi_last_name]]=" ","",HYPERLINK("mailto:"&amp;BudgetsTable[[#This Row],[pi_email]]&amp;"&amp;subject=Your NSF Proposal:  "&amp;BudgetsTable[[#This Row],[prop_id]],BudgetsTable[[#This Row],[pi_email]]))</f>
        <v/>
      </c>
      <c r="P71" s="79" t="s">
        <v>13</v>
      </c>
      <c r="Q71" s="79">
        <v>1</v>
      </c>
      <c r="R71" s="79">
        <v>0.5</v>
      </c>
      <c r="S71" s="80">
        <v>0</v>
      </c>
      <c r="T71" s="80">
        <v>0</v>
      </c>
      <c r="U71" s="80">
        <v>0</v>
      </c>
      <c r="V71" s="81">
        <v>103625</v>
      </c>
      <c r="W71" s="79">
        <v>0</v>
      </c>
      <c r="X71" s="79">
        <v>1</v>
      </c>
      <c r="Y71" s="11" t="str">
        <f ca="1">IF(ISBLANK(BudgetsTable[[#This Row],[budg_seq_yr]]),"FY"&amp;fiscalyear,"FY"&amp;fiscalyear-1+BudgetsTable[[#This Row],[budg_seq_yr]])</f>
        <v>FY18</v>
      </c>
      <c r="Z71" s="80">
        <v>103625</v>
      </c>
      <c r="AA71" s="79" t="s">
        <v>477</v>
      </c>
      <c r="AB71" s="79" t="s">
        <v>582</v>
      </c>
      <c r="AC71" s="77" t="s">
        <v>94</v>
      </c>
      <c r="AD71" s="79" t="s">
        <v>1439</v>
      </c>
    </row>
    <row r="72" spans="1:30" x14ac:dyDescent="0.4">
      <c r="A72" s="10" t="s">
        <v>762</v>
      </c>
      <c r="B72" s="77" t="s">
        <v>95</v>
      </c>
      <c r="C72" s="77">
        <f>C71+(BudgetsTable[[#This Row],[lead]]&lt;&gt;K71)</f>
        <v>22</v>
      </c>
      <c r="D72" s="77">
        <f>D71*(BudgetsTable[[#This Row],[lead]]=K71)+(BudgetsTable[[#This Row],[prop_id]]&lt;&gt;A71)</f>
        <v>1</v>
      </c>
      <c r="E72" s="78">
        <v>42934.695138888892</v>
      </c>
      <c r="F72" s="79" t="s">
        <v>1430</v>
      </c>
      <c r="G72" s="79" t="s">
        <v>477</v>
      </c>
      <c r="H72" s="79" t="s">
        <v>582</v>
      </c>
      <c r="I72" s="77" t="s">
        <v>604</v>
      </c>
      <c r="J72" s="77" t="s">
        <v>13</v>
      </c>
      <c r="K72" s="79" t="s">
        <v>762</v>
      </c>
      <c r="L72" s="7" t="str">
        <f>IF(BudgetsTable[[#This Row],[pi_last_name]]=" ","",HYPERLINK("https://www.ejacket.nsf.gov/ej/showProposal.do?Continue=Y&amp;ID="&amp;BudgetsTable[[#This Row],[prop_id]],BudgetsTable[[#This Row],[prop_id]]))</f>
        <v/>
      </c>
      <c r="M72" s="15" t="str">
        <f>IF(BudgetsTable[[#This Row],[pi_last_name]]=" ","",HYPERLINK("https://www.ejacket.nsf.gov/ej/processReviewAnalysis.do?dispatch=add&amp;uniqId="&amp;BudgetsTable[[#This Row],[prop_id]]&amp;PO_id,"&gt;ra"))</f>
        <v/>
      </c>
      <c r="N72" s="79" t="s">
        <v>13</v>
      </c>
      <c r="O72" s="7" t="str">
        <f>IF(BudgetsTable[[#This Row],[pi_last_name]]=" ","",HYPERLINK("mailto:"&amp;BudgetsTable[[#This Row],[pi_email]]&amp;"&amp;subject=Your NSF Proposal:  "&amp;BudgetsTable[[#This Row],[prop_id]],BudgetsTable[[#This Row],[pi_email]]))</f>
        <v/>
      </c>
      <c r="P72" s="79" t="s">
        <v>13</v>
      </c>
      <c r="Q72" s="79">
        <v>1</v>
      </c>
      <c r="R72" s="79">
        <v>0.5</v>
      </c>
      <c r="S72" s="80">
        <v>0</v>
      </c>
      <c r="T72" s="80">
        <v>0</v>
      </c>
      <c r="U72" s="80">
        <v>0</v>
      </c>
      <c r="V72" s="81">
        <v>106592</v>
      </c>
      <c r="W72" s="79">
        <v>0</v>
      </c>
      <c r="X72" s="79">
        <v>2</v>
      </c>
      <c r="Y72" s="11" t="str">
        <f ca="1">IF(ISBLANK(BudgetsTable[[#This Row],[budg_seq_yr]]),"FY"&amp;fiscalyear,"FY"&amp;fiscalyear-1+BudgetsTable[[#This Row],[budg_seq_yr]])</f>
        <v>FY19</v>
      </c>
      <c r="Z72" s="80">
        <v>106592</v>
      </c>
      <c r="AA72" s="79" t="s">
        <v>477</v>
      </c>
      <c r="AB72" s="79" t="s">
        <v>582</v>
      </c>
      <c r="AC72" s="77" t="s">
        <v>94</v>
      </c>
      <c r="AD72" s="79" t="s">
        <v>1439</v>
      </c>
    </row>
    <row r="73" spans="1:30" x14ac:dyDescent="0.4">
      <c r="A73" s="10" t="s">
        <v>762</v>
      </c>
      <c r="B73" s="77" t="s">
        <v>95</v>
      </c>
      <c r="C73" s="77">
        <f>C72+(BudgetsTable[[#This Row],[lead]]&lt;&gt;K72)</f>
        <v>22</v>
      </c>
      <c r="D73" s="77">
        <f>D72*(BudgetsTable[[#This Row],[lead]]=K72)+(BudgetsTable[[#This Row],[prop_id]]&lt;&gt;A72)</f>
        <v>1</v>
      </c>
      <c r="E73" s="78">
        <v>42934.695138888892</v>
      </c>
      <c r="F73" s="79" t="s">
        <v>1430</v>
      </c>
      <c r="G73" s="79" t="s">
        <v>477</v>
      </c>
      <c r="H73" s="79" t="s">
        <v>582</v>
      </c>
      <c r="I73" s="77" t="s">
        <v>604</v>
      </c>
      <c r="J73" s="77" t="s">
        <v>13</v>
      </c>
      <c r="K73" s="79" t="s">
        <v>762</v>
      </c>
      <c r="L73" s="7" t="str">
        <f>IF(BudgetsTable[[#This Row],[pi_last_name]]=" ","",HYPERLINK("https://www.ejacket.nsf.gov/ej/showProposal.do?Continue=Y&amp;ID="&amp;BudgetsTable[[#This Row],[prop_id]],BudgetsTable[[#This Row],[prop_id]]))</f>
        <v/>
      </c>
      <c r="M73" s="15" t="str">
        <f>IF(BudgetsTable[[#This Row],[pi_last_name]]=" ","",HYPERLINK("https://www.ejacket.nsf.gov/ej/processReviewAnalysis.do?dispatch=add&amp;uniqId="&amp;BudgetsTable[[#This Row],[prop_id]]&amp;PO_id,"&gt;ra"))</f>
        <v/>
      </c>
      <c r="N73" s="79" t="s">
        <v>13</v>
      </c>
      <c r="O73" s="7" t="str">
        <f>IF(BudgetsTable[[#This Row],[pi_last_name]]=" ","",HYPERLINK("mailto:"&amp;BudgetsTable[[#This Row],[pi_email]]&amp;"&amp;subject=Your NSF Proposal:  "&amp;BudgetsTable[[#This Row],[prop_id]],BudgetsTable[[#This Row],[pi_email]]))</f>
        <v/>
      </c>
      <c r="P73" s="79" t="s">
        <v>13</v>
      </c>
      <c r="Q73" s="79">
        <v>1</v>
      </c>
      <c r="R73" s="79">
        <v>0.5</v>
      </c>
      <c r="S73" s="80">
        <v>0</v>
      </c>
      <c r="T73" s="80">
        <v>0</v>
      </c>
      <c r="U73" s="80">
        <v>0</v>
      </c>
      <c r="V73" s="81">
        <v>109530</v>
      </c>
      <c r="W73" s="79">
        <v>0</v>
      </c>
      <c r="X73" s="79">
        <v>3</v>
      </c>
      <c r="Y73" s="11" t="str">
        <f ca="1">IF(ISBLANK(BudgetsTable[[#This Row],[budg_seq_yr]]),"FY"&amp;fiscalyear,"FY"&amp;fiscalyear-1+BudgetsTable[[#This Row],[budg_seq_yr]])</f>
        <v>FY20</v>
      </c>
      <c r="Z73" s="80">
        <v>109530</v>
      </c>
      <c r="AA73" s="79" t="s">
        <v>477</v>
      </c>
      <c r="AB73" s="79" t="s">
        <v>582</v>
      </c>
      <c r="AC73" s="77" t="s">
        <v>94</v>
      </c>
      <c r="AD73" s="79" t="s">
        <v>1439</v>
      </c>
    </row>
    <row r="74" spans="1:30" x14ac:dyDescent="0.4">
      <c r="A74" s="10" t="s">
        <v>762</v>
      </c>
      <c r="B74" s="77" t="s">
        <v>95</v>
      </c>
      <c r="C74" s="77">
        <f>C73+(BudgetsTable[[#This Row],[lead]]&lt;&gt;K73)</f>
        <v>22</v>
      </c>
      <c r="D74" s="77">
        <f>D73*(BudgetsTable[[#This Row],[lead]]=K73)+(BudgetsTable[[#This Row],[prop_id]]&lt;&gt;A73)</f>
        <v>1</v>
      </c>
      <c r="E74" s="78">
        <v>42934.695138888892</v>
      </c>
      <c r="F74" s="79" t="s">
        <v>1430</v>
      </c>
      <c r="G74" s="79" t="s">
        <v>477</v>
      </c>
      <c r="H74" s="79" t="s">
        <v>582</v>
      </c>
      <c r="I74" s="77" t="s">
        <v>604</v>
      </c>
      <c r="J74" s="77" t="s">
        <v>13</v>
      </c>
      <c r="K74" s="79" t="s">
        <v>762</v>
      </c>
      <c r="L74" s="7" t="str">
        <f>IF(BudgetsTable[[#This Row],[pi_last_name]]=" ","",HYPERLINK("https://www.ejacket.nsf.gov/ej/showProposal.do?Continue=Y&amp;ID="&amp;BudgetsTable[[#This Row],[prop_id]],BudgetsTable[[#This Row],[prop_id]]))</f>
        <v/>
      </c>
      <c r="M74" s="15" t="str">
        <f>IF(BudgetsTable[[#This Row],[pi_last_name]]=" ","",HYPERLINK("https://www.ejacket.nsf.gov/ej/processReviewAnalysis.do?dispatch=add&amp;uniqId="&amp;BudgetsTable[[#This Row],[prop_id]]&amp;PO_id,"&gt;ra"))</f>
        <v/>
      </c>
      <c r="N74" s="79" t="s">
        <v>13</v>
      </c>
      <c r="O74" s="7" t="str">
        <f>IF(BudgetsTable[[#This Row],[pi_last_name]]=" ","",HYPERLINK("mailto:"&amp;BudgetsTable[[#This Row],[pi_email]]&amp;"&amp;subject=Your NSF Proposal:  "&amp;BudgetsTable[[#This Row],[prop_id]],BudgetsTable[[#This Row],[pi_email]]))</f>
        <v/>
      </c>
      <c r="P74" s="79" t="s">
        <v>13</v>
      </c>
      <c r="Q74" s="79">
        <v>1</v>
      </c>
      <c r="R74" s="79">
        <v>0.5</v>
      </c>
      <c r="S74" s="80">
        <v>0</v>
      </c>
      <c r="T74" s="80">
        <v>0</v>
      </c>
      <c r="U74" s="80">
        <v>0</v>
      </c>
      <c r="V74" s="81">
        <v>113216</v>
      </c>
      <c r="W74" s="79">
        <v>0</v>
      </c>
      <c r="X74" s="79">
        <v>4</v>
      </c>
      <c r="Y74" s="11" t="str">
        <f ca="1">IF(ISBLANK(BudgetsTable[[#This Row],[budg_seq_yr]]),"FY"&amp;fiscalyear,"FY"&amp;fiscalyear-1+BudgetsTable[[#This Row],[budg_seq_yr]])</f>
        <v>FY21</v>
      </c>
      <c r="Z74" s="80">
        <v>113216</v>
      </c>
      <c r="AA74" s="79" t="s">
        <v>477</v>
      </c>
      <c r="AB74" s="79" t="s">
        <v>582</v>
      </c>
      <c r="AC74" s="77" t="s">
        <v>94</v>
      </c>
      <c r="AD74" s="79" t="s">
        <v>1439</v>
      </c>
    </row>
    <row r="75" spans="1:30" x14ac:dyDescent="0.4">
      <c r="A75" s="10" t="s">
        <v>762</v>
      </c>
      <c r="B75" s="77" t="s">
        <v>95</v>
      </c>
      <c r="C75" s="77">
        <f>C74+(BudgetsTable[[#This Row],[lead]]&lt;&gt;K74)</f>
        <v>22</v>
      </c>
      <c r="D75" s="77">
        <f>D74*(BudgetsTable[[#This Row],[lead]]=K74)+(BudgetsTable[[#This Row],[prop_id]]&lt;&gt;A74)</f>
        <v>1</v>
      </c>
      <c r="E75" s="78">
        <v>42934.695138888892</v>
      </c>
      <c r="F75" s="79" t="s">
        <v>1430</v>
      </c>
      <c r="G75" s="79" t="s">
        <v>477</v>
      </c>
      <c r="H75" s="79" t="s">
        <v>582</v>
      </c>
      <c r="I75" s="77" t="s">
        <v>604</v>
      </c>
      <c r="J75" s="77" t="s">
        <v>13</v>
      </c>
      <c r="K75" s="79" t="s">
        <v>762</v>
      </c>
      <c r="L75" s="7" t="str">
        <f>IF(BudgetsTable[[#This Row],[pi_last_name]]=" ","",HYPERLINK("https://www.ejacket.nsf.gov/ej/showProposal.do?Continue=Y&amp;ID="&amp;BudgetsTable[[#This Row],[prop_id]],BudgetsTable[[#This Row],[prop_id]]))</f>
        <v/>
      </c>
      <c r="M75" s="15" t="str">
        <f>IF(BudgetsTable[[#This Row],[pi_last_name]]=" ","",HYPERLINK("https://www.ejacket.nsf.gov/ej/processReviewAnalysis.do?dispatch=add&amp;uniqId="&amp;BudgetsTable[[#This Row],[prop_id]]&amp;PO_id,"&gt;ra"))</f>
        <v/>
      </c>
      <c r="N75" s="79" t="s">
        <v>13</v>
      </c>
      <c r="O75" s="7" t="str">
        <f>IF(BudgetsTable[[#This Row],[pi_last_name]]=" ","",HYPERLINK("mailto:"&amp;BudgetsTable[[#This Row],[pi_email]]&amp;"&amp;subject=Your NSF Proposal:  "&amp;BudgetsTable[[#This Row],[prop_id]],BudgetsTable[[#This Row],[pi_email]]))</f>
        <v/>
      </c>
      <c r="P75" s="79" t="s">
        <v>13</v>
      </c>
      <c r="Q75" s="79">
        <v>1</v>
      </c>
      <c r="R75" s="79">
        <v>0.5</v>
      </c>
      <c r="S75" s="80">
        <v>0</v>
      </c>
      <c r="T75" s="80">
        <v>0</v>
      </c>
      <c r="U75" s="80">
        <v>0</v>
      </c>
      <c r="V75" s="81">
        <v>117037</v>
      </c>
      <c r="W75" s="79">
        <v>0</v>
      </c>
      <c r="X75" s="79">
        <v>5</v>
      </c>
      <c r="Y75" s="11" t="str">
        <f ca="1">IF(ISBLANK(BudgetsTable[[#This Row],[budg_seq_yr]]),"FY"&amp;fiscalyear,"FY"&amp;fiscalyear-1+BudgetsTable[[#This Row],[budg_seq_yr]])</f>
        <v>FY22</v>
      </c>
      <c r="Z75" s="80">
        <v>117037</v>
      </c>
      <c r="AA75" s="79" t="s">
        <v>477</v>
      </c>
      <c r="AB75" s="79" t="s">
        <v>582</v>
      </c>
      <c r="AC75" s="77" t="s">
        <v>94</v>
      </c>
      <c r="AD75" s="79" t="s">
        <v>1439</v>
      </c>
    </row>
    <row r="76" spans="1:30" x14ac:dyDescent="0.4">
      <c r="A76" s="10" t="s">
        <v>771</v>
      </c>
      <c r="B76" s="77" t="s">
        <v>95</v>
      </c>
      <c r="C76" s="77">
        <f>C75+(BudgetsTable[[#This Row],[lead]]&lt;&gt;K75)</f>
        <v>23</v>
      </c>
      <c r="D76" s="77">
        <f>D75*(BudgetsTable[[#This Row],[lead]]=K75)+(BudgetsTable[[#This Row],[prop_id]]&lt;&gt;A75)</f>
        <v>1</v>
      </c>
      <c r="E76" s="78">
        <v>42934.734722222223</v>
      </c>
      <c r="F76" s="79" t="s">
        <v>1430</v>
      </c>
      <c r="G76" s="79" t="s">
        <v>477</v>
      </c>
      <c r="H76" s="79" t="s">
        <v>582</v>
      </c>
      <c r="I76" s="77" t="s">
        <v>611</v>
      </c>
      <c r="J76" s="77" t="s">
        <v>1495</v>
      </c>
      <c r="K76" s="79" t="s">
        <v>771</v>
      </c>
      <c r="L76" s="7" t="str">
        <f>IF(BudgetsTable[[#This Row],[pi_last_name]]=" ","",HYPERLINK("https://www.ejacket.nsf.gov/ej/showProposal.do?Continue=Y&amp;ID="&amp;BudgetsTable[[#This Row],[prop_id]],BudgetsTable[[#This Row],[prop_id]]))</f>
        <v>1750032</v>
      </c>
      <c r="M76" s="15" t="e">
        <f>IF(BudgetsTable[[#This Row],[pi_last_name]]=" ","",HYPERLINK("https://www.ejacket.nsf.gov/ej/processReviewAnalysis.do?dispatch=add&amp;uniqId="&amp;BudgetsTable[[#This Row],[prop_id]]&amp;PO_id,"&gt;ra"))</f>
        <v>#REF!</v>
      </c>
      <c r="N76" s="79" t="s">
        <v>772</v>
      </c>
      <c r="O76" s="7" t="str">
        <f>IF(BudgetsTable[[#This Row],[pi_last_name]]=" ","",HYPERLINK("mailto:"&amp;BudgetsTable[[#This Row],[pi_email]]&amp;"&amp;subject=Your NSF Proposal:  "&amp;BudgetsTable[[#This Row],[prop_id]],BudgetsTable[[#This Row],[pi_email]]))</f>
        <v>jt1157@georgetown.edu</v>
      </c>
      <c r="P76" s="79" t="s">
        <v>1492</v>
      </c>
      <c r="Q76" s="79"/>
      <c r="R76" s="79"/>
      <c r="S76" s="80"/>
      <c r="T76" s="80"/>
      <c r="U76" s="80"/>
      <c r="V76" s="81"/>
      <c r="W76" s="79">
        <v>0</v>
      </c>
      <c r="X76" s="79"/>
      <c r="Y76" s="11" t="str">
        <f ca="1">IF(ISBLANK(BudgetsTable[[#This Row],[budg_seq_yr]]),"FY"&amp;fiscalyear,"FY"&amp;fiscalyear-1+BudgetsTable[[#This Row],[budg_seq_yr]])</f>
        <v>FY18</v>
      </c>
      <c r="Z76" s="80">
        <v>525636</v>
      </c>
      <c r="AA76" s="79" t="s">
        <v>477</v>
      </c>
      <c r="AB76" s="79" t="s">
        <v>582</v>
      </c>
      <c r="AC76" s="77" t="s">
        <v>94</v>
      </c>
      <c r="AD76" s="79" t="s">
        <v>1469</v>
      </c>
    </row>
    <row r="77" spans="1:30" x14ac:dyDescent="0.4">
      <c r="A77" s="10" t="s">
        <v>771</v>
      </c>
      <c r="B77" s="77" t="s">
        <v>95</v>
      </c>
      <c r="C77" s="77">
        <f>C76+(BudgetsTable[[#This Row],[lead]]&lt;&gt;K76)</f>
        <v>23</v>
      </c>
      <c r="D77" s="77">
        <f>D76*(BudgetsTable[[#This Row],[lead]]=K76)+(BudgetsTable[[#This Row],[prop_id]]&lt;&gt;A76)</f>
        <v>1</v>
      </c>
      <c r="E77" s="78">
        <v>42934.734722222223</v>
      </c>
      <c r="F77" s="79" t="s">
        <v>1430</v>
      </c>
      <c r="G77" s="79" t="s">
        <v>477</v>
      </c>
      <c r="H77" s="79" t="s">
        <v>582</v>
      </c>
      <c r="I77" s="77" t="s">
        <v>611</v>
      </c>
      <c r="J77" s="77" t="s">
        <v>13</v>
      </c>
      <c r="K77" s="79" t="s">
        <v>771</v>
      </c>
      <c r="L77" s="7" t="str">
        <f>IF(BudgetsTable[[#This Row],[pi_last_name]]=" ","",HYPERLINK("https://www.ejacket.nsf.gov/ej/showProposal.do?Continue=Y&amp;ID="&amp;BudgetsTable[[#This Row],[prop_id]],BudgetsTable[[#This Row],[prop_id]]))</f>
        <v/>
      </c>
      <c r="M77" s="15" t="str">
        <f>IF(BudgetsTable[[#This Row],[pi_last_name]]=" ","",HYPERLINK("https://www.ejacket.nsf.gov/ej/processReviewAnalysis.do?dispatch=add&amp;uniqId="&amp;BudgetsTable[[#This Row],[prop_id]]&amp;PO_id,"&gt;ra"))</f>
        <v/>
      </c>
      <c r="N77" s="79" t="s">
        <v>13</v>
      </c>
      <c r="O77" s="7" t="str">
        <f>IF(BudgetsTable[[#This Row],[pi_last_name]]=" ","",HYPERLINK("mailto:"&amp;BudgetsTable[[#This Row],[pi_email]]&amp;"&amp;subject=Your NSF Proposal:  "&amp;BudgetsTable[[#This Row],[prop_id]],BudgetsTable[[#This Row],[pi_email]]))</f>
        <v/>
      </c>
      <c r="P77" s="79" t="s">
        <v>13</v>
      </c>
      <c r="Q77" s="79">
        <v>1</v>
      </c>
      <c r="R77" s="79">
        <v>2</v>
      </c>
      <c r="S77" s="80">
        <v>0</v>
      </c>
      <c r="T77" s="80">
        <v>2500</v>
      </c>
      <c r="U77" s="80">
        <v>0</v>
      </c>
      <c r="V77" s="81">
        <v>65366</v>
      </c>
      <c r="W77" s="79">
        <v>0</v>
      </c>
      <c r="X77" s="79">
        <v>1</v>
      </c>
      <c r="Y77" s="11" t="str">
        <f ca="1">IF(ISBLANK(BudgetsTable[[#This Row],[budg_seq_yr]]),"FY"&amp;fiscalyear,"FY"&amp;fiscalyear-1+BudgetsTable[[#This Row],[budg_seq_yr]])</f>
        <v>FY18</v>
      </c>
      <c r="Z77" s="80">
        <v>65366</v>
      </c>
      <c r="AA77" s="79" t="s">
        <v>477</v>
      </c>
      <c r="AB77" s="79" t="s">
        <v>582</v>
      </c>
      <c r="AC77" s="77" t="s">
        <v>94</v>
      </c>
      <c r="AD77" s="79" t="s">
        <v>1469</v>
      </c>
    </row>
    <row r="78" spans="1:30" x14ac:dyDescent="0.4">
      <c r="A78" s="10" t="s">
        <v>771</v>
      </c>
      <c r="B78" s="77" t="s">
        <v>95</v>
      </c>
      <c r="C78" s="77">
        <f>C77+(BudgetsTable[[#This Row],[lead]]&lt;&gt;K77)</f>
        <v>23</v>
      </c>
      <c r="D78" s="77">
        <f>D77*(BudgetsTable[[#This Row],[lead]]=K77)+(BudgetsTable[[#This Row],[prop_id]]&lt;&gt;A77)</f>
        <v>1</v>
      </c>
      <c r="E78" s="78">
        <v>42934.734722222223</v>
      </c>
      <c r="F78" s="79" t="s">
        <v>1430</v>
      </c>
      <c r="G78" s="79" t="s">
        <v>477</v>
      </c>
      <c r="H78" s="79" t="s">
        <v>582</v>
      </c>
      <c r="I78" s="77" t="s">
        <v>611</v>
      </c>
      <c r="J78" s="77" t="s">
        <v>13</v>
      </c>
      <c r="K78" s="79" t="s">
        <v>771</v>
      </c>
      <c r="L78" s="7" t="str">
        <f>IF(BudgetsTable[[#This Row],[pi_last_name]]=" ","",HYPERLINK("https://www.ejacket.nsf.gov/ej/showProposal.do?Continue=Y&amp;ID="&amp;BudgetsTable[[#This Row],[prop_id]],BudgetsTable[[#This Row],[prop_id]]))</f>
        <v/>
      </c>
      <c r="M78" s="15" t="str">
        <f>IF(BudgetsTable[[#This Row],[pi_last_name]]=" ","",HYPERLINK("https://www.ejacket.nsf.gov/ej/processReviewAnalysis.do?dispatch=add&amp;uniqId="&amp;BudgetsTable[[#This Row],[prop_id]]&amp;PO_id,"&gt;ra"))</f>
        <v/>
      </c>
      <c r="N78" s="79" t="s">
        <v>13</v>
      </c>
      <c r="O78" s="7" t="str">
        <f>IF(BudgetsTable[[#This Row],[pi_last_name]]=" ","",HYPERLINK("mailto:"&amp;BudgetsTable[[#This Row],[pi_email]]&amp;"&amp;subject=Your NSF Proposal:  "&amp;BudgetsTable[[#This Row],[prop_id]],BudgetsTable[[#This Row],[pi_email]]))</f>
        <v/>
      </c>
      <c r="P78" s="79" t="s">
        <v>13</v>
      </c>
      <c r="Q78" s="79">
        <v>1</v>
      </c>
      <c r="R78" s="79">
        <v>2</v>
      </c>
      <c r="S78" s="80">
        <v>0</v>
      </c>
      <c r="T78" s="80">
        <v>2500</v>
      </c>
      <c r="U78" s="80">
        <v>0</v>
      </c>
      <c r="V78" s="81">
        <v>138114</v>
      </c>
      <c r="W78" s="79">
        <v>0</v>
      </c>
      <c r="X78" s="79">
        <v>2</v>
      </c>
      <c r="Y78" s="11" t="str">
        <f ca="1">IF(ISBLANK(BudgetsTable[[#This Row],[budg_seq_yr]]),"FY"&amp;fiscalyear,"FY"&amp;fiscalyear-1+BudgetsTable[[#This Row],[budg_seq_yr]])</f>
        <v>FY19</v>
      </c>
      <c r="Z78" s="80">
        <v>138114</v>
      </c>
      <c r="AA78" s="79" t="s">
        <v>477</v>
      </c>
      <c r="AB78" s="79" t="s">
        <v>582</v>
      </c>
      <c r="AC78" s="77" t="s">
        <v>94</v>
      </c>
      <c r="AD78" s="79" t="s">
        <v>1469</v>
      </c>
    </row>
    <row r="79" spans="1:30" x14ac:dyDescent="0.4">
      <c r="A79" s="10" t="s">
        <v>771</v>
      </c>
      <c r="B79" s="77" t="s">
        <v>95</v>
      </c>
      <c r="C79" s="77">
        <f>C78+(BudgetsTable[[#This Row],[lead]]&lt;&gt;K78)</f>
        <v>23</v>
      </c>
      <c r="D79" s="77">
        <f>D78*(BudgetsTable[[#This Row],[lead]]=K78)+(BudgetsTable[[#This Row],[prop_id]]&lt;&gt;A78)</f>
        <v>1</v>
      </c>
      <c r="E79" s="78">
        <v>42934.734722222223</v>
      </c>
      <c r="F79" s="79" t="s">
        <v>1430</v>
      </c>
      <c r="G79" s="79" t="s">
        <v>477</v>
      </c>
      <c r="H79" s="79" t="s">
        <v>582</v>
      </c>
      <c r="I79" s="77" t="s">
        <v>611</v>
      </c>
      <c r="J79" s="77" t="s">
        <v>13</v>
      </c>
      <c r="K79" s="79" t="s">
        <v>771</v>
      </c>
      <c r="L79" s="7" t="str">
        <f>IF(BudgetsTable[[#This Row],[pi_last_name]]=" ","",HYPERLINK("https://www.ejacket.nsf.gov/ej/showProposal.do?Continue=Y&amp;ID="&amp;BudgetsTable[[#This Row],[prop_id]],BudgetsTable[[#This Row],[prop_id]]))</f>
        <v/>
      </c>
      <c r="M79" s="15" t="str">
        <f>IF(BudgetsTable[[#This Row],[pi_last_name]]=" ","",HYPERLINK("https://www.ejacket.nsf.gov/ej/processReviewAnalysis.do?dispatch=add&amp;uniqId="&amp;BudgetsTable[[#This Row],[prop_id]]&amp;PO_id,"&gt;ra"))</f>
        <v/>
      </c>
      <c r="N79" s="79" t="s">
        <v>13</v>
      </c>
      <c r="O79" s="7" t="str">
        <f>IF(BudgetsTable[[#This Row],[pi_last_name]]=" ","",HYPERLINK("mailto:"&amp;BudgetsTable[[#This Row],[pi_email]]&amp;"&amp;subject=Your NSF Proposal:  "&amp;BudgetsTable[[#This Row],[prop_id]],BudgetsTable[[#This Row],[pi_email]]))</f>
        <v/>
      </c>
      <c r="P79" s="79" t="s">
        <v>13</v>
      </c>
      <c r="Q79" s="79">
        <v>1</v>
      </c>
      <c r="R79" s="79">
        <v>1</v>
      </c>
      <c r="S79" s="80">
        <v>0</v>
      </c>
      <c r="T79" s="80">
        <v>2500</v>
      </c>
      <c r="U79" s="80">
        <v>0</v>
      </c>
      <c r="V79" s="81">
        <v>110159</v>
      </c>
      <c r="W79" s="79">
        <v>0</v>
      </c>
      <c r="X79" s="79">
        <v>3</v>
      </c>
      <c r="Y79" s="11" t="str">
        <f ca="1">IF(ISBLANK(BudgetsTable[[#This Row],[budg_seq_yr]]),"FY"&amp;fiscalyear,"FY"&amp;fiscalyear-1+BudgetsTable[[#This Row],[budg_seq_yr]])</f>
        <v>FY20</v>
      </c>
      <c r="Z79" s="80">
        <v>110159</v>
      </c>
      <c r="AA79" s="79" t="s">
        <v>477</v>
      </c>
      <c r="AB79" s="79" t="s">
        <v>582</v>
      </c>
      <c r="AC79" s="77" t="s">
        <v>94</v>
      </c>
      <c r="AD79" s="79" t="s">
        <v>1469</v>
      </c>
    </row>
    <row r="80" spans="1:30" x14ac:dyDescent="0.4">
      <c r="A80" s="10" t="s">
        <v>771</v>
      </c>
      <c r="B80" s="77" t="s">
        <v>95</v>
      </c>
      <c r="C80" s="77">
        <f>C79+(BudgetsTable[[#This Row],[lead]]&lt;&gt;K79)</f>
        <v>23</v>
      </c>
      <c r="D80" s="77">
        <f>D79*(BudgetsTable[[#This Row],[lead]]=K79)+(BudgetsTable[[#This Row],[prop_id]]&lt;&gt;A79)</f>
        <v>1</v>
      </c>
      <c r="E80" s="78">
        <v>42934.734722222223</v>
      </c>
      <c r="F80" s="79" t="s">
        <v>1430</v>
      </c>
      <c r="G80" s="79" t="s">
        <v>477</v>
      </c>
      <c r="H80" s="79" t="s">
        <v>582</v>
      </c>
      <c r="I80" s="77" t="s">
        <v>611</v>
      </c>
      <c r="J80" s="77" t="s">
        <v>13</v>
      </c>
      <c r="K80" s="79" t="s">
        <v>771</v>
      </c>
      <c r="L80" s="7" t="str">
        <f>IF(BudgetsTable[[#This Row],[pi_last_name]]=" ","",HYPERLINK("https://www.ejacket.nsf.gov/ej/showProposal.do?Continue=Y&amp;ID="&amp;BudgetsTable[[#This Row],[prop_id]],BudgetsTable[[#This Row],[prop_id]]))</f>
        <v/>
      </c>
      <c r="M80" s="15" t="str">
        <f>IF(BudgetsTable[[#This Row],[pi_last_name]]=" ","",HYPERLINK("https://www.ejacket.nsf.gov/ej/processReviewAnalysis.do?dispatch=add&amp;uniqId="&amp;BudgetsTable[[#This Row],[prop_id]]&amp;PO_id,"&gt;ra"))</f>
        <v/>
      </c>
      <c r="N80" s="79" t="s">
        <v>13</v>
      </c>
      <c r="O80" s="7" t="str">
        <f>IF(BudgetsTable[[#This Row],[pi_last_name]]=" ","",HYPERLINK("mailto:"&amp;BudgetsTable[[#This Row],[pi_email]]&amp;"&amp;subject=Your NSF Proposal:  "&amp;BudgetsTable[[#This Row],[prop_id]],BudgetsTable[[#This Row],[pi_email]]))</f>
        <v/>
      </c>
      <c r="P80" s="79" t="s">
        <v>13</v>
      </c>
      <c r="Q80" s="79">
        <v>1</v>
      </c>
      <c r="R80" s="79">
        <v>1</v>
      </c>
      <c r="S80" s="80">
        <v>0</v>
      </c>
      <c r="T80" s="80">
        <v>2500</v>
      </c>
      <c r="U80" s="80">
        <v>0</v>
      </c>
      <c r="V80" s="81">
        <v>111876</v>
      </c>
      <c r="W80" s="79">
        <v>0</v>
      </c>
      <c r="X80" s="79">
        <v>4</v>
      </c>
      <c r="Y80" s="11" t="str">
        <f ca="1">IF(ISBLANK(BudgetsTable[[#This Row],[budg_seq_yr]]),"FY"&amp;fiscalyear,"FY"&amp;fiscalyear-1+BudgetsTable[[#This Row],[budg_seq_yr]])</f>
        <v>FY21</v>
      </c>
      <c r="Z80" s="80">
        <v>111876</v>
      </c>
      <c r="AA80" s="79" t="s">
        <v>477</v>
      </c>
      <c r="AB80" s="79" t="s">
        <v>582</v>
      </c>
      <c r="AC80" s="77" t="s">
        <v>94</v>
      </c>
      <c r="AD80" s="79" t="s">
        <v>1469</v>
      </c>
    </row>
    <row r="81" spans="1:30" x14ac:dyDescent="0.4">
      <c r="A81" s="10" t="s">
        <v>771</v>
      </c>
      <c r="B81" s="77" t="s">
        <v>95</v>
      </c>
      <c r="C81" s="77">
        <f>C80+(BudgetsTable[[#This Row],[lead]]&lt;&gt;K80)</f>
        <v>23</v>
      </c>
      <c r="D81" s="77">
        <f>D80*(BudgetsTable[[#This Row],[lead]]=K80)+(BudgetsTable[[#This Row],[prop_id]]&lt;&gt;A80)</f>
        <v>1</v>
      </c>
      <c r="E81" s="78">
        <v>42934.734722222223</v>
      </c>
      <c r="F81" s="79" t="s">
        <v>1430</v>
      </c>
      <c r="G81" s="79" t="s">
        <v>477</v>
      </c>
      <c r="H81" s="79" t="s">
        <v>582</v>
      </c>
      <c r="I81" s="77" t="s">
        <v>611</v>
      </c>
      <c r="J81" s="77" t="s">
        <v>13</v>
      </c>
      <c r="K81" s="79" t="s">
        <v>771</v>
      </c>
      <c r="L81" s="7" t="str">
        <f>IF(BudgetsTable[[#This Row],[pi_last_name]]=" ","",HYPERLINK("https://www.ejacket.nsf.gov/ej/showProposal.do?Continue=Y&amp;ID="&amp;BudgetsTable[[#This Row],[prop_id]],BudgetsTable[[#This Row],[prop_id]]))</f>
        <v/>
      </c>
      <c r="M81" s="15" t="str">
        <f>IF(BudgetsTable[[#This Row],[pi_last_name]]=" ","",HYPERLINK("https://www.ejacket.nsf.gov/ej/processReviewAnalysis.do?dispatch=add&amp;uniqId="&amp;BudgetsTable[[#This Row],[prop_id]]&amp;PO_id,"&gt;ra"))</f>
        <v/>
      </c>
      <c r="N81" s="79" t="s">
        <v>13</v>
      </c>
      <c r="O81" s="7" t="str">
        <f>IF(BudgetsTable[[#This Row],[pi_last_name]]=" ","",HYPERLINK("mailto:"&amp;BudgetsTable[[#This Row],[pi_email]]&amp;"&amp;subject=Your NSF Proposal:  "&amp;BudgetsTable[[#This Row],[prop_id]],BudgetsTable[[#This Row],[pi_email]]))</f>
        <v/>
      </c>
      <c r="P81" s="79" t="s">
        <v>13</v>
      </c>
      <c r="Q81" s="79">
        <v>1</v>
      </c>
      <c r="R81" s="79">
        <v>1</v>
      </c>
      <c r="S81" s="80">
        <v>0</v>
      </c>
      <c r="T81" s="80">
        <v>2500</v>
      </c>
      <c r="U81" s="80">
        <v>0</v>
      </c>
      <c r="V81" s="81">
        <v>100121</v>
      </c>
      <c r="W81" s="79">
        <v>0</v>
      </c>
      <c r="X81" s="79">
        <v>5</v>
      </c>
      <c r="Y81" s="11" t="str">
        <f ca="1">IF(ISBLANK(BudgetsTable[[#This Row],[budg_seq_yr]]),"FY"&amp;fiscalyear,"FY"&amp;fiscalyear-1+BudgetsTable[[#This Row],[budg_seq_yr]])</f>
        <v>FY22</v>
      </c>
      <c r="Z81" s="80">
        <v>100121</v>
      </c>
      <c r="AA81" s="79" t="s">
        <v>477</v>
      </c>
      <c r="AB81" s="79" t="s">
        <v>582</v>
      </c>
      <c r="AC81" s="77" t="s">
        <v>94</v>
      </c>
      <c r="AD81" s="79" t="s">
        <v>1469</v>
      </c>
    </row>
    <row r="82" spans="1:30" x14ac:dyDescent="0.4">
      <c r="A82" s="10" t="s">
        <v>782</v>
      </c>
      <c r="B82" s="77" t="s">
        <v>95</v>
      </c>
      <c r="C82" s="77">
        <f>C81+(BudgetsTable[[#This Row],[lead]]&lt;&gt;K81)</f>
        <v>24</v>
      </c>
      <c r="D82" s="77">
        <f>D81*(BudgetsTable[[#This Row],[lead]]=K81)+(BudgetsTable[[#This Row],[prop_id]]&lt;&gt;A81)</f>
        <v>1</v>
      </c>
      <c r="E82" s="78">
        <v>42934.737500000003</v>
      </c>
      <c r="F82" s="79" t="s">
        <v>1430</v>
      </c>
      <c r="G82" s="79" t="s">
        <v>477</v>
      </c>
      <c r="H82" s="79" t="s">
        <v>582</v>
      </c>
      <c r="I82" s="77" t="s">
        <v>611</v>
      </c>
      <c r="J82" s="77" t="s">
        <v>1499</v>
      </c>
      <c r="K82" s="79" t="s">
        <v>782</v>
      </c>
      <c r="L82" s="7" t="str">
        <f>IF(BudgetsTable[[#This Row],[pi_last_name]]=" ","",HYPERLINK("https://www.ejacket.nsf.gov/ej/showProposal.do?Continue=Y&amp;ID="&amp;BudgetsTable[[#This Row],[prop_id]],BudgetsTable[[#This Row],[prop_id]]))</f>
        <v>1750039</v>
      </c>
      <c r="M82" s="15" t="e">
        <f>IF(BudgetsTable[[#This Row],[pi_last_name]]=" ","",HYPERLINK("https://www.ejacket.nsf.gov/ej/processReviewAnalysis.do?dispatch=add&amp;uniqId="&amp;BudgetsTable[[#This Row],[prop_id]]&amp;PO_id,"&gt;ra"))</f>
        <v>#REF!</v>
      </c>
      <c r="N82" s="79" t="s">
        <v>783</v>
      </c>
      <c r="O82" s="7" t="str">
        <f>IF(BudgetsTable[[#This Row],[pi_last_name]]=" ","",HYPERLINK("mailto:"&amp;BudgetsTable[[#This Row],[pi_email]]&amp;"&amp;subject=Your NSF Proposal:  "&amp;BudgetsTable[[#This Row],[prop_id]],BudgetsTable[[#This Row],[pi_email]]))</f>
        <v>solomon2@illinois.edu</v>
      </c>
      <c r="P82" s="79" t="s">
        <v>1477</v>
      </c>
      <c r="Q82" s="79"/>
      <c r="R82" s="79"/>
      <c r="S82" s="80"/>
      <c r="T82" s="80"/>
      <c r="U82" s="80"/>
      <c r="V82" s="81"/>
      <c r="W82" s="79">
        <v>0</v>
      </c>
      <c r="X82" s="79"/>
      <c r="Y82" s="11" t="str">
        <f ca="1">IF(ISBLANK(BudgetsTable[[#This Row],[budg_seq_yr]]),"FY"&amp;fiscalyear,"FY"&amp;fiscalyear-1+BudgetsTable[[#This Row],[budg_seq_yr]])</f>
        <v>FY18</v>
      </c>
      <c r="Z82" s="80">
        <v>524117</v>
      </c>
      <c r="AA82" s="79" t="s">
        <v>477</v>
      </c>
      <c r="AB82" s="79" t="s">
        <v>582</v>
      </c>
      <c r="AC82" s="77" t="s">
        <v>94</v>
      </c>
      <c r="AD82" s="79" t="s">
        <v>1444</v>
      </c>
    </row>
    <row r="83" spans="1:30" x14ac:dyDescent="0.4">
      <c r="A83" s="10" t="s">
        <v>782</v>
      </c>
      <c r="B83" s="77" t="s">
        <v>95</v>
      </c>
      <c r="C83" s="77">
        <f>C82+(BudgetsTable[[#This Row],[lead]]&lt;&gt;K82)</f>
        <v>24</v>
      </c>
      <c r="D83" s="77">
        <f>D82*(BudgetsTable[[#This Row],[lead]]=K82)+(BudgetsTable[[#This Row],[prop_id]]&lt;&gt;A82)</f>
        <v>1</v>
      </c>
      <c r="E83" s="78">
        <v>42934.737500000003</v>
      </c>
      <c r="F83" s="79" t="s">
        <v>1430</v>
      </c>
      <c r="G83" s="79" t="s">
        <v>477</v>
      </c>
      <c r="H83" s="79" t="s">
        <v>582</v>
      </c>
      <c r="I83" s="77" t="s">
        <v>611</v>
      </c>
      <c r="J83" s="77" t="s">
        <v>13</v>
      </c>
      <c r="K83" s="79" t="s">
        <v>782</v>
      </c>
      <c r="L83" s="7" t="str">
        <f>IF(BudgetsTable[[#This Row],[pi_last_name]]=" ","",HYPERLINK("https://www.ejacket.nsf.gov/ej/showProposal.do?Continue=Y&amp;ID="&amp;BudgetsTable[[#This Row],[prop_id]],BudgetsTable[[#This Row],[prop_id]]))</f>
        <v/>
      </c>
      <c r="M83" s="15" t="str">
        <f>IF(BudgetsTable[[#This Row],[pi_last_name]]=" ","",HYPERLINK("https://www.ejacket.nsf.gov/ej/processReviewAnalysis.do?dispatch=add&amp;uniqId="&amp;BudgetsTable[[#This Row],[prop_id]]&amp;PO_id,"&gt;ra"))</f>
        <v/>
      </c>
      <c r="N83" s="79" t="s">
        <v>13</v>
      </c>
      <c r="O83" s="7" t="str">
        <f>IF(BudgetsTable[[#This Row],[pi_last_name]]=" ","",HYPERLINK("mailto:"&amp;BudgetsTable[[#This Row],[pi_email]]&amp;"&amp;subject=Your NSF Proposal:  "&amp;BudgetsTable[[#This Row],[prop_id]],BudgetsTable[[#This Row],[pi_email]]))</f>
        <v/>
      </c>
      <c r="P83" s="79" t="s">
        <v>13</v>
      </c>
      <c r="Q83" s="79">
        <v>1</v>
      </c>
      <c r="R83" s="79">
        <v>0.5</v>
      </c>
      <c r="S83" s="80">
        <v>0</v>
      </c>
      <c r="T83" s="80">
        <v>2250</v>
      </c>
      <c r="U83" s="80">
        <v>0</v>
      </c>
      <c r="V83" s="81">
        <v>100718</v>
      </c>
      <c r="W83" s="79">
        <v>0</v>
      </c>
      <c r="X83" s="79">
        <v>1</v>
      </c>
      <c r="Y83" s="11" t="str">
        <f ca="1">IF(ISBLANK(BudgetsTable[[#This Row],[budg_seq_yr]]),"FY"&amp;fiscalyear,"FY"&amp;fiscalyear-1+BudgetsTable[[#This Row],[budg_seq_yr]])</f>
        <v>FY18</v>
      </c>
      <c r="Z83" s="80">
        <v>100718</v>
      </c>
      <c r="AA83" s="79" t="s">
        <v>477</v>
      </c>
      <c r="AB83" s="79" t="s">
        <v>582</v>
      </c>
      <c r="AC83" s="77" t="s">
        <v>94</v>
      </c>
      <c r="AD83" s="79" t="s">
        <v>1444</v>
      </c>
    </row>
    <row r="84" spans="1:30" x14ac:dyDescent="0.4">
      <c r="A84" s="10" t="s">
        <v>782</v>
      </c>
      <c r="B84" s="77" t="s">
        <v>95</v>
      </c>
      <c r="C84" s="77">
        <f>C83+(BudgetsTable[[#This Row],[lead]]&lt;&gt;K83)</f>
        <v>24</v>
      </c>
      <c r="D84" s="77">
        <f>D83*(BudgetsTable[[#This Row],[lead]]=K83)+(BudgetsTable[[#This Row],[prop_id]]&lt;&gt;A83)</f>
        <v>1</v>
      </c>
      <c r="E84" s="78">
        <v>42934.737500000003</v>
      </c>
      <c r="F84" s="79" t="s">
        <v>1430</v>
      </c>
      <c r="G84" s="79" t="s">
        <v>477</v>
      </c>
      <c r="H84" s="79" t="s">
        <v>582</v>
      </c>
      <c r="I84" s="77" t="s">
        <v>611</v>
      </c>
      <c r="J84" s="77" t="s">
        <v>13</v>
      </c>
      <c r="K84" s="79" t="s">
        <v>782</v>
      </c>
      <c r="L84" s="7" t="str">
        <f>IF(BudgetsTable[[#This Row],[pi_last_name]]=" ","",HYPERLINK("https://www.ejacket.nsf.gov/ej/showProposal.do?Continue=Y&amp;ID="&amp;BudgetsTable[[#This Row],[prop_id]],BudgetsTable[[#This Row],[prop_id]]))</f>
        <v/>
      </c>
      <c r="M84" s="15" t="str">
        <f>IF(BudgetsTable[[#This Row],[pi_last_name]]=" ","",HYPERLINK("https://www.ejacket.nsf.gov/ej/processReviewAnalysis.do?dispatch=add&amp;uniqId="&amp;BudgetsTable[[#This Row],[prop_id]]&amp;PO_id,"&gt;ra"))</f>
        <v/>
      </c>
      <c r="N84" s="79" t="s">
        <v>13</v>
      </c>
      <c r="O84" s="7" t="str">
        <f>IF(BudgetsTable[[#This Row],[pi_last_name]]=" ","",HYPERLINK("mailto:"&amp;BudgetsTable[[#This Row],[pi_email]]&amp;"&amp;subject=Your NSF Proposal:  "&amp;BudgetsTable[[#This Row],[prop_id]],BudgetsTable[[#This Row],[pi_email]]))</f>
        <v/>
      </c>
      <c r="P84" s="79" t="s">
        <v>13</v>
      </c>
      <c r="Q84" s="79">
        <v>1</v>
      </c>
      <c r="R84" s="79">
        <v>0.5</v>
      </c>
      <c r="S84" s="80">
        <v>0</v>
      </c>
      <c r="T84" s="80">
        <v>2250</v>
      </c>
      <c r="U84" s="80">
        <v>0</v>
      </c>
      <c r="V84" s="81">
        <v>101222</v>
      </c>
      <c r="W84" s="79">
        <v>0</v>
      </c>
      <c r="X84" s="79">
        <v>2</v>
      </c>
      <c r="Y84" s="11" t="str">
        <f ca="1">IF(ISBLANK(BudgetsTable[[#This Row],[budg_seq_yr]]),"FY"&amp;fiscalyear,"FY"&amp;fiscalyear-1+BudgetsTable[[#This Row],[budg_seq_yr]])</f>
        <v>FY19</v>
      </c>
      <c r="Z84" s="80">
        <v>101222</v>
      </c>
      <c r="AA84" s="79" t="s">
        <v>477</v>
      </c>
      <c r="AB84" s="79" t="s">
        <v>582</v>
      </c>
      <c r="AC84" s="77" t="s">
        <v>94</v>
      </c>
      <c r="AD84" s="79" t="s">
        <v>1444</v>
      </c>
    </row>
    <row r="85" spans="1:30" x14ac:dyDescent="0.4">
      <c r="A85" s="10" t="s">
        <v>782</v>
      </c>
      <c r="B85" s="77" t="s">
        <v>95</v>
      </c>
      <c r="C85" s="77">
        <f>C84+(BudgetsTable[[#This Row],[lead]]&lt;&gt;K84)</f>
        <v>24</v>
      </c>
      <c r="D85" s="77">
        <f>D84*(BudgetsTable[[#This Row],[lead]]=K84)+(BudgetsTable[[#This Row],[prop_id]]&lt;&gt;A84)</f>
        <v>1</v>
      </c>
      <c r="E85" s="78">
        <v>42934.737500000003</v>
      </c>
      <c r="F85" s="79" t="s">
        <v>1430</v>
      </c>
      <c r="G85" s="79" t="s">
        <v>477</v>
      </c>
      <c r="H85" s="79" t="s">
        <v>582</v>
      </c>
      <c r="I85" s="77" t="s">
        <v>611</v>
      </c>
      <c r="J85" s="77" t="s">
        <v>13</v>
      </c>
      <c r="K85" s="79" t="s">
        <v>782</v>
      </c>
      <c r="L85" s="7" t="str">
        <f>IF(BudgetsTable[[#This Row],[pi_last_name]]=" ","",HYPERLINK("https://www.ejacket.nsf.gov/ej/showProposal.do?Continue=Y&amp;ID="&amp;BudgetsTable[[#This Row],[prop_id]],BudgetsTable[[#This Row],[prop_id]]))</f>
        <v/>
      </c>
      <c r="M85" s="15" t="str">
        <f>IF(BudgetsTable[[#This Row],[pi_last_name]]=" ","",HYPERLINK("https://www.ejacket.nsf.gov/ej/processReviewAnalysis.do?dispatch=add&amp;uniqId="&amp;BudgetsTable[[#This Row],[prop_id]]&amp;PO_id,"&gt;ra"))</f>
        <v/>
      </c>
      <c r="N85" s="79" t="s">
        <v>13</v>
      </c>
      <c r="O85" s="7" t="str">
        <f>IF(BudgetsTable[[#This Row],[pi_last_name]]=" ","",HYPERLINK("mailto:"&amp;BudgetsTable[[#This Row],[pi_email]]&amp;"&amp;subject=Your NSF Proposal:  "&amp;BudgetsTable[[#This Row],[prop_id]],BudgetsTable[[#This Row],[pi_email]]))</f>
        <v/>
      </c>
      <c r="P85" s="79" t="s">
        <v>13</v>
      </c>
      <c r="Q85" s="79">
        <v>1</v>
      </c>
      <c r="R85" s="79">
        <v>0.5</v>
      </c>
      <c r="S85" s="80">
        <v>0</v>
      </c>
      <c r="T85" s="80">
        <v>2250</v>
      </c>
      <c r="U85" s="80">
        <v>0</v>
      </c>
      <c r="V85" s="81">
        <v>104224</v>
      </c>
      <c r="W85" s="79">
        <v>0</v>
      </c>
      <c r="X85" s="79">
        <v>3</v>
      </c>
      <c r="Y85" s="11" t="str">
        <f ca="1">IF(ISBLANK(BudgetsTable[[#This Row],[budg_seq_yr]]),"FY"&amp;fiscalyear,"FY"&amp;fiscalyear-1+BudgetsTable[[#This Row],[budg_seq_yr]])</f>
        <v>FY20</v>
      </c>
      <c r="Z85" s="80">
        <v>104224</v>
      </c>
      <c r="AA85" s="79" t="s">
        <v>477</v>
      </c>
      <c r="AB85" s="79" t="s">
        <v>582</v>
      </c>
      <c r="AC85" s="77" t="s">
        <v>94</v>
      </c>
      <c r="AD85" s="79" t="s">
        <v>1444</v>
      </c>
    </row>
    <row r="86" spans="1:30" x14ac:dyDescent="0.4">
      <c r="A86" s="10" t="s">
        <v>782</v>
      </c>
      <c r="B86" s="77" t="s">
        <v>95</v>
      </c>
      <c r="C86" s="77">
        <f>C85+(BudgetsTable[[#This Row],[lead]]&lt;&gt;K85)</f>
        <v>24</v>
      </c>
      <c r="D86" s="77">
        <f>D85*(BudgetsTable[[#This Row],[lead]]=K85)+(BudgetsTable[[#This Row],[prop_id]]&lt;&gt;A85)</f>
        <v>1</v>
      </c>
      <c r="E86" s="78">
        <v>42934.737500000003</v>
      </c>
      <c r="F86" s="79" t="s">
        <v>1430</v>
      </c>
      <c r="G86" s="79" t="s">
        <v>477</v>
      </c>
      <c r="H86" s="79" t="s">
        <v>582</v>
      </c>
      <c r="I86" s="77" t="s">
        <v>611</v>
      </c>
      <c r="J86" s="77" t="s">
        <v>13</v>
      </c>
      <c r="K86" s="79" t="s">
        <v>782</v>
      </c>
      <c r="L86" s="7" t="str">
        <f>IF(BudgetsTable[[#This Row],[pi_last_name]]=" ","",HYPERLINK("https://www.ejacket.nsf.gov/ej/showProposal.do?Continue=Y&amp;ID="&amp;BudgetsTable[[#This Row],[prop_id]],BudgetsTable[[#This Row],[prop_id]]))</f>
        <v/>
      </c>
      <c r="M86" s="15" t="str">
        <f>IF(BudgetsTable[[#This Row],[pi_last_name]]=" ","",HYPERLINK("https://www.ejacket.nsf.gov/ej/processReviewAnalysis.do?dispatch=add&amp;uniqId="&amp;BudgetsTable[[#This Row],[prop_id]]&amp;PO_id,"&gt;ra"))</f>
        <v/>
      </c>
      <c r="N86" s="79" t="s">
        <v>13</v>
      </c>
      <c r="O86" s="7" t="str">
        <f>IF(BudgetsTable[[#This Row],[pi_last_name]]=" ","",HYPERLINK("mailto:"&amp;BudgetsTable[[#This Row],[pi_email]]&amp;"&amp;subject=Your NSF Proposal:  "&amp;BudgetsTable[[#This Row],[prop_id]],BudgetsTable[[#This Row],[pi_email]]))</f>
        <v/>
      </c>
      <c r="P86" s="79" t="s">
        <v>13</v>
      </c>
      <c r="Q86" s="79">
        <v>1</v>
      </c>
      <c r="R86" s="79">
        <v>0.5</v>
      </c>
      <c r="S86" s="80">
        <v>0</v>
      </c>
      <c r="T86" s="80">
        <v>2250</v>
      </c>
      <c r="U86" s="80">
        <v>0</v>
      </c>
      <c r="V86" s="81">
        <v>107350</v>
      </c>
      <c r="W86" s="79">
        <v>0</v>
      </c>
      <c r="X86" s="79">
        <v>4</v>
      </c>
      <c r="Y86" s="11" t="str">
        <f ca="1">IF(ISBLANK(BudgetsTable[[#This Row],[budg_seq_yr]]),"FY"&amp;fiscalyear,"FY"&amp;fiscalyear-1+BudgetsTable[[#This Row],[budg_seq_yr]])</f>
        <v>FY21</v>
      </c>
      <c r="Z86" s="80">
        <v>107350</v>
      </c>
      <c r="AA86" s="79" t="s">
        <v>477</v>
      </c>
      <c r="AB86" s="79" t="s">
        <v>582</v>
      </c>
      <c r="AC86" s="77" t="s">
        <v>94</v>
      </c>
      <c r="AD86" s="79" t="s">
        <v>1444</v>
      </c>
    </row>
    <row r="87" spans="1:30" x14ac:dyDescent="0.4">
      <c r="A87" s="10" t="s">
        <v>782</v>
      </c>
      <c r="B87" s="77" t="s">
        <v>95</v>
      </c>
      <c r="C87" s="77">
        <f>C86+(BudgetsTable[[#This Row],[lead]]&lt;&gt;K86)</f>
        <v>24</v>
      </c>
      <c r="D87" s="77">
        <f>D86*(BudgetsTable[[#This Row],[lead]]=K86)+(BudgetsTable[[#This Row],[prop_id]]&lt;&gt;A86)</f>
        <v>1</v>
      </c>
      <c r="E87" s="78">
        <v>42934.737500000003</v>
      </c>
      <c r="F87" s="79" t="s">
        <v>1430</v>
      </c>
      <c r="G87" s="79" t="s">
        <v>477</v>
      </c>
      <c r="H87" s="79" t="s">
        <v>582</v>
      </c>
      <c r="I87" s="77" t="s">
        <v>611</v>
      </c>
      <c r="J87" s="77" t="s">
        <v>13</v>
      </c>
      <c r="K87" s="79" t="s">
        <v>782</v>
      </c>
      <c r="L87" s="7" t="str">
        <f>IF(BudgetsTable[[#This Row],[pi_last_name]]=" ","",HYPERLINK("https://www.ejacket.nsf.gov/ej/showProposal.do?Continue=Y&amp;ID="&amp;BudgetsTable[[#This Row],[prop_id]],BudgetsTable[[#This Row],[prop_id]]))</f>
        <v/>
      </c>
      <c r="M87" s="15" t="str">
        <f>IF(BudgetsTable[[#This Row],[pi_last_name]]=" ","",HYPERLINK("https://www.ejacket.nsf.gov/ej/processReviewAnalysis.do?dispatch=add&amp;uniqId="&amp;BudgetsTable[[#This Row],[prop_id]]&amp;PO_id,"&gt;ra"))</f>
        <v/>
      </c>
      <c r="N87" s="79" t="s">
        <v>13</v>
      </c>
      <c r="O87" s="7" t="str">
        <f>IF(BudgetsTable[[#This Row],[pi_last_name]]=" ","",HYPERLINK("mailto:"&amp;BudgetsTable[[#This Row],[pi_email]]&amp;"&amp;subject=Your NSF Proposal:  "&amp;BudgetsTable[[#This Row],[prop_id]],BudgetsTable[[#This Row],[pi_email]]))</f>
        <v/>
      </c>
      <c r="P87" s="79" t="s">
        <v>13</v>
      </c>
      <c r="Q87" s="79">
        <v>1</v>
      </c>
      <c r="R87" s="79">
        <v>0.5</v>
      </c>
      <c r="S87" s="80">
        <v>0</v>
      </c>
      <c r="T87" s="80">
        <v>2250</v>
      </c>
      <c r="U87" s="80">
        <v>0</v>
      </c>
      <c r="V87" s="81">
        <v>110603</v>
      </c>
      <c r="W87" s="79">
        <v>0</v>
      </c>
      <c r="X87" s="79">
        <v>5</v>
      </c>
      <c r="Y87" s="11" t="str">
        <f ca="1">IF(ISBLANK(BudgetsTable[[#This Row],[budg_seq_yr]]),"FY"&amp;fiscalyear,"FY"&amp;fiscalyear-1+BudgetsTable[[#This Row],[budg_seq_yr]])</f>
        <v>FY22</v>
      </c>
      <c r="Z87" s="80">
        <v>110603</v>
      </c>
      <c r="AA87" s="79" t="s">
        <v>477</v>
      </c>
      <c r="AB87" s="79" t="s">
        <v>582</v>
      </c>
      <c r="AC87" s="77" t="s">
        <v>94</v>
      </c>
      <c r="AD87" s="79" t="s">
        <v>1444</v>
      </c>
    </row>
    <row r="88" spans="1:30" x14ac:dyDescent="0.4">
      <c r="A88" s="10" t="s">
        <v>791</v>
      </c>
      <c r="B88" s="77" t="s">
        <v>95</v>
      </c>
      <c r="C88" s="77">
        <f>C87+(BudgetsTable[[#This Row],[lead]]&lt;&gt;K87)</f>
        <v>25</v>
      </c>
      <c r="D88" s="77">
        <f>D87*(BudgetsTable[[#This Row],[lead]]=K87)+(BudgetsTable[[#This Row],[prop_id]]&lt;&gt;A87)</f>
        <v>1</v>
      </c>
      <c r="E88" s="78">
        <v>42934.806944444441</v>
      </c>
      <c r="F88" s="79" t="s">
        <v>1430</v>
      </c>
      <c r="G88" s="79" t="s">
        <v>477</v>
      </c>
      <c r="H88" s="79" t="s">
        <v>582</v>
      </c>
      <c r="I88" s="77" t="s">
        <v>654</v>
      </c>
      <c r="J88" s="77" t="s">
        <v>1504</v>
      </c>
      <c r="K88" s="79" t="s">
        <v>791</v>
      </c>
      <c r="L88" s="7" t="str">
        <f>IF(BudgetsTable[[#This Row],[pi_last_name]]=" ","",HYPERLINK("https://www.ejacket.nsf.gov/ej/showProposal.do?Continue=Y&amp;ID="&amp;BudgetsTable[[#This Row],[prop_id]],BudgetsTable[[#This Row],[prop_id]]))</f>
        <v>1750075</v>
      </c>
      <c r="M88" s="15" t="e">
        <f>IF(BudgetsTable[[#This Row],[pi_last_name]]=" ","",HYPERLINK("https://www.ejacket.nsf.gov/ej/processReviewAnalysis.do?dispatch=add&amp;uniqId="&amp;BudgetsTable[[#This Row],[prop_id]]&amp;PO_id,"&gt;ra"))</f>
        <v>#REF!</v>
      </c>
      <c r="N88" s="79" t="s">
        <v>792</v>
      </c>
      <c r="O88" s="7" t="str">
        <f>IF(BudgetsTable[[#This Row],[pi_last_name]]=" ","",HYPERLINK("mailto:"&amp;BudgetsTable[[#This Row],[pi_email]]&amp;"&amp;subject=Your NSF Proposal:  "&amp;BudgetsTable[[#This Row],[prop_id]],BudgetsTable[[#This Row],[pi_email]]))</f>
        <v>razaviya@usc.edu</v>
      </c>
      <c r="P88" s="79" t="s">
        <v>1501</v>
      </c>
      <c r="Q88" s="79"/>
      <c r="R88" s="79"/>
      <c r="S88" s="80"/>
      <c r="T88" s="80"/>
      <c r="U88" s="80"/>
      <c r="V88" s="81"/>
      <c r="W88" s="79">
        <v>0</v>
      </c>
      <c r="X88" s="79"/>
      <c r="Y88" s="11" t="str">
        <f ca="1">IF(ISBLANK(BudgetsTable[[#This Row],[budg_seq_yr]]),"FY"&amp;fiscalyear,"FY"&amp;fiscalyear-1+BudgetsTable[[#This Row],[budg_seq_yr]])</f>
        <v>FY18</v>
      </c>
      <c r="Z88" s="80">
        <v>539673</v>
      </c>
      <c r="AA88" s="79" t="s">
        <v>477</v>
      </c>
      <c r="AB88" s="79" t="s">
        <v>582</v>
      </c>
      <c r="AC88" s="77" t="s">
        <v>94</v>
      </c>
      <c r="AD88" s="79" t="s">
        <v>1432</v>
      </c>
    </row>
    <row r="89" spans="1:30" x14ac:dyDescent="0.4">
      <c r="A89" s="10" t="s">
        <v>791</v>
      </c>
      <c r="B89" s="77" t="s">
        <v>95</v>
      </c>
      <c r="C89" s="77">
        <f>C88+(BudgetsTable[[#This Row],[lead]]&lt;&gt;K88)</f>
        <v>25</v>
      </c>
      <c r="D89" s="77">
        <f>D88*(BudgetsTable[[#This Row],[lead]]=K88)+(BudgetsTable[[#This Row],[prop_id]]&lt;&gt;A88)</f>
        <v>1</v>
      </c>
      <c r="E89" s="78">
        <v>42934.806944444441</v>
      </c>
      <c r="F89" s="79" t="s">
        <v>1430</v>
      </c>
      <c r="G89" s="79" t="s">
        <v>477</v>
      </c>
      <c r="H89" s="79" t="s">
        <v>582</v>
      </c>
      <c r="I89" s="77" t="s">
        <v>654</v>
      </c>
      <c r="J89" s="77" t="s">
        <v>13</v>
      </c>
      <c r="K89" s="79" t="s">
        <v>791</v>
      </c>
      <c r="L89" s="7" t="str">
        <f>IF(BudgetsTable[[#This Row],[pi_last_name]]=" ","",HYPERLINK("https://www.ejacket.nsf.gov/ej/showProposal.do?Continue=Y&amp;ID="&amp;BudgetsTable[[#This Row],[prop_id]],BudgetsTable[[#This Row],[prop_id]]))</f>
        <v/>
      </c>
      <c r="M89" s="15" t="str">
        <f>IF(BudgetsTable[[#This Row],[pi_last_name]]=" ","",HYPERLINK("https://www.ejacket.nsf.gov/ej/processReviewAnalysis.do?dispatch=add&amp;uniqId="&amp;BudgetsTable[[#This Row],[prop_id]]&amp;PO_id,"&gt;ra"))</f>
        <v/>
      </c>
      <c r="N89" s="79" t="s">
        <v>13</v>
      </c>
      <c r="O89" s="7" t="str">
        <f>IF(BudgetsTable[[#This Row],[pi_last_name]]=" ","",HYPERLINK("mailto:"&amp;BudgetsTable[[#This Row],[pi_email]]&amp;"&amp;subject=Your NSF Proposal:  "&amp;BudgetsTable[[#This Row],[prop_id]],BudgetsTable[[#This Row],[pi_email]]))</f>
        <v/>
      </c>
      <c r="P89" s="79" t="s">
        <v>13</v>
      </c>
      <c r="Q89" s="79">
        <v>1</v>
      </c>
      <c r="R89" s="79">
        <v>1</v>
      </c>
      <c r="S89" s="80">
        <v>0</v>
      </c>
      <c r="T89" s="80">
        <v>0</v>
      </c>
      <c r="U89" s="80">
        <v>6500</v>
      </c>
      <c r="V89" s="81">
        <v>104372</v>
      </c>
      <c r="W89" s="79">
        <v>0</v>
      </c>
      <c r="X89" s="79">
        <v>1</v>
      </c>
      <c r="Y89" s="11" t="str">
        <f ca="1">IF(ISBLANK(BudgetsTable[[#This Row],[budg_seq_yr]]),"FY"&amp;fiscalyear,"FY"&amp;fiscalyear-1+BudgetsTable[[#This Row],[budg_seq_yr]])</f>
        <v>FY18</v>
      </c>
      <c r="Z89" s="80">
        <v>104372</v>
      </c>
      <c r="AA89" s="79" t="s">
        <v>477</v>
      </c>
      <c r="AB89" s="79" t="s">
        <v>582</v>
      </c>
      <c r="AC89" s="77" t="s">
        <v>94</v>
      </c>
      <c r="AD89" s="79" t="s">
        <v>1432</v>
      </c>
    </row>
    <row r="90" spans="1:30" x14ac:dyDescent="0.4">
      <c r="A90" s="10" t="s">
        <v>791</v>
      </c>
      <c r="B90" s="77" t="s">
        <v>95</v>
      </c>
      <c r="C90" s="77">
        <f>C89+(BudgetsTable[[#This Row],[lead]]&lt;&gt;K89)</f>
        <v>25</v>
      </c>
      <c r="D90" s="77">
        <f>D89*(BudgetsTable[[#This Row],[lead]]=K89)+(BudgetsTable[[#This Row],[prop_id]]&lt;&gt;A89)</f>
        <v>1</v>
      </c>
      <c r="E90" s="78">
        <v>42934.806944444441</v>
      </c>
      <c r="F90" s="79" t="s">
        <v>1430</v>
      </c>
      <c r="G90" s="79" t="s">
        <v>477</v>
      </c>
      <c r="H90" s="79" t="s">
        <v>582</v>
      </c>
      <c r="I90" s="77" t="s">
        <v>654</v>
      </c>
      <c r="J90" s="77" t="s">
        <v>13</v>
      </c>
      <c r="K90" s="79" t="s">
        <v>791</v>
      </c>
      <c r="L90" s="7" t="str">
        <f>IF(BudgetsTable[[#This Row],[pi_last_name]]=" ","",HYPERLINK("https://www.ejacket.nsf.gov/ej/showProposal.do?Continue=Y&amp;ID="&amp;BudgetsTable[[#This Row],[prop_id]],BudgetsTable[[#This Row],[prop_id]]))</f>
        <v/>
      </c>
      <c r="M90" s="15" t="str">
        <f>IF(BudgetsTable[[#This Row],[pi_last_name]]=" ","",HYPERLINK("https://www.ejacket.nsf.gov/ej/processReviewAnalysis.do?dispatch=add&amp;uniqId="&amp;BudgetsTable[[#This Row],[prop_id]]&amp;PO_id,"&gt;ra"))</f>
        <v/>
      </c>
      <c r="N90" s="79" t="s">
        <v>13</v>
      </c>
      <c r="O90" s="7" t="str">
        <f>IF(BudgetsTable[[#This Row],[pi_last_name]]=" ","",HYPERLINK("mailto:"&amp;BudgetsTable[[#This Row],[pi_email]]&amp;"&amp;subject=Your NSF Proposal:  "&amp;BudgetsTable[[#This Row],[prop_id]],BudgetsTable[[#This Row],[pi_email]]))</f>
        <v/>
      </c>
      <c r="P90" s="79" t="s">
        <v>13</v>
      </c>
      <c r="Q90" s="79">
        <v>1</v>
      </c>
      <c r="R90" s="79">
        <v>1</v>
      </c>
      <c r="S90" s="80">
        <v>0</v>
      </c>
      <c r="T90" s="80">
        <v>0</v>
      </c>
      <c r="U90" s="80">
        <v>0</v>
      </c>
      <c r="V90" s="81">
        <v>101457</v>
      </c>
      <c r="W90" s="79">
        <v>0</v>
      </c>
      <c r="X90" s="79">
        <v>2</v>
      </c>
      <c r="Y90" s="11" t="str">
        <f ca="1">IF(ISBLANK(BudgetsTable[[#This Row],[budg_seq_yr]]),"FY"&amp;fiscalyear,"FY"&amp;fiscalyear-1+BudgetsTable[[#This Row],[budg_seq_yr]])</f>
        <v>FY19</v>
      </c>
      <c r="Z90" s="80">
        <v>101457</v>
      </c>
      <c r="AA90" s="79" t="s">
        <v>477</v>
      </c>
      <c r="AB90" s="79" t="s">
        <v>582</v>
      </c>
      <c r="AC90" s="77" t="s">
        <v>94</v>
      </c>
      <c r="AD90" s="79" t="s">
        <v>1432</v>
      </c>
    </row>
    <row r="91" spans="1:30" x14ac:dyDescent="0.4">
      <c r="A91" s="10" t="s">
        <v>791</v>
      </c>
      <c r="B91" s="77" t="s">
        <v>95</v>
      </c>
      <c r="C91" s="77">
        <f>C90+(BudgetsTable[[#This Row],[lead]]&lt;&gt;K90)</f>
        <v>25</v>
      </c>
      <c r="D91" s="77">
        <f>D90*(BudgetsTable[[#This Row],[lead]]=K90)+(BudgetsTable[[#This Row],[prop_id]]&lt;&gt;A90)</f>
        <v>1</v>
      </c>
      <c r="E91" s="78">
        <v>42934.806944444441</v>
      </c>
      <c r="F91" s="79" t="s">
        <v>1430</v>
      </c>
      <c r="G91" s="79" t="s">
        <v>477</v>
      </c>
      <c r="H91" s="79" t="s">
        <v>582</v>
      </c>
      <c r="I91" s="77" t="s">
        <v>654</v>
      </c>
      <c r="J91" s="77" t="s">
        <v>13</v>
      </c>
      <c r="K91" s="79" t="s">
        <v>791</v>
      </c>
      <c r="L91" s="7" t="str">
        <f>IF(BudgetsTable[[#This Row],[pi_last_name]]=" ","",HYPERLINK("https://www.ejacket.nsf.gov/ej/showProposal.do?Continue=Y&amp;ID="&amp;BudgetsTable[[#This Row],[prop_id]],BudgetsTable[[#This Row],[prop_id]]))</f>
        <v/>
      </c>
      <c r="M91" s="15" t="str">
        <f>IF(BudgetsTable[[#This Row],[pi_last_name]]=" ","",HYPERLINK("https://www.ejacket.nsf.gov/ej/processReviewAnalysis.do?dispatch=add&amp;uniqId="&amp;BudgetsTable[[#This Row],[prop_id]]&amp;PO_id,"&gt;ra"))</f>
        <v/>
      </c>
      <c r="N91" s="79" t="s">
        <v>13</v>
      </c>
      <c r="O91" s="7" t="str">
        <f>IF(BudgetsTable[[#This Row],[pi_last_name]]=" ","",HYPERLINK("mailto:"&amp;BudgetsTable[[#This Row],[pi_email]]&amp;"&amp;subject=Your NSF Proposal:  "&amp;BudgetsTable[[#This Row],[prop_id]],BudgetsTable[[#This Row],[pi_email]]))</f>
        <v/>
      </c>
      <c r="P91" s="79" t="s">
        <v>13</v>
      </c>
      <c r="Q91" s="79">
        <v>1</v>
      </c>
      <c r="R91" s="79">
        <v>1</v>
      </c>
      <c r="S91" s="80">
        <v>0</v>
      </c>
      <c r="T91" s="80">
        <v>0</v>
      </c>
      <c r="U91" s="80">
        <v>6500</v>
      </c>
      <c r="V91" s="81">
        <v>111685</v>
      </c>
      <c r="W91" s="79">
        <v>0</v>
      </c>
      <c r="X91" s="79">
        <v>3</v>
      </c>
      <c r="Y91" s="11" t="str">
        <f ca="1">IF(ISBLANK(BudgetsTable[[#This Row],[budg_seq_yr]]),"FY"&amp;fiscalyear,"FY"&amp;fiscalyear-1+BudgetsTable[[#This Row],[budg_seq_yr]])</f>
        <v>FY20</v>
      </c>
      <c r="Z91" s="80">
        <v>111685</v>
      </c>
      <c r="AA91" s="79" t="s">
        <v>477</v>
      </c>
      <c r="AB91" s="79" t="s">
        <v>582</v>
      </c>
      <c r="AC91" s="77" t="s">
        <v>94</v>
      </c>
      <c r="AD91" s="79" t="s">
        <v>1432</v>
      </c>
    </row>
    <row r="92" spans="1:30" x14ac:dyDescent="0.4">
      <c r="A92" s="10" t="s">
        <v>791</v>
      </c>
      <c r="B92" s="77" t="s">
        <v>95</v>
      </c>
      <c r="C92" s="77">
        <f>C91+(BudgetsTable[[#This Row],[lead]]&lt;&gt;K91)</f>
        <v>25</v>
      </c>
      <c r="D92" s="77">
        <f>D91*(BudgetsTable[[#This Row],[lead]]=K91)+(BudgetsTable[[#This Row],[prop_id]]&lt;&gt;A91)</f>
        <v>1</v>
      </c>
      <c r="E92" s="78">
        <v>42934.806944444441</v>
      </c>
      <c r="F92" s="79" t="s">
        <v>1430</v>
      </c>
      <c r="G92" s="79" t="s">
        <v>477</v>
      </c>
      <c r="H92" s="79" t="s">
        <v>582</v>
      </c>
      <c r="I92" s="77" t="s">
        <v>654</v>
      </c>
      <c r="J92" s="77" t="s">
        <v>13</v>
      </c>
      <c r="K92" s="79" t="s">
        <v>791</v>
      </c>
      <c r="L92" s="7" t="str">
        <f>IF(BudgetsTable[[#This Row],[pi_last_name]]=" ","",HYPERLINK("https://www.ejacket.nsf.gov/ej/showProposal.do?Continue=Y&amp;ID="&amp;BudgetsTable[[#This Row],[prop_id]],BudgetsTable[[#This Row],[prop_id]]))</f>
        <v/>
      </c>
      <c r="M92" s="15" t="str">
        <f>IF(BudgetsTable[[#This Row],[pi_last_name]]=" ","",HYPERLINK("https://www.ejacket.nsf.gov/ej/processReviewAnalysis.do?dispatch=add&amp;uniqId="&amp;BudgetsTable[[#This Row],[prop_id]]&amp;PO_id,"&gt;ra"))</f>
        <v/>
      </c>
      <c r="N92" s="79" t="s">
        <v>13</v>
      </c>
      <c r="O92" s="7" t="str">
        <f>IF(BudgetsTable[[#This Row],[pi_last_name]]=" ","",HYPERLINK("mailto:"&amp;BudgetsTable[[#This Row],[pi_email]]&amp;"&amp;subject=Your NSF Proposal:  "&amp;BudgetsTable[[#This Row],[prop_id]],BudgetsTable[[#This Row],[pi_email]]))</f>
        <v/>
      </c>
      <c r="P92" s="79" t="s">
        <v>13</v>
      </c>
      <c r="Q92" s="79">
        <v>1</v>
      </c>
      <c r="R92" s="79">
        <v>1</v>
      </c>
      <c r="S92" s="80">
        <v>0</v>
      </c>
      <c r="T92" s="80">
        <v>0</v>
      </c>
      <c r="U92" s="80">
        <v>0</v>
      </c>
      <c r="V92" s="81">
        <v>109063</v>
      </c>
      <c r="W92" s="79">
        <v>0</v>
      </c>
      <c r="X92" s="79">
        <v>4</v>
      </c>
      <c r="Y92" s="11" t="str">
        <f ca="1">IF(ISBLANK(BudgetsTable[[#This Row],[budg_seq_yr]]),"FY"&amp;fiscalyear,"FY"&amp;fiscalyear-1+BudgetsTable[[#This Row],[budg_seq_yr]])</f>
        <v>FY21</v>
      </c>
      <c r="Z92" s="80">
        <v>109063</v>
      </c>
      <c r="AA92" s="79" t="s">
        <v>477</v>
      </c>
      <c r="AB92" s="79" t="s">
        <v>582</v>
      </c>
      <c r="AC92" s="77" t="s">
        <v>94</v>
      </c>
      <c r="AD92" s="79" t="s">
        <v>1432</v>
      </c>
    </row>
    <row r="93" spans="1:30" x14ac:dyDescent="0.4">
      <c r="A93" s="10" t="s">
        <v>791</v>
      </c>
      <c r="B93" s="77" t="s">
        <v>95</v>
      </c>
      <c r="C93" s="77">
        <f>C92+(BudgetsTable[[#This Row],[lead]]&lt;&gt;K92)</f>
        <v>25</v>
      </c>
      <c r="D93" s="77">
        <f>D92*(BudgetsTable[[#This Row],[lead]]=K92)+(BudgetsTable[[#This Row],[prop_id]]&lt;&gt;A92)</f>
        <v>1</v>
      </c>
      <c r="E93" s="78">
        <v>42934.806944444441</v>
      </c>
      <c r="F93" s="79" t="s">
        <v>1430</v>
      </c>
      <c r="G93" s="79" t="s">
        <v>477</v>
      </c>
      <c r="H93" s="79" t="s">
        <v>582</v>
      </c>
      <c r="I93" s="77" t="s">
        <v>654</v>
      </c>
      <c r="J93" s="77" t="s">
        <v>13</v>
      </c>
      <c r="K93" s="79" t="s">
        <v>791</v>
      </c>
      <c r="L93" s="7" t="str">
        <f>IF(BudgetsTable[[#This Row],[pi_last_name]]=" ","",HYPERLINK("https://www.ejacket.nsf.gov/ej/showProposal.do?Continue=Y&amp;ID="&amp;BudgetsTable[[#This Row],[prop_id]],BudgetsTable[[#This Row],[prop_id]]))</f>
        <v/>
      </c>
      <c r="M93" s="15" t="str">
        <f>IF(BudgetsTable[[#This Row],[pi_last_name]]=" ","",HYPERLINK("https://www.ejacket.nsf.gov/ej/processReviewAnalysis.do?dispatch=add&amp;uniqId="&amp;BudgetsTable[[#This Row],[prop_id]]&amp;PO_id,"&gt;ra"))</f>
        <v/>
      </c>
      <c r="N93" s="79" t="s">
        <v>13</v>
      </c>
      <c r="O93" s="7" t="str">
        <f>IF(BudgetsTable[[#This Row],[pi_last_name]]=" ","",HYPERLINK("mailto:"&amp;BudgetsTable[[#This Row],[pi_email]]&amp;"&amp;subject=Your NSF Proposal:  "&amp;BudgetsTable[[#This Row],[prop_id]],BudgetsTable[[#This Row],[pi_email]]))</f>
        <v/>
      </c>
      <c r="P93" s="79" t="s">
        <v>13</v>
      </c>
      <c r="Q93" s="79">
        <v>1</v>
      </c>
      <c r="R93" s="79">
        <v>1</v>
      </c>
      <c r="S93" s="80">
        <v>0</v>
      </c>
      <c r="T93" s="80">
        <v>0</v>
      </c>
      <c r="U93" s="80">
        <v>0</v>
      </c>
      <c r="V93" s="81">
        <v>113096</v>
      </c>
      <c r="W93" s="79">
        <v>0</v>
      </c>
      <c r="X93" s="79">
        <v>5</v>
      </c>
      <c r="Y93" s="11" t="str">
        <f ca="1">IF(ISBLANK(BudgetsTable[[#This Row],[budg_seq_yr]]),"FY"&amp;fiscalyear,"FY"&amp;fiscalyear-1+BudgetsTable[[#This Row],[budg_seq_yr]])</f>
        <v>FY22</v>
      </c>
      <c r="Z93" s="80">
        <v>113096</v>
      </c>
      <c r="AA93" s="79" t="s">
        <v>477</v>
      </c>
      <c r="AB93" s="79" t="s">
        <v>582</v>
      </c>
      <c r="AC93" s="77" t="s">
        <v>94</v>
      </c>
      <c r="AD93" s="79" t="s">
        <v>1432</v>
      </c>
    </row>
    <row r="94" spans="1:30" x14ac:dyDescent="0.4">
      <c r="A94" s="10" t="s">
        <v>825</v>
      </c>
      <c r="B94" s="77" t="s">
        <v>95</v>
      </c>
      <c r="C94" s="77">
        <f>C93+(BudgetsTable[[#This Row],[lead]]&lt;&gt;K93)</f>
        <v>26</v>
      </c>
      <c r="D94" s="77">
        <f>D93*(BudgetsTable[[#This Row],[lead]]=K93)+(BudgetsTable[[#This Row],[prop_id]]&lt;&gt;A93)</f>
        <v>1</v>
      </c>
      <c r="E94" s="78">
        <v>42934.808333333334</v>
      </c>
      <c r="F94" s="79" t="s">
        <v>1430</v>
      </c>
      <c r="G94" s="79" t="s">
        <v>477</v>
      </c>
      <c r="H94" s="79" t="s">
        <v>582</v>
      </c>
      <c r="I94" s="77" t="s">
        <v>604</v>
      </c>
      <c r="J94" s="77" t="s">
        <v>1510</v>
      </c>
      <c r="K94" s="79" t="s">
        <v>825</v>
      </c>
      <c r="L94" s="7" t="str">
        <f>IF(BudgetsTable[[#This Row],[pi_last_name]]=" ","",HYPERLINK("https://www.ejacket.nsf.gov/ej/showProposal.do?Continue=Y&amp;ID="&amp;BudgetsTable[[#This Row],[prop_id]],BudgetsTable[[#This Row],[prop_id]]))</f>
        <v>1750076</v>
      </c>
      <c r="M94" s="15" t="e">
        <f>IF(BudgetsTable[[#This Row],[pi_last_name]]=" ","",HYPERLINK("https://www.ejacket.nsf.gov/ej/processReviewAnalysis.do?dispatch=add&amp;uniqId="&amp;BudgetsTable[[#This Row],[prop_id]]&amp;PO_id,"&gt;ra"))</f>
        <v>#REF!</v>
      </c>
      <c r="N94" s="79" t="s">
        <v>826</v>
      </c>
      <c r="O94" s="7" t="str">
        <f>IF(BudgetsTable[[#This Row],[pi_last_name]]=" ","",HYPERLINK("mailto:"&amp;BudgetsTable[[#This Row],[pi_email]]&amp;"&amp;subject=Your NSF Proposal:  "&amp;BudgetsTable[[#This Row],[prop_id]],BudgetsTable[[#This Row],[pi_email]]))</f>
        <v>craig@ucr.edu</v>
      </c>
      <c r="P94" s="79" t="s">
        <v>1507</v>
      </c>
      <c r="Q94" s="79"/>
      <c r="R94" s="79"/>
      <c r="S94" s="80"/>
      <c r="T94" s="80"/>
      <c r="U94" s="80"/>
      <c r="V94" s="81"/>
      <c r="W94" s="79">
        <v>0</v>
      </c>
      <c r="X94" s="79"/>
      <c r="Y94" s="11" t="str">
        <f ca="1">IF(ISBLANK(BudgetsTable[[#This Row],[budg_seq_yr]]),"FY"&amp;fiscalyear,"FY"&amp;fiscalyear-1+BudgetsTable[[#This Row],[budg_seq_yr]])</f>
        <v>FY18</v>
      </c>
      <c r="Z94" s="80">
        <v>440331</v>
      </c>
      <c r="AA94" s="79" t="s">
        <v>477</v>
      </c>
      <c r="AB94" s="79" t="s">
        <v>582</v>
      </c>
      <c r="AC94" s="77" t="s">
        <v>94</v>
      </c>
      <c r="AD94" s="79" t="s">
        <v>1505</v>
      </c>
    </row>
    <row r="95" spans="1:30" x14ac:dyDescent="0.4">
      <c r="A95" s="10" t="s">
        <v>825</v>
      </c>
      <c r="B95" s="77" t="s">
        <v>95</v>
      </c>
      <c r="C95" s="77">
        <f>C94+(BudgetsTable[[#This Row],[lead]]&lt;&gt;K94)</f>
        <v>26</v>
      </c>
      <c r="D95" s="77">
        <f>D94*(BudgetsTable[[#This Row],[lead]]=K94)+(BudgetsTable[[#This Row],[prop_id]]&lt;&gt;A94)</f>
        <v>1</v>
      </c>
      <c r="E95" s="78">
        <v>42934.808333333334</v>
      </c>
      <c r="F95" s="79" t="s">
        <v>1430</v>
      </c>
      <c r="G95" s="79" t="s">
        <v>477</v>
      </c>
      <c r="H95" s="79" t="s">
        <v>582</v>
      </c>
      <c r="I95" s="77" t="s">
        <v>604</v>
      </c>
      <c r="J95" s="77" t="s">
        <v>13</v>
      </c>
      <c r="K95" s="79" t="s">
        <v>825</v>
      </c>
      <c r="L95" s="7" t="str">
        <f>IF(BudgetsTable[[#This Row],[pi_last_name]]=" ","",HYPERLINK("https://www.ejacket.nsf.gov/ej/showProposal.do?Continue=Y&amp;ID="&amp;BudgetsTable[[#This Row],[prop_id]],BudgetsTable[[#This Row],[prop_id]]))</f>
        <v/>
      </c>
      <c r="M95" s="15" t="str">
        <f>IF(BudgetsTable[[#This Row],[pi_last_name]]=" ","",HYPERLINK("https://www.ejacket.nsf.gov/ej/processReviewAnalysis.do?dispatch=add&amp;uniqId="&amp;BudgetsTable[[#This Row],[prop_id]]&amp;PO_id,"&gt;ra"))</f>
        <v/>
      </c>
      <c r="N95" s="79" t="s">
        <v>13</v>
      </c>
      <c r="O95" s="7" t="str">
        <f>IF(BudgetsTable[[#This Row],[pi_last_name]]=" ","",HYPERLINK("mailto:"&amp;BudgetsTable[[#This Row],[pi_email]]&amp;"&amp;subject=Your NSF Proposal:  "&amp;BudgetsTable[[#This Row],[prop_id]],BudgetsTable[[#This Row],[pi_email]]))</f>
        <v/>
      </c>
      <c r="P95" s="79" t="s">
        <v>13</v>
      </c>
      <c r="Q95" s="79">
        <v>1</v>
      </c>
      <c r="R95" s="79">
        <v>1</v>
      </c>
      <c r="S95" s="80">
        <v>0</v>
      </c>
      <c r="T95" s="80">
        <v>0</v>
      </c>
      <c r="U95" s="80">
        <v>0</v>
      </c>
      <c r="V95" s="81">
        <v>92028</v>
      </c>
      <c r="W95" s="79">
        <v>0</v>
      </c>
      <c r="X95" s="79">
        <v>1</v>
      </c>
      <c r="Y95" s="11" t="str">
        <f ca="1">IF(ISBLANK(BudgetsTable[[#This Row],[budg_seq_yr]]),"FY"&amp;fiscalyear,"FY"&amp;fiscalyear-1+BudgetsTable[[#This Row],[budg_seq_yr]])</f>
        <v>FY18</v>
      </c>
      <c r="Z95" s="80">
        <v>92028</v>
      </c>
      <c r="AA95" s="79" t="s">
        <v>477</v>
      </c>
      <c r="AB95" s="79" t="s">
        <v>582</v>
      </c>
      <c r="AC95" s="77" t="s">
        <v>94</v>
      </c>
      <c r="AD95" s="79" t="s">
        <v>1505</v>
      </c>
    </row>
    <row r="96" spans="1:30" x14ac:dyDescent="0.4">
      <c r="A96" s="10" t="s">
        <v>825</v>
      </c>
      <c r="B96" s="77" t="s">
        <v>95</v>
      </c>
      <c r="C96" s="77">
        <f>C95+(BudgetsTable[[#This Row],[lead]]&lt;&gt;K95)</f>
        <v>26</v>
      </c>
      <c r="D96" s="77">
        <f>D95*(BudgetsTable[[#This Row],[lead]]=K95)+(BudgetsTable[[#This Row],[prop_id]]&lt;&gt;A95)</f>
        <v>1</v>
      </c>
      <c r="E96" s="78">
        <v>42934.808333333334</v>
      </c>
      <c r="F96" s="79" t="s">
        <v>1430</v>
      </c>
      <c r="G96" s="79" t="s">
        <v>477</v>
      </c>
      <c r="H96" s="79" t="s">
        <v>582</v>
      </c>
      <c r="I96" s="77" t="s">
        <v>604</v>
      </c>
      <c r="J96" s="77" t="s">
        <v>13</v>
      </c>
      <c r="K96" s="79" t="s">
        <v>825</v>
      </c>
      <c r="L96" s="7" t="str">
        <f>IF(BudgetsTable[[#This Row],[pi_last_name]]=" ","",HYPERLINK("https://www.ejacket.nsf.gov/ej/showProposal.do?Continue=Y&amp;ID="&amp;BudgetsTable[[#This Row],[prop_id]],BudgetsTable[[#This Row],[prop_id]]))</f>
        <v/>
      </c>
      <c r="M96" s="15" t="str">
        <f>IF(BudgetsTable[[#This Row],[pi_last_name]]=" ","",HYPERLINK("https://www.ejacket.nsf.gov/ej/processReviewAnalysis.do?dispatch=add&amp;uniqId="&amp;BudgetsTable[[#This Row],[prop_id]]&amp;PO_id,"&gt;ra"))</f>
        <v/>
      </c>
      <c r="N96" s="79" t="s">
        <v>13</v>
      </c>
      <c r="O96" s="7" t="str">
        <f>IF(BudgetsTable[[#This Row],[pi_last_name]]=" ","",HYPERLINK("mailto:"&amp;BudgetsTable[[#This Row],[pi_email]]&amp;"&amp;subject=Your NSF Proposal:  "&amp;BudgetsTable[[#This Row],[prop_id]],BudgetsTable[[#This Row],[pi_email]]))</f>
        <v/>
      </c>
      <c r="P96" s="79" t="s">
        <v>13</v>
      </c>
      <c r="Q96" s="79">
        <v>1</v>
      </c>
      <c r="R96" s="79">
        <v>1</v>
      </c>
      <c r="S96" s="80">
        <v>0</v>
      </c>
      <c r="T96" s="80">
        <v>0</v>
      </c>
      <c r="U96" s="80">
        <v>0</v>
      </c>
      <c r="V96" s="81">
        <v>84050</v>
      </c>
      <c r="W96" s="79">
        <v>0</v>
      </c>
      <c r="X96" s="79">
        <v>2</v>
      </c>
      <c r="Y96" s="11" t="str">
        <f ca="1">IF(ISBLANK(BudgetsTable[[#This Row],[budg_seq_yr]]),"FY"&amp;fiscalyear,"FY"&amp;fiscalyear-1+BudgetsTable[[#This Row],[budg_seq_yr]])</f>
        <v>FY19</v>
      </c>
      <c r="Z96" s="80">
        <v>84050</v>
      </c>
      <c r="AA96" s="79" t="s">
        <v>477</v>
      </c>
      <c r="AB96" s="79" t="s">
        <v>582</v>
      </c>
      <c r="AC96" s="77" t="s">
        <v>94</v>
      </c>
      <c r="AD96" s="79" t="s">
        <v>1505</v>
      </c>
    </row>
    <row r="97" spans="1:30" x14ac:dyDescent="0.4">
      <c r="A97" s="10" t="s">
        <v>825</v>
      </c>
      <c r="B97" s="77" t="s">
        <v>95</v>
      </c>
      <c r="C97" s="77">
        <f>C96+(BudgetsTable[[#This Row],[lead]]&lt;&gt;K96)</f>
        <v>26</v>
      </c>
      <c r="D97" s="77">
        <f>D96*(BudgetsTable[[#This Row],[lead]]=K96)+(BudgetsTable[[#This Row],[prop_id]]&lt;&gt;A96)</f>
        <v>1</v>
      </c>
      <c r="E97" s="78">
        <v>42934.808333333334</v>
      </c>
      <c r="F97" s="79" t="s">
        <v>1430</v>
      </c>
      <c r="G97" s="79" t="s">
        <v>477</v>
      </c>
      <c r="H97" s="79" t="s">
        <v>582</v>
      </c>
      <c r="I97" s="77" t="s">
        <v>604</v>
      </c>
      <c r="J97" s="77" t="s">
        <v>13</v>
      </c>
      <c r="K97" s="79" t="s">
        <v>825</v>
      </c>
      <c r="L97" s="7" t="str">
        <f>IF(BudgetsTable[[#This Row],[pi_last_name]]=" ","",HYPERLINK("https://www.ejacket.nsf.gov/ej/showProposal.do?Continue=Y&amp;ID="&amp;BudgetsTable[[#This Row],[prop_id]],BudgetsTable[[#This Row],[prop_id]]))</f>
        <v/>
      </c>
      <c r="M97" s="15" t="str">
        <f>IF(BudgetsTable[[#This Row],[pi_last_name]]=" ","",HYPERLINK("https://www.ejacket.nsf.gov/ej/processReviewAnalysis.do?dispatch=add&amp;uniqId="&amp;BudgetsTable[[#This Row],[prop_id]]&amp;PO_id,"&gt;ra"))</f>
        <v/>
      </c>
      <c r="N97" s="79" t="s">
        <v>13</v>
      </c>
      <c r="O97" s="7" t="str">
        <f>IF(BudgetsTable[[#This Row],[pi_last_name]]=" ","",HYPERLINK("mailto:"&amp;BudgetsTable[[#This Row],[pi_email]]&amp;"&amp;subject=Your NSF Proposal:  "&amp;BudgetsTable[[#This Row],[prop_id]],BudgetsTable[[#This Row],[pi_email]]))</f>
        <v/>
      </c>
      <c r="P97" s="79" t="s">
        <v>13</v>
      </c>
      <c r="Q97" s="79">
        <v>1</v>
      </c>
      <c r="R97" s="79">
        <v>1</v>
      </c>
      <c r="S97" s="80">
        <v>0</v>
      </c>
      <c r="T97" s="80">
        <v>0</v>
      </c>
      <c r="U97" s="80">
        <v>0</v>
      </c>
      <c r="V97" s="81">
        <v>86026</v>
      </c>
      <c r="W97" s="79">
        <v>0</v>
      </c>
      <c r="X97" s="79">
        <v>3</v>
      </c>
      <c r="Y97" s="11" t="str">
        <f ca="1">IF(ISBLANK(BudgetsTable[[#This Row],[budg_seq_yr]]),"FY"&amp;fiscalyear,"FY"&amp;fiscalyear-1+BudgetsTable[[#This Row],[budg_seq_yr]])</f>
        <v>FY20</v>
      </c>
      <c r="Z97" s="80">
        <v>86026</v>
      </c>
      <c r="AA97" s="79" t="s">
        <v>477</v>
      </c>
      <c r="AB97" s="79" t="s">
        <v>582</v>
      </c>
      <c r="AC97" s="77" t="s">
        <v>94</v>
      </c>
      <c r="AD97" s="79" t="s">
        <v>1505</v>
      </c>
    </row>
    <row r="98" spans="1:30" x14ac:dyDescent="0.4">
      <c r="A98" s="10" t="s">
        <v>825</v>
      </c>
      <c r="B98" s="77" t="s">
        <v>95</v>
      </c>
      <c r="C98" s="77">
        <f>C97+(BudgetsTable[[#This Row],[lead]]&lt;&gt;K97)</f>
        <v>26</v>
      </c>
      <c r="D98" s="77">
        <f>D97*(BudgetsTable[[#This Row],[lead]]=K97)+(BudgetsTable[[#This Row],[prop_id]]&lt;&gt;A97)</f>
        <v>1</v>
      </c>
      <c r="E98" s="78">
        <v>42934.808333333334</v>
      </c>
      <c r="F98" s="79" t="s">
        <v>1430</v>
      </c>
      <c r="G98" s="79" t="s">
        <v>477</v>
      </c>
      <c r="H98" s="79" t="s">
        <v>582</v>
      </c>
      <c r="I98" s="77" t="s">
        <v>604</v>
      </c>
      <c r="J98" s="77" t="s">
        <v>13</v>
      </c>
      <c r="K98" s="79" t="s">
        <v>825</v>
      </c>
      <c r="L98" s="7" t="str">
        <f>IF(BudgetsTable[[#This Row],[pi_last_name]]=" ","",HYPERLINK("https://www.ejacket.nsf.gov/ej/showProposal.do?Continue=Y&amp;ID="&amp;BudgetsTable[[#This Row],[prop_id]],BudgetsTable[[#This Row],[prop_id]]))</f>
        <v/>
      </c>
      <c r="M98" s="15" t="str">
        <f>IF(BudgetsTable[[#This Row],[pi_last_name]]=" ","",HYPERLINK("https://www.ejacket.nsf.gov/ej/processReviewAnalysis.do?dispatch=add&amp;uniqId="&amp;BudgetsTable[[#This Row],[prop_id]]&amp;PO_id,"&gt;ra"))</f>
        <v/>
      </c>
      <c r="N98" s="79" t="s">
        <v>13</v>
      </c>
      <c r="O98" s="7" t="str">
        <f>IF(BudgetsTable[[#This Row],[pi_last_name]]=" ","",HYPERLINK("mailto:"&amp;BudgetsTable[[#This Row],[pi_email]]&amp;"&amp;subject=Your NSF Proposal:  "&amp;BudgetsTable[[#This Row],[prop_id]],BudgetsTable[[#This Row],[pi_email]]))</f>
        <v/>
      </c>
      <c r="P98" s="79" t="s">
        <v>13</v>
      </c>
      <c r="Q98" s="79">
        <v>1</v>
      </c>
      <c r="R98" s="79">
        <v>1</v>
      </c>
      <c r="S98" s="80">
        <v>0</v>
      </c>
      <c r="T98" s="80">
        <v>0</v>
      </c>
      <c r="U98" s="80">
        <v>0</v>
      </c>
      <c r="V98" s="81">
        <v>88064</v>
      </c>
      <c r="W98" s="79">
        <v>0</v>
      </c>
      <c r="X98" s="79">
        <v>4</v>
      </c>
      <c r="Y98" s="11" t="str">
        <f ca="1">IF(ISBLANK(BudgetsTable[[#This Row],[budg_seq_yr]]),"FY"&amp;fiscalyear,"FY"&amp;fiscalyear-1+BudgetsTable[[#This Row],[budg_seq_yr]])</f>
        <v>FY21</v>
      </c>
      <c r="Z98" s="80">
        <v>88064</v>
      </c>
      <c r="AA98" s="79" t="s">
        <v>477</v>
      </c>
      <c r="AB98" s="79" t="s">
        <v>582</v>
      </c>
      <c r="AC98" s="77" t="s">
        <v>94</v>
      </c>
      <c r="AD98" s="79" t="s">
        <v>1505</v>
      </c>
    </row>
    <row r="99" spans="1:30" x14ac:dyDescent="0.4">
      <c r="A99" s="10" t="s">
        <v>825</v>
      </c>
      <c r="B99" s="77" t="s">
        <v>95</v>
      </c>
      <c r="C99" s="77">
        <f>C98+(BudgetsTable[[#This Row],[lead]]&lt;&gt;K98)</f>
        <v>26</v>
      </c>
      <c r="D99" s="77">
        <f>D98*(BudgetsTable[[#This Row],[lead]]=K98)+(BudgetsTable[[#This Row],[prop_id]]&lt;&gt;A98)</f>
        <v>1</v>
      </c>
      <c r="E99" s="78">
        <v>42934.808333333334</v>
      </c>
      <c r="F99" s="79" t="s">
        <v>1430</v>
      </c>
      <c r="G99" s="79" t="s">
        <v>477</v>
      </c>
      <c r="H99" s="79" t="s">
        <v>582</v>
      </c>
      <c r="I99" s="77" t="s">
        <v>604</v>
      </c>
      <c r="J99" s="77" t="s">
        <v>13</v>
      </c>
      <c r="K99" s="79" t="s">
        <v>825</v>
      </c>
      <c r="L99" s="7" t="str">
        <f>IF(BudgetsTable[[#This Row],[pi_last_name]]=" ","",HYPERLINK("https://www.ejacket.nsf.gov/ej/showProposal.do?Continue=Y&amp;ID="&amp;BudgetsTable[[#This Row],[prop_id]],BudgetsTable[[#This Row],[prop_id]]))</f>
        <v/>
      </c>
      <c r="M99" s="15" t="str">
        <f>IF(BudgetsTable[[#This Row],[pi_last_name]]=" ","",HYPERLINK("https://www.ejacket.nsf.gov/ej/processReviewAnalysis.do?dispatch=add&amp;uniqId="&amp;BudgetsTable[[#This Row],[prop_id]]&amp;PO_id,"&gt;ra"))</f>
        <v/>
      </c>
      <c r="N99" s="79" t="s">
        <v>13</v>
      </c>
      <c r="O99" s="7" t="str">
        <f>IF(BudgetsTable[[#This Row],[pi_last_name]]=" ","",HYPERLINK("mailto:"&amp;BudgetsTable[[#This Row],[pi_email]]&amp;"&amp;subject=Your NSF Proposal:  "&amp;BudgetsTable[[#This Row],[prop_id]],BudgetsTable[[#This Row],[pi_email]]))</f>
        <v/>
      </c>
      <c r="P99" s="79" t="s">
        <v>13</v>
      </c>
      <c r="Q99" s="79">
        <v>1</v>
      </c>
      <c r="R99" s="79">
        <v>1</v>
      </c>
      <c r="S99" s="80">
        <v>0</v>
      </c>
      <c r="T99" s="80">
        <v>0</v>
      </c>
      <c r="U99" s="80">
        <v>0</v>
      </c>
      <c r="V99" s="81">
        <v>90163</v>
      </c>
      <c r="W99" s="79">
        <v>0</v>
      </c>
      <c r="X99" s="79">
        <v>5</v>
      </c>
      <c r="Y99" s="11" t="str">
        <f ca="1">IF(ISBLANK(BudgetsTable[[#This Row],[budg_seq_yr]]),"FY"&amp;fiscalyear,"FY"&amp;fiscalyear-1+BudgetsTable[[#This Row],[budg_seq_yr]])</f>
        <v>FY22</v>
      </c>
      <c r="Z99" s="80">
        <v>90163</v>
      </c>
      <c r="AA99" s="79" t="s">
        <v>477</v>
      </c>
      <c r="AB99" s="79" t="s">
        <v>582</v>
      </c>
      <c r="AC99" s="77" t="s">
        <v>94</v>
      </c>
      <c r="AD99" s="79" t="s">
        <v>1505</v>
      </c>
    </row>
    <row r="100" spans="1:30" x14ac:dyDescent="0.4">
      <c r="A100" s="10" t="s">
        <v>834</v>
      </c>
      <c r="B100" s="77" t="s">
        <v>95</v>
      </c>
      <c r="C100" s="77">
        <f>C99+(BudgetsTable[[#This Row],[lead]]&lt;&gt;K99)</f>
        <v>27</v>
      </c>
      <c r="D100" s="77">
        <f>D99*(BudgetsTable[[#This Row],[lead]]=K99)+(BudgetsTable[[#This Row],[prop_id]]&lt;&gt;A99)</f>
        <v>1</v>
      </c>
      <c r="E100" s="78">
        <v>42935.359027777777</v>
      </c>
      <c r="F100" s="79" t="s">
        <v>1430</v>
      </c>
      <c r="G100" s="79" t="s">
        <v>477</v>
      </c>
      <c r="H100" s="79" t="s">
        <v>582</v>
      </c>
      <c r="I100" s="77" t="s">
        <v>654</v>
      </c>
      <c r="J100" s="77" t="s">
        <v>1515</v>
      </c>
      <c r="K100" s="79" t="s">
        <v>834</v>
      </c>
      <c r="L100" s="7" t="str">
        <f>IF(BudgetsTable[[#This Row],[pi_last_name]]=" ","",HYPERLINK("https://www.ejacket.nsf.gov/ej/showProposal.do?Continue=Y&amp;ID="&amp;BudgetsTable[[#This Row],[prop_id]],BudgetsTable[[#This Row],[prop_id]]))</f>
        <v>1750118</v>
      </c>
      <c r="M100" s="15" t="e">
        <f>IF(BudgetsTable[[#This Row],[pi_last_name]]=" ","",HYPERLINK("https://www.ejacket.nsf.gov/ej/processReviewAnalysis.do?dispatch=add&amp;uniqId="&amp;BudgetsTable[[#This Row],[prop_id]]&amp;PO_id,"&gt;ra"))</f>
        <v>#REF!</v>
      </c>
      <c r="N100" s="79" t="s">
        <v>835</v>
      </c>
      <c r="O100" s="7" t="str">
        <f>IF(BudgetsTable[[#This Row],[pi_last_name]]=" ","",HYPERLINK("mailto:"&amp;BudgetsTable[[#This Row],[pi_email]]&amp;"&amp;subject=Your NSF Proposal:  "&amp;BudgetsTable[[#This Row],[prop_id]],BudgetsTable[[#This Row],[pi_email]]))</f>
        <v>shil@buffalo.edu</v>
      </c>
      <c r="P100" s="79" t="s">
        <v>1512</v>
      </c>
      <c r="Q100" s="79"/>
      <c r="R100" s="79"/>
      <c r="S100" s="80"/>
      <c r="T100" s="80"/>
      <c r="U100" s="80"/>
      <c r="V100" s="81"/>
      <c r="W100" s="79">
        <v>0</v>
      </c>
      <c r="X100" s="79"/>
      <c r="Y100" s="11" t="str">
        <f ca="1">IF(ISBLANK(BudgetsTable[[#This Row],[budg_seq_yr]]),"FY"&amp;fiscalyear,"FY"&amp;fiscalyear-1+BudgetsTable[[#This Row],[budg_seq_yr]])</f>
        <v>FY18</v>
      </c>
      <c r="Z100" s="80">
        <v>530842</v>
      </c>
      <c r="AA100" s="79" t="s">
        <v>477</v>
      </c>
      <c r="AB100" s="79" t="s">
        <v>582</v>
      </c>
      <c r="AC100" s="77" t="s">
        <v>94</v>
      </c>
      <c r="AD100" s="79" t="s">
        <v>1432</v>
      </c>
    </row>
    <row r="101" spans="1:30" x14ac:dyDescent="0.4">
      <c r="A101" s="10" t="s">
        <v>834</v>
      </c>
      <c r="B101" s="77" t="s">
        <v>95</v>
      </c>
      <c r="C101" s="77">
        <f>C100+(BudgetsTable[[#This Row],[lead]]&lt;&gt;K100)</f>
        <v>27</v>
      </c>
      <c r="D101" s="77">
        <f>D100*(BudgetsTable[[#This Row],[lead]]=K100)+(BudgetsTable[[#This Row],[prop_id]]&lt;&gt;A100)</f>
        <v>1</v>
      </c>
      <c r="E101" s="78">
        <v>42935.359027777777</v>
      </c>
      <c r="F101" s="79" t="s">
        <v>1430</v>
      </c>
      <c r="G101" s="79" t="s">
        <v>477</v>
      </c>
      <c r="H101" s="79" t="s">
        <v>582</v>
      </c>
      <c r="I101" s="77" t="s">
        <v>654</v>
      </c>
      <c r="J101" s="77" t="s">
        <v>13</v>
      </c>
      <c r="K101" s="79" t="s">
        <v>834</v>
      </c>
      <c r="L101" s="7" t="str">
        <f>IF(BudgetsTable[[#This Row],[pi_last_name]]=" ","",HYPERLINK("https://www.ejacket.nsf.gov/ej/showProposal.do?Continue=Y&amp;ID="&amp;BudgetsTable[[#This Row],[prop_id]],BudgetsTable[[#This Row],[prop_id]]))</f>
        <v/>
      </c>
      <c r="M101" s="15" t="str">
        <f>IF(BudgetsTable[[#This Row],[pi_last_name]]=" ","",HYPERLINK("https://www.ejacket.nsf.gov/ej/processReviewAnalysis.do?dispatch=add&amp;uniqId="&amp;BudgetsTable[[#This Row],[prop_id]]&amp;PO_id,"&gt;ra"))</f>
        <v/>
      </c>
      <c r="N101" s="79" t="s">
        <v>13</v>
      </c>
      <c r="O101" s="7" t="str">
        <f>IF(BudgetsTable[[#This Row],[pi_last_name]]=" ","",HYPERLINK("mailto:"&amp;BudgetsTable[[#This Row],[pi_email]]&amp;"&amp;subject=Your NSF Proposal:  "&amp;BudgetsTable[[#This Row],[prop_id]],BudgetsTable[[#This Row],[pi_email]]))</f>
        <v/>
      </c>
      <c r="P101" s="79" t="s">
        <v>13</v>
      </c>
      <c r="Q101" s="79">
        <v>1</v>
      </c>
      <c r="R101" s="79">
        <v>1</v>
      </c>
      <c r="S101" s="80">
        <v>0</v>
      </c>
      <c r="T101" s="80">
        <v>2000</v>
      </c>
      <c r="U101" s="80">
        <v>0</v>
      </c>
      <c r="V101" s="81">
        <v>99976</v>
      </c>
      <c r="W101" s="79">
        <v>0</v>
      </c>
      <c r="X101" s="79">
        <v>1</v>
      </c>
      <c r="Y101" s="11" t="str">
        <f ca="1">IF(ISBLANK(BudgetsTable[[#This Row],[budg_seq_yr]]),"FY"&amp;fiscalyear,"FY"&amp;fiscalyear-1+BudgetsTable[[#This Row],[budg_seq_yr]])</f>
        <v>FY18</v>
      </c>
      <c r="Z101" s="80">
        <v>99976</v>
      </c>
      <c r="AA101" s="79" t="s">
        <v>477</v>
      </c>
      <c r="AB101" s="79" t="s">
        <v>582</v>
      </c>
      <c r="AC101" s="77" t="s">
        <v>94</v>
      </c>
      <c r="AD101" s="79" t="s">
        <v>1432</v>
      </c>
    </row>
    <row r="102" spans="1:30" x14ac:dyDescent="0.4">
      <c r="A102" s="10" t="s">
        <v>834</v>
      </c>
      <c r="B102" s="77" t="s">
        <v>95</v>
      </c>
      <c r="C102" s="77">
        <f>C101+(BudgetsTable[[#This Row],[lead]]&lt;&gt;K101)</f>
        <v>27</v>
      </c>
      <c r="D102" s="77">
        <f>D101*(BudgetsTable[[#This Row],[lead]]=K101)+(BudgetsTable[[#This Row],[prop_id]]&lt;&gt;A101)</f>
        <v>1</v>
      </c>
      <c r="E102" s="78">
        <v>42935.359027777777</v>
      </c>
      <c r="F102" s="79" t="s">
        <v>1430</v>
      </c>
      <c r="G102" s="79" t="s">
        <v>477</v>
      </c>
      <c r="H102" s="79" t="s">
        <v>582</v>
      </c>
      <c r="I102" s="77" t="s">
        <v>654</v>
      </c>
      <c r="J102" s="77" t="s">
        <v>13</v>
      </c>
      <c r="K102" s="79" t="s">
        <v>834</v>
      </c>
      <c r="L102" s="7" t="str">
        <f>IF(BudgetsTable[[#This Row],[pi_last_name]]=" ","",HYPERLINK("https://www.ejacket.nsf.gov/ej/showProposal.do?Continue=Y&amp;ID="&amp;BudgetsTable[[#This Row],[prop_id]],BudgetsTable[[#This Row],[prop_id]]))</f>
        <v/>
      </c>
      <c r="M102" s="15" t="str">
        <f>IF(BudgetsTable[[#This Row],[pi_last_name]]=" ","",HYPERLINK("https://www.ejacket.nsf.gov/ej/processReviewAnalysis.do?dispatch=add&amp;uniqId="&amp;BudgetsTable[[#This Row],[prop_id]]&amp;PO_id,"&gt;ra"))</f>
        <v/>
      </c>
      <c r="N102" s="79" t="s">
        <v>13</v>
      </c>
      <c r="O102" s="7" t="str">
        <f>IF(BudgetsTable[[#This Row],[pi_last_name]]=" ","",HYPERLINK("mailto:"&amp;BudgetsTable[[#This Row],[pi_email]]&amp;"&amp;subject=Your NSF Proposal:  "&amp;BudgetsTable[[#This Row],[prop_id]],BudgetsTable[[#This Row],[pi_email]]))</f>
        <v/>
      </c>
      <c r="P102" s="79" t="s">
        <v>13</v>
      </c>
      <c r="Q102" s="79">
        <v>1</v>
      </c>
      <c r="R102" s="79">
        <v>1</v>
      </c>
      <c r="S102" s="80">
        <v>0</v>
      </c>
      <c r="T102" s="80">
        <v>2000</v>
      </c>
      <c r="U102" s="80">
        <v>0</v>
      </c>
      <c r="V102" s="81">
        <v>100831</v>
      </c>
      <c r="W102" s="79">
        <v>0</v>
      </c>
      <c r="X102" s="79">
        <v>2</v>
      </c>
      <c r="Y102" s="11" t="str">
        <f ca="1">IF(ISBLANK(BudgetsTable[[#This Row],[budg_seq_yr]]),"FY"&amp;fiscalyear,"FY"&amp;fiscalyear-1+BudgetsTable[[#This Row],[budg_seq_yr]])</f>
        <v>FY19</v>
      </c>
      <c r="Z102" s="80">
        <v>100831</v>
      </c>
      <c r="AA102" s="79" t="s">
        <v>477</v>
      </c>
      <c r="AB102" s="79" t="s">
        <v>582</v>
      </c>
      <c r="AC102" s="77" t="s">
        <v>94</v>
      </c>
      <c r="AD102" s="79" t="s">
        <v>1432</v>
      </c>
    </row>
    <row r="103" spans="1:30" x14ac:dyDescent="0.4">
      <c r="A103" s="10" t="s">
        <v>834</v>
      </c>
      <c r="B103" s="77" t="s">
        <v>95</v>
      </c>
      <c r="C103" s="77">
        <f>C102+(BudgetsTable[[#This Row],[lead]]&lt;&gt;K102)</f>
        <v>27</v>
      </c>
      <c r="D103" s="77">
        <f>D102*(BudgetsTable[[#This Row],[lead]]=K102)+(BudgetsTable[[#This Row],[prop_id]]&lt;&gt;A102)</f>
        <v>1</v>
      </c>
      <c r="E103" s="78">
        <v>42935.359027777777</v>
      </c>
      <c r="F103" s="79" t="s">
        <v>1430</v>
      </c>
      <c r="G103" s="79" t="s">
        <v>477</v>
      </c>
      <c r="H103" s="79" t="s">
        <v>582</v>
      </c>
      <c r="I103" s="77" t="s">
        <v>654</v>
      </c>
      <c r="J103" s="77" t="s">
        <v>13</v>
      </c>
      <c r="K103" s="79" t="s">
        <v>834</v>
      </c>
      <c r="L103" s="7" t="str">
        <f>IF(BudgetsTable[[#This Row],[pi_last_name]]=" ","",HYPERLINK("https://www.ejacket.nsf.gov/ej/showProposal.do?Continue=Y&amp;ID="&amp;BudgetsTable[[#This Row],[prop_id]],BudgetsTable[[#This Row],[prop_id]]))</f>
        <v/>
      </c>
      <c r="M103" s="15" t="str">
        <f>IF(BudgetsTable[[#This Row],[pi_last_name]]=" ","",HYPERLINK("https://www.ejacket.nsf.gov/ej/processReviewAnalysis.do?dispatch=add&amp;uniqId="&amp;BudgetsTable[[#This Row],[prop_id]]&amp;PO_id,"&gt;ra"))</f>
        <v/>
      </c>
      <c r="N103" s="79" t="s">
        <v>13</v>
      </c>
      <c r="O103" s="7" t="str">
        <f>IF(BudgetsTable[[#This Row],[pi_last_name]]=" ","",HYPERLINK("mailto:"&amp;BudgetsTable[[#This Row],[pi_email]]&amp;"&amp;subject=Your NSF Proposal:  "&amp;BudgetsTable[[#This Row],[prop_id]],BudgetsTable[[#This Row],[pi_email]]))</f>
        <v/>
      </c>
      <c r="P103" s="79" t="s">
        <v>13</v>
      </c>
      <c r="Q103" s="79">
        <v>1</v>
      </c>
      <c r="R103" s="79">
        <v>1</v>
      </c>
      <c r="S103" s="80">
        <v>0</v>
      </c>
      <c r="T103" s="80">
        <v>2000</v>
      </c>
      <c r="U103" s="80">
        <v>0</v>
      </c>
      <c r="V103" s="81">
        <v>106222</v>
      </c>
      <c r="W103" s="79">
        <v>0</v>
      </c>
      <c r="X103" s="79">
        <v>3</v>
      </c>
      <c r="Y103" s="11" t="str">
        <f ca="1">IF(ISBLANK(BudgetsTable[[#This Row],[budg_seq_yr]]),"FY"&amp;fiscalyear,"FY"&amp;fiscalyear-1+BudgetsTable[[#This Row],[budg_seq_yr]])</f>
        <v>FY20</v>
      </c>
      <c r="Z103" s="80">
        <v>106222</v>
      </c>
      <c r="AA103" s="79" t="s">
        <v>477</v>
      </c>
      <c r="AB103" s="79" t="s">
        <v>582</v>
      </c>
      <c r="AC103" s="77" t="s">
        <v>94</v>
      </c>
      <c r="AD103" s="79" t="s">
        <v>1432</v>
      </c>
    </row>
    <row r="104" spans="1:30" x14ac:dyDescent="0.4">
      <c r="A104" s="10" t="s">
        <v>834</v>
      </c>
      <c r="B104" s="77" t="s">
        <v>95</v>
      </c>
      <c r="C104" s="77">
        <f>C103+(BudgetsTable[[#This Row],[lead]]&lt;&gt;K103)</f>
        <v>27</v>
      </c>
      <c r="D104" s="77">
        <f>D103*(BudgetsTable[[#This Row],[lead]]=K103)+(BudgetsTable[[#This Row],[prop_id]]&lt;&gt;A103)</f>
        <v>1</v>
      </c>
      <c r="E104" s="78">
        <v>42935.359027777777</v>
      </c>
      <c r="F104" s="79" t="s">
        <v>1430</v>
      </c>
      <c r="G104" s="79" t="s">
        <v>477</v>
      </c>
      <c r="H104" s="79" t="s">
        <v>582</v>
      </c>
      <c r="I104" s="77" t="s">
        <v>654</v>
      </c>
      <c r="J104" s="77" t="s">
        <v>13</v>
      </c>
      <c r="K104" s="79" t="s">
        <v>834</v>
      </c>
      <c r="L104" s="7" t="str">
        <f>IF(BudgetsTable[[#This Row],[pi_last_name]]=" ","",HYPERLINK("https://www.ejacket.nsf.gov/ej/showProposal.do?Continue=Y&amp;ID="&amp;BudgetsTable[[#This Row],[prop_id]],BudgetsTable[[#This Row],[prop_id]]))</f>
        <v/>
      </c>
      <c r="M104" s="15" t="str">
        <f>IF(BudgetsTable[[#This Row],[pi_last_name]]=" ","",HYPERLINK("https://www.ejacket.nsf.gov/ej/processReviewAnalysis.do?dispatch=add&amp;uniqId="&amp;BudgetsTable[[#This Row],[prop_id]]&amp;PO_id,"&gt;ra"))</f>
        <v/>
      </c>
      <c r="N104" s="79" t="s">
        <v>13</v>
      </c>
      <c r="O104" s="7" t="str">
        <f>IF(BudgetsTable[[#This Row],[pi_last_name]]=" ","",HYPERLINK("mailto:"&amp;BudgetsTable[[#This Row],[pi_email]]&amp;"&amp;subject=Your NSF Proposal:  "&amp;BudgetsTable[[#This Row],[prop_id]],BudgetsTable[[#This Row],[pi_email]]))</f>
        <v/>
      </c>
      <c r="P104" s="79" t="s">
        <v>13</v>
      </c>
      <c r="Q104" s="79">
        <v>1</v>
      </c>
      <c r="R104" s="79">
        <v>1</v>
      </c>
      <c r="S104" s="80">
        <v>0</v>
      </c>
      <c r="T104" s="80">
        <v>2000</v>
      </c>
      <c r="U104" s="80">
        <v>0</v>
      </c>
      <c r="V104" s="81">
        <v>110517</v>
      </c>
      <c r="W104" s="79">
        <v>0</v>
      </c>
      <c r="X104" s="79">
        <v>4</v>
      </c>
      <c r="Y104" s="11" t="str">
        <f ca="1">IF(ISBLANK(BudgetsTable[[#This Row],[budg_seq_yr]]),"FY"&amp;fiscalyear,"FY"&amp;fiscalyear-1+BudgetsTable[[#This Row],[budg_seq_yr]])</f>
        <v>FY21</v>
      </c>
      <c r="Z104" s="80">
        <v>110517</v>
      </c>
      <c r="AA104" s="79" t="s">
        <v>477</v>
      </c>
      <c r="AB104" s="79" t="s">
        <v>582</v>
      </c>
      <c r="AC104" s="77" t="s">
        <v>94</v>
      </c>
      <c r="AD104" s="79" t="s">
        <v>1432</v>
      </c>
    </row>
    <row r="105" spans="1:30" x14ac:dyDescent="0.4">
      <c r="A105" s="10" t="s">
        <v>834</v>
      </c>
      <c r="B105" s="77" t="s">
        <v>95</v>
      </c>
      <c r="C105" s="77">
        <f>C104+(BudgetsTable[[#This Row],[lead]]&lt;&gt;K104)</f>
        <v>27</v>
      </c>
      <c r="D105" s="77">
        <f>D104*(BudgetsTable[[#This Row],[lead]]=K104)+(BudgetsTable[[#This Row],[prop_id]]&lt;&gt;A104)</f>
        <v>1</v>
      </c>
      <c r="E105" s="78">
        <v>42935.359027777777</v>
      </c>
      <c r="F105" s="79" t="s">
        <v>1430</v>
      </c>
      <c r="G105" s="79" t="s">
        <v>477</v>
      </c>
      <c r="H105" s="79" t="s">
        <v>582</v>
      </c>
      <c r="I105" s="77" t="s">
        <v>654</v>
      </c>
      <c r="J105" s="77" t="s">
        <v>13</v>
      </c>
      <c r="K105" s="79" t="s">
        <v>834</v>
      </c>
      <c r="L105" s="7" t="str">
        <f>IF(BudgetsTable[[#This Row],[pi_last_name]]=" ","",HYPERLINK("https://www.ejacket.nsf.gov/ej/showProposal.do?Continue=Y&amp;ID="&amp;BudgetsTable[[#This Row],[prop_id]],BudgetsTable[[#This Row],[prop_id]]))</f>
        <v/>
      </c>
      <c r="M105" s="15" t="str">
        <f>IF(BudgetsTable[[#This Row],[pi_last_name]]=" ","",HYPERLINK("https://www.ejacket.nsf.gov/ej/processReviewAnalysis.do?dispatch=add&amp;uniqId="&amp;BudgetsTable[[#This Row],[prop_id]]&amp;PO_id,"&gt;ra"))</f>
        <v/>
      </c>
      <c r="N105" s="79" t="s">
        <v>13</v>
      </c>
      <c r="O105" s="7" t="str">
        <f>IF(BudgetsTable[[#This Row],[pi_last_name]]=" ","",HYPERLINK("mailto:"&amp;BudgetsTable[[#This Row],[pi_email]]&amp;"&amp;subject=Your NSF Proposal:  "&amp;BudgetsTable[[#This Row],[prop_id]],BudgetsTable[[#This Row],[pi_email]]))</f>
        <v/>
      </c>
      <c r="P105" s="79" t="s">
        <v>13</v>
      </c>
      <c r="Q105" s="79">
        <v>1</v>
      </c>
      <c r="R105" s="79">
        <v>1</v>
      </c>
      <c r="S105" s="80">
        <v>0</v>
      </c>
      <c r="T105" s="80">
        <v>2000</v>
      </c>
      <c r="U105" s="80">
        <v>0</v>
      </c>
      <c r="V105" s="81">
        <v>113296</v>
      </c>
      <c r="W105" s="79">
        <v>0</v>
      </c>
      <c r="X105" s="79">
        <v>5</v>
      </c>
      <c r="Y105" s="11" t="str">
        <f ca="1">IF(ISBLANK(BudgetsTable[[#This Row],[budg_seq_yr]]),"FY"&amp;fiscalyear,"FY"&amp;fiscalyear-1+BudgetsTable[[#This Row],[budg_seq_yr]])</f>
        <v>FY22</v>
      </c>
      <c r="Z105" s="80">
        <v>113296</v>
      </c>
      <c r="AA105" s="79" t="s">
        <v>477</v>
      </c>
      <c r="AB105" s="79" t="s">
        <v>582</v>
      </c>
      <c r="AC105" s="77" t="s">
        <v>94</v>
      </c>
      <c r="AD105" s="79" t="s">
        <v>1432</v>
      </c>
    </row>
    <row r="106" spans="1:30" x14ac:dyDescent="0.4">
      <c r="A106" s="10" t="s">
        <v>843</v>
      </c>
      <c r="B106" s="77" t="s">
        <v>95</v>
      </c>
      <c r="C106" s="77">
        <f>C105+(BudgetsTable[[#This Row],[lead]]&lt;&gt;K105)</f>
        <v>28</v>
      </c>
      <c r="D106" s="77">
        <f>D105*(BudgetsTable[[#This Row],[lead]]=K105)+(BudgetsTable[[#This Row],[prop_id]]&lt;&gt;A105)</f>
        <v>1</v>
      </c>
      <c r="E106" s="78">
        <v>42935.374305555553</v>
      </c>
      <c r="F106" s="79" t="s">
        <v>1430</v>
      </c>
      <c r="G106" s="79" t="s">
        <v>477</v>
      </c>
      <c r="H106" s="79" t="s">
        <v>582</v>
      </c>
      <c r="I106" s="77" t="s">
        <v>654</v>
      </c>
      <c r="J106" s="77" t="s">
        <v>1518</v>
      </c>
      <c r="K106" s="79" t="s">
        <v>843</v>
      </c>
      <c r="L106" s="7" t="str">
        <f>IF(BudgetsTable[[#This Row],[pi_last_name]]=" ","",HYPERLINK("https://www.ejacket.nsf.gov/ej/showProposal.do?Continue=Y&amp;ID="&amp;BudgetsTable[[#This Row],[prop_id]],BudgetsTable[[#This Row],[prop_id]]))</f>
        <v>1750127</v>
      </c>
      <c r="M106" s="15" t="e">
        <f>IF(BudgetsTable[[#This Row],[pi_last_name]]=" ","",HYPERLINK("https://www.ejacket.nsf.gov/ej/processReviewAnalysis.do?dispatch=add&amp;uniqId="&amp;BudgetsTable[[#This Row],[prop_id]]&amp;PO_id,"&gt;ra"))</f>
        <v>#REF!</v>
      </c>
      <c r="N106" s="79" t="s">
        <v>844</v>
      </c>
      <c r="O106" s="7" t="str">
        <f>IF(BudgetsTable[[#This Row],[pi_last_name]]=" ","",HYPERLINK("mailto:"&amp;BudgetsTable[[#This Row],[pi_email]]&amp;"&amp;subject=Your NSF Proposal:  "&amp;BudgetsTable[[#This Row],[prop_id]],BudgetsTable[[#This Row],[pi_email]]))</f>
        <v>viswa@umich.edu</v>
      </c>
      <c r="P106" s="79" t="s">
        <v>307</v>
      </c>
      <c r="Q106" s="79"/>
      <c r="R106" s="79"/>
      <c r="S106" s="80"/>
      <c r="T106" s="80"/>
      <c r="U106" s="80"/>
      <c r="V106" s="81"/>
      <c r="W106" s="79">
        <v>0</v>
      </c>
      <c r="X106" s="79"/>
      <c r="Y106" s="11" t="str">
        <f ca="1">IF(ISBLANK(BudgetsTable[[#This Row],[budg_seq_yr]]),"FY"&amp;fiscalyear,"FY"&amp;fiscalyear-1+BudgetsTable[[#This Row],[budg_seq_yr]])</f>
        <v>FY18</v>
      </c>
      <c r="Z106" s="80">
        <v>524840</v>
      </c>
      <c r="AA106" s="79" t="s">
        <v>477</v>
      </c>
      <c r="AB106" s="79" t="s">
        <v>582</v>
      </c>
      <c r="AC106" s="77" t="s">
        <v>94</v>
      </c>
      <c r="AD106" s="79" t="s">
        <v>584</v>
      </c>
    </row>
    <row r="107" spans="1:30" x14ac:dyDescent="0.4">
      <c r="A107" s="10" t="s">
        <v>843</v>
      </c>
      <c r="B107" s="77" t="s">
        <v>95</v>
      </c>
      <c r="C107" s="77">
        <f>C106+(BudgetsTable[[#This Row],[lead]]&lt;&gt;K106)</f>
        <v>28</v>
      </c>
      <c r="D107" s="77">
        <f>D106*(BudgetsTable[[#This Row],[lead]]=K106)+(BudgetsTable[[#This Row],[prop_id]]&lt;&gt;A106)</f>
        <v>1</v>
      </c>
      <c r="E107" s="78">
        <v>42935.374305555553</v>
      </c>
      <c r="F107" s="79" t="s">
        <v>1430</v>
      </c>
      <c r="G107" s="79" t="s">
        <v>477</v>
      </c>
      <c r="H107" s="79" t="s">
        <v>582</v>
      </c>
      <c r="I107" s="77" t="s">
        <v>654</v>
      </c>
      <c r="J107" s="77" t="s">
        <v>13</v>
      </c>
      <c r="K107" s="79" t="s">
        <v>843</v>
      </c>
      <c r="L107" s="7" t="str">
        <f>IF(BudgetsTable[[#This Row],[pi_last_name]]=" ","",HYPERLINK("https://www.ejacket.nsf.gov/ej/showProposal.do?Continue=Y&amp;ID="&amp;BudgetsTable[[#This Row],[prop_id]],BudgetsTable[[#This Row],[prop_id]]))</f>
        <v/>
      </c>
      <c r="M107" s="15" t="str">
        <f>IF(BudgetsTable[[#This Row],[pi_last_name]]=" ","",HYPERLINK("https://www.ejacket.nsf.gov/ej/processReviewAnalysis.do?dispatch=add&amp;uniqId="&amp;BudgetsTable[[#This Row],[prop_id]]&amp;PO_id,"&gt;ra"))</f>
        <v/>
      </c>
      <c r="N107" s="79" t="s">
        <v>13</v>
      </c>
      <c r="O107" s="7" t="str">
        <f>IF(BudgetsTable[[#This Row],[pi_last_name]]=" ","",HYPERLINK("mailto:"&amp;BudgetsTable[[#This Row],[pi_email]]&amp;"&amp;subject=Your NSF Proposal:  "&amp;BudgetsTable[[#This Row],[prop_id]],BudgetsTable[[#This Row],[pi_email]]))</f>
        <v/>
      </c>
      <c r="P107" s="79" t="s">
        <v>13</v>
      </c>
      <c r="Q107" s="79">
        <v>1</v>
      </c>
      <c r="R107" s="79">
        <v>1</v>
      </c>
      <c r="S107" s="80">
        <v>0</v>
      </c>
      <c r="T107" s="80">
        <v>0</v>
      </c>
      <c r="U107" s="80">
        <v>0</v>
      </c>
      <c r="V107" s="81">
        <v>112867</v>
      </c>
      <c r="W107" s="79">
        <v>0</v>
      </c>
      <c r="X107" s="79">
        <v>1</v>
      </c>
      <c r="Y107" s="11" t="str">
        <f ca="1">IF(ISBLANK(BudgetsTable[[#This Row],[budg_seq_yr]]),"FY"&amp;fiscalyear,"FY"&amp;fiscalyear-1+BudgetsTable[[#This Row],[budg_seq_yr]])</f>
        <v>FY18</v>
      </c>
      <c r="Z107" s="80">
        <v>112867</v>
      </c>
      <c r="AA107" s="79" t="s">
        <v>477</v>
      </c>
      <c r="AB107" s="79" t="s">
        <v>582</v>
      </c>
      <c r="AC107" s="77" t="s">
        <v>94</v>
      </c>
      <c r="AD107" s="79" t="s">
        <v>584</v>
      </c>
    </row>
    <row r="108" spans="1:30" x14ac:dyDescent="0.4">
      <c r="A108" s="10" t="s">
        <v>843</v>
      </c>
      <c r="B108" s="77" t="s">
        <v>95</v>
      </c>
      <c r="C108" s="77">
        <f>C107+(BudgetsTable[[#This Row],[lead]]&lt;&gt;K107)</f>
        <v>28</v>
      </c>
      <c r="D108" s="77">
        <f>D107*(BudgetsTable[[#This Row],[lead]]=K107)+(BudgetsTable[[#This Row],[prop_id]]&lt;&gt;A107)</f>
        <v>1</v>
      </c>
      <c r="E108" s="78">
        <v>42935.374305555553</v>
      </c>
      <c r="F108" s="79" t="s">
        <v>1430</v>
      </c>
      <c r="G108" s="79" t="s">
        <v>477</v>
      </c>
      <c r="H108" s="79" t="s">
        <v>582</v>
      </c>
      <c r="I108" s="77" t="s">
        <v>654</v>
      </c>
      <c r="J108" s="77" t="s">
        <v>13</v>
      </c>
      <c r="K108" s="79" t="s">
        <v>843</v>
      </c>
      <c r="L108" s="7" t="str">
        <f>IF(BudgetsTable[[#This Row],[pi_last_name]]=" ","",HYPERLINK("https://www.ejacket.nsf.gov/ej/showProposal.do?Continue=Y&amp;ID="&amp;BudgetsTable[[#This Row],[prop_id]],BudgetsTable[[#This Row],[prop_id]]))</f>
        <v/>
      </c>
      <c r="M108" s="15" t="str">
        <f>IF(BudgetsTable[[#This Row],[pi_last_name]]=" ","",HYPERLINK("https://www.ejacket.nsf.gov/ej/processReviewAnalysis.do?dispatch=add&amp;uniqId="&amp;BudgetsTable[[#This Row],[prop_id]]&amp;PO_id,"&gt;ra"))</f>
        <v/>
      </c>
      <c r="N108" s="79" t="s">
        <v>13</v>
      </c>
      <c r="O108" s="7" t="str">
        <f>IF(BudgetsTable[[#This Row],[pi_last_name]]=" ","",HYPERLINK("mailto:"&amp;BudgetsTable[[#This Row],[pi_email]]&amp;"&amp;subject=Your NSF Proposal:  "&amp;BudgetsTable[[#This Row],[prop_id]],BudgetsTable[[#This Row],[pi_email]]))</f>
        <v/>
      </c>
      <c r="P108" s="79" t="s">
        <v>13</v>
      </c>
      <c r="Q108" s="79">
        <v>1</v>
      </c>
      <c r="R108" s="79">
        <v>1</v>
      </c>
      <c r="S108" s="80">
        <v>0</v>
      </c>
      <c r="T108" s="80">
        <v>0</v>
      </c>
      <c r="U108" s="80">
        <v>1500</v>
      </c>
      <c r="V108" s="81">
        <v>109361</v>
      </c>
      <c r="W108" s="79">
        <v>0</v>
      </c>
      <c r="X108" s="79">
        <v>2</v>
      </c>
      <c r="Y108" s="11" t="str">
        <f ca="1">IF(ISBLANK(BudgetsTable[[#This Row],[budg_seq_yr]]),"FY"&amp;fiscalyear,"FY"&amp;fiscalyear-1+BudgetsTable[[#This Row],[budg_seq_yr]])</f>
        <v>FY19</v>
      </c>
      <c r="Z108" s="80">
        <v>109361</v>
      </c>
      <c r="AA108" s="79" t="s">
        <v>477</v>
      </c>
      <c r="AB108" s="79" t="s">
        <v>582</v>
      </c>
      <c r="AC108" s="77" t="s">
        <v>94</v>
      </c>
      <c r="AD108" s="79" t="s">
        <v>584</v>
      </c>
    </row>
    <row r="109" spans="1:30" x14ac:dyDescent="0.4">
      <c r="A109" s="10" t="s">
        <v>843</v>
      </c>
      <c r="B109" s="77" t="s">
        <v>95</v>
      </c>
      <c r="C109" s="77">
        <f>C108+(BudgetsTable[[#This Row],[lead]]&lt;&gt;K108)</f>
        <v>28</v>
      </c>
      <c r="D109" s="77">
        <f>D108*(BudgetsTable[[#This Row],[lead]]=K108)+(BudgetsTable[[#This Row],[prop_id]]&lt;&gt;A108)</f>
        <v>1</v>
      </c>
      <c r="E109" s="78">
        <v>42935.374305555553</v>
      </c>
      <c r="F109" s="79" t="s">
        <v>1430</v>
      </c>
      <c r="G109" s="79" t="s">
        <v>477</v>
      </c>
      <c r="H109" s="79" t="s">
        <v>582</v>
      </c>
      <c r="I109" s="77" t="s">
        <v>654</v>
      </c>
      <c r="J109" s="77" t="s">
        <v>13</v>
      </c>
      <c r="K109" s="79" t="s">
        <v>843</v>
      </c>
      <c r="L109" s="7" t="str">
        <f>IF(BudgetsTable[[#This Row],[pi_last_name]]=" ","",HYPERLINK("https://www.ejacket.nsf.gov/ej/showProposal.do?Continue=Y&amp;ID="&amp;BudgetsTable[[#This Row],[prop_id]],BudgetsTable[[#This Row],[prop_id]]))</f>
        <v/>
      </c>
      <c r="M109" s="15" t="str">
        <f>IF(BudgetsTable[[#This Row],[pi_last_name]]=" ","",HYPERLINK("https://www.ejacket.nsf.gov/ej/processReviewAnalysis.do?dispatch=add&amp;uniqId="&amp;BudgetsTable[[#This Row],[prop_id]]&amp;PO_id,"&gt;ra"))</f>
        <v/>
      </c>
      <c r="N109" s="79" t="s">
        <v>13</v>
      </c>
      <c r="O109" s="7" t="str">
        <f>IF(BudgetsTable[[#This Row],[pi_last_name]]=" ","",HYPERLINK("mailto:"&amp;BudgetsTable[[#This Row],[pi_email]]&amp;"&amp;subject=Your NSF Proposal:  "&amp;BudgetsTable[[#This Row],[prop_id]],BudgetsTable[[#This Row],[pi_email]]))</f>
        <v/>
      </c>
      <c r="P109" s="79" t="s">
        <v>13</v>
      </c>
      <c r="Q109" s="79">
        <v>1</v>
      </c>
      <c r="R109" s="79">
        <v>1</v>
      </c>
      <c r="S109" s="80">
        <v>0</v>
      </c>
      <c r="T109" s="80">
        <v>0</v>
      </c>
      <c r="U109" s="80">
        <v>0</v>
      </c>
      <c r="V109" s="81">
        <v>111369</v>
      </c>
      <c r="W109" s="79">
        <v>0</v>
      </c>
      <c r="X109" s="79">
        <v>3</v>
      </c>
      <c r="Y109" s="11" t="str">
        <f ca="1">IF(ISBLANK(BudgetsTable[[#This Row],[budg_seq_yr]]),"FY"&amp;fiscalyear,"FY"&amp;fiscalyear-1+BudgetsTable[[#This Row],[budg_seq_yr]])</f>
        <v>FY20</v>
      </c>
      <c r="Z109" s="80">
        <v>111369</v>
      </c>
      <c r="AA109" s="79" t="s">
        <v>477</v>
      </c>
      <c r="AB109" s="79" t="s">
        <v>582</v>
      </c>
      <c r="AC109" s="77" t="s">
        <v>94</v>
      </c>
      <c r="AD109" s="79" t="s">
        <v>584</v>
      </c>
    </row>
    <row r="110" spans="1:30" x14ac:dyDescent="0.4">
      <c r="A110" s="10" t="s">
        <v>843</v>
      </c>
      <c r="B110" s="77" t="s">
        <v>95</v>
      </c>
      <c r="C110" s="77">
        <f>C109+(BudgetsTable[[#This Row],[lead]]&lt;&gt;K109)</f>
        <v>28</v>
      </c>
      <c r="D110" s="77">
        <f>D109*(BudgetsTable[[#This Row],[lead]]=K109)+(BudgetsTable[[#This Row],[prop_id]]&lt;&gt;A109)</f>
        <v>1</v>
      </c>
      <c r="E110" s="78">
        <v>42935.374305555553</v>
      </c>
      <c r="F110" s="79" t="s">
        <v>1430</v>
      </c>
      <c r="G110" s="79" t="s">
        <v>477</v>
      </c>
      <c r="H110" s="79" t="s">
        <v>582</v>
      </c>
      <c r="I110" s="77" t="s">
        <v>654</v>
      </c>
      <c r="J110" s="77" t="s">
        <v>13</v>
      </c>
      <c r="K110" s="79" t="s">
        <v>843</v>
      </c>
      <c r="L110" s="7" t="str">
        <f>IF(BudgetsTable[[#This Row],[pi_last_name]]=" ","",HYPERLINK("https://www.ejacket.nsf.gov/ej/showProposal.do?Continue=Y&amp;ID="&amp;BudgetsTable[[#This Row],[prop_id]],BudgetsTable[[#This Row],[prop_id]]))</f>
        <v/>
      </c>
      <c r="M110" s="15" t="str">
        <f>IF(BudgetsTable[[#This Row],[pi_last_name]]=" ","",HYPERLINK("https://www.ejacket.nsf.gov/ej/processReviewAnalysis.do?dispatch=add&amp;uniqId="&amp;BudgetsTable[[#This Row],[prop_id]]&amp;PO_id,"&gt;ra"))</f>
        <v/>
      </c>
      <c r="N110" s="79" t="s">
        <v>13</v>
      </c>
      <c r="O110" s="7" t="str">
        <f>IF(BudgetsTable[[#This Row],[pi_last_name]]=" ","",HYPERLINK("mailto:"&amp;BudgetsTable[[#This Row],[pi_email]]&amp;"&amp;subject=Your NSF Proposal:  "&amp;BudgetsTable[[#This Row],[prop_id]],BudgetsTable[[#This Row],[pi_email]]))</f>
        <v/>
      </c>
      <c r="P110" s="79" t="s">
        <v>13</v>
      </c>
      <c r="Q110" s="79">
        <v>1</v>
      </c>
      <c r="R110" s="79">
        <v>1</v>
      </c>
      <c r="S110" s="80">
        <v>0</v>
      </c>
      <c r="T110" s="80">
        <v>0</v>
      </c>
      <c r="U110" s="80">
        <v>1500</v>
      </c>
      <c r="V110" s="81">
        <v>94898</v>
      </c>
      <c r="W110" s="79">
        <v>0</v>
      </c>
      <c r="X110" s="79">
        <v>4</v>
      </c>
      <c r="Y110" s="11" t="str">
        <f ca="1">IF(ISBLANK(BudgetsTable[[#This Row],[budg_seq_yr]]),"FY"&amp;fiscalyear,"FY"&amp;fiscalyear-1+BudgetsTable[[#This Row],[budg_seq_yr]])</f>
        <v>FY21</v>
      </c>
      <c r="Z110" s="80">
        <v>94898</v>
      </c>
      <c r="AA110" s="79" t="s">
        <v>477</v>
      </c>
      <c r="AB110" s="79" t="s">
        <v>582</v>
      </c>
      <c r="AC110" s="77" t="s">
        <v>94</v>
      </c>
      <c r="AD110" s="79" t="s">
        <v>584</v>
      </c>
    </row>
    <row r="111" spans="1:30" x14ac:dyDescent="0.4">
      <c r="A111" s="10" t="s">
        <v>843</v>
      </c>
      <c r="B111" s="77" t="s">
        <v>95</v>
      </c>
      <c r="C111" s="77">
        <f>C110+(BudgetsTable[[#This Row],[lead]]&lt;&gt;K110)</f>
        <v>28</v>
      </c>
      <c r="D111" s="77">
        <f>D110*(BudgetsTable[[#This Row],[lead]]=K110)+(BudgetsTable[[#This Row],[prop_id]]&lt;&gt;A110)</f>
        <v>1</v>
      </c>
      <c r="E111" s="78">
        <v>42935.374305555553</v>
      </c>
      <c r="F111" s="79" t="s">
        <v>1430</v>
      </c>
      <c r="G111" s="79" t="s">
        <v>477</v>
      </c>
      <c r="H111" s="79" t="s">
        <v>582</v>
      </c>
      <c r="I111" s="77" t="s">
        <v>654</v>
      </c>
      <c r="J111" s="77" t="s">
        <v>13</v>
      </c>
      <c r="K111" s="79" t="s">
        <v>843</v>
      </c>
      <c r="L111" s="7" t="str">
        <f>IF(BudgetsTable[[#This Row],[pi_last_name]]=" ","",HYPERLINK("https://www.ejacket.nsf.gov/ej/showProposal.do?Continue=Y&amp;ID="&amp;BudgetsTable[[#This Row],[prop_id]],BudgetsTable[[#This Row],[prop_id]]))</f>
        <v/>
      </c>
      <c r="M111" s="15" t="str">
        <f>IF(BudgetsTable[[#This Row],[pi_last_name]]=" ","",HYPERLINK("https://www.ejacket.nsf.gov/ej/processReviewAnalysis.do?dispatch=add&amp;uniqId="&amp;BudgetsTable[[#This Row],[prop_id]]&amp;PO_id,"&gt;ra"))</f>
        <v/>
      </c>
      <c r="N111" s="79" t="s">
        <v>13</v>
      </c>
      <c r="O111" s="7" t="str">
        <f>IF(BudgetsTable[[#This Row],[pi_last_name]]=" ","",HYPERLINK("mailto:"&amp;BudgetsTable[[#This Row],[pi_email]]&amp;"&amp;subject=Your NSF Proposal:  "&amp;BudgetsTable[[#This Row],[prop_id]],BudgetsTable[[#This Row],[pi_email]]))</f>
        <v/>
      </c>
      <c r="P111" s="79" t="s">
        <v>13</v>
      </c>
      <c r="Q111" s="79">
        <v>1</v>
      </c>
      <c r="R111" s="79">
        <v>1</v>
      </c>
      <c r="S111" s="80">
        <v>0</v>
      </c>
      <c r="T111" s="80">
        <v>0</v>
      </c>
      <c r="U111" s="80">
        <v>0</v>
      </c>
      <c r="V111" s="81">
        <v>96345</v>
      </c>
      <c r="W111" s="79">
        <v>0</v>
      </c>
      <c r="X111" s="79">
        <v>5</v>
      </c>
      <c r="Y111" s="11" t="str">
        <f ca="1">IF(ISBLANK(BudgetsTable[[#This Row],[budg_seq_yr]]),"FY"&amp;fiscalyear,"FY"&amp;fiscalyear-1+BudgetsTable[[#This Row],[budg_seq_yr]])</f>
        <v>FY22</v>
      </c>
      <c r="Z111" s="80">
        <v>96345</v>
      </c>
      <c r="AA111" s="79" t="s">
        <v>477</v>
      </c>
      <c r="AB111" s="79" t="s">
        <v>582</v>
      </c>
      <c r="AC111" s="77" t="s">
        <v>94</v>
      </c>
      <c r="AD111" s="79" t="s">
        <v>584</v>
      </c>
    </row>
    <row r="112" spans="1:30" x14ac:dyDescent="0.4">
      <c r="A112" s="10" t="s">
        <v>851</v>
      </c>
      <c r="B112" s="77" t="s">
        <v>95</v>
      </c>
      <c r="C112" s="77">
        <f>C111+(BudgetsTable[[#This Row],[lead]]&lt;&gt;K111)</f>
        <v>29</v>
      </c>
      <c r="D112" s="77">
        <f>D111*(BudgetsTable[[#This Row],[lead]]=K111)+(BudgetsTable[[#This Row],[prop_id]]&lt;&gt;A111)</f>
        <v>1</v>
      </c>
      <c r="E112" s="78">
        <v>42935.387499999997</v>
      </c>
      <c r="F112" s="79" t="s">
        <v>1430</v>
      </c>
      <c r="G112" s="79" t="s">
        <v>477</v>
      </c>
      <c r="H112" s="79" t="s">
        <v>582</v>
      </c>
      <c r="I112" s="77" t="s">
        <v>654</v>
      </c>
      <c r="J112" s="77" t="s">
        <v>1523</v>
      </c>
      <c r="K112" s="79" t="s">
        <v>851</v>
      </c>
      <c r="L112" s="7" t="str">
        <f>IF(BudgetsTable[[#This Row],[pi_last_name]]=" ","",HYPERLINK("https://www.ejacket.nsf.gov/ej/showProposal.do?Continue=Y&amp;ID="&amp;BudgetsTable[[#This Row],[prop_id]],BudgetsTable[[#This Row],[prop_id]]))</f>
        <v>1750140</v>
      </c>
      <c r="M112" s="15" t="e">
        <f>IF(BudgetsTable[[#This Row],[pi_last_name]]=" ","",HYPERLINK("https://www.ejacket.nsf.gov/ej/processReviewAnalysis.do?dispatch=add&amp;uniqId="&amp;BudgetsTable[[#This Row],[prop_id]]&amp;PO_id,"&gt;ra"))</f>
        <v>#REF!</v>
      </c>
      <c r="N112" s="79" t="s">
        <v>852</v>
      </c>
      <c r="O112" s="7" t="str">
        <f>IF(BudgetsTable[[#This Row],[pi_last_name]]=" ","",HYPERLINK("mailto:"&amp;BudgetsTable[[#This Row],[pi_email]]&amp;"&amp;subject=Your NSF Proposal:  "&amp;BudgetsTable[[#This Row],[prop_id]],BudgetsTable[[#This Row],[pi_email]]))</f>
        <v>debmalya.panigrahi@gmail.com</v>
      </c>
      <c r="P112" s="79" t="s">
        <v>1520</v>
      </c>
      <c r="Q112" s="79"/>
      <c r="R112" s="79"/>
      <c r="S112" s="80"/>
      <c r="T112" s="80"/>
      <c r="U112" s="80"/>
      <c r="V112" s="81"/>
      <c r="W112" s="79">
        <v>0</v>
      </c>
      <c r="X112" s="79"/>
      <c r="Y112" s="11" t="str">
        <f ca="1">IF(ISBLANK(BudgetsTable[[#This Row],[budg_seq_yr]]),"FY"&amp;fiscalyear,"FY"&amp;fiscalyear-1+BudgetsTable[[#This Row],[budg_seq_yr]])</f>
        <v>FY18</v>
      </c>
      <c r="Z112" s="80">
        <v>602288</v>
      </c>
      <c r="AA112" s="79" t="s">
        <v>477</v>
      </c>
      <c r="AB112" s="79" t="s">
        <v>582</v>
      </c>
      <c r="AC112" s="77" t="s">
        <v>94</v>
      </c>
      <c r="AD112" s="79" t="s">
        <v>1432</v>
      </c>
    </row>
    <row r="113" spans="1:30" x14ac:dyDescent="0.4">
      <c r="A113" s="10" t="s">
        <v>851</v>
      </c>
      <c r="B113" s="77" t="s">
        <v>95</v>
      </c>
      <c r="C113" s="77">
        <f>C112+(BudgetsTable[[#This Row],[lead]]&lt;&gt;K112)</f>
        <v>29</v>
      </c>
      <c r="D113" s="77">
        <f>D112*(BudgetsTable[[#This Row],[lead]]=K112)+(BudgetsTable[[#This Row],[prop_id]]&lt;&gt;A112)</f>
        <v>1</v>
      </c>
      <c r="E113" s="78">
        <v>42935.387499999997</v>
      </c>
      <c r="F113" s="79" t="s">
        <v>1430</v>
      </c>
      <c r="G113" s="79" t="s">
        <v>477</v>
      </c>
      <c r="H113" s="79" t="s">
        <v>582</v>
      </c>
      <c r="I113" s="77" t="s">
        <v>654</v>
      </c>
      <c r="J113" s="77" t="s">
        <v>13</v>
      </c>
      <c r="K113" s="79" t="s">
        <v>851</v>
      </c>
      <c r="L113" s="7" t="str">
        <f>IF(BudgetsTable[[#This Row],[pi_last_name]]=" ","",HYPERLINK("https://www.ejacket.nsf.gov/ej/showProposal.do?Continue=Y&amp;ID="&amp;BudgetsTable[[#This Row],[prop_id]],BudgetsTable[[#This Row],[prop_id]]))</f>
        <v/>
      </c>
      <c r="M113" s="15" t="str">
        <f>IF(BudgetsTable[[#This Row],[pi_last_name]]=" ","",HYPERLINK("https://www.ejacket.nsf.gov/ej/processReviewAnalysis.do?dispatch=add&amp;uniqId="&amp;BudgetsTable[[#This Row],[prop_id]]&amp;PO_id,"&gt;ra"))</f>
        <v/>
      </c>
      <c r="N113" s="79" t="s">
        <v>13</v>
      </c>
      <c r="O113" s="7" t="str">
        <f>IF(BudgetsTable[[#This Row],[pi_last_name]]=" ","",HYPERLINK("mailto:"&amp;BudgetsTable[[#This Row],[pi_email]]&amp;"&amp;subject=Your NSF Proposal:  "&amp;BudgetsTable[[#This Row],[prop_id]],BudgetsTable[[#This Row],[pi_email]]))</f>
        <v/>
      </c>
      <c r="P113" s="79" t="s">
        <v>13</v>
      </c>
      <c r="Q113" s="79">
        <v>1</v>
      </c>
      <c r="R113" s="79">
        <v>1</v>
      </c>
      <c r="S113" s="80">
        <v>0</v>
      </c>
      <c r="T113" s="80">
        <v>4000</v>
      </c>
      <c r="U113" s="80">
        <v>16000</v>
      </c>
      <c r="V113" s="81">
        <v>116624</v>
      </c>
      <c r="W113" s="79">
        <v>0</v>
      </c>
      <c r="X113" s="79">
        <v>1</v>
      </c>
      <c r="Y113" s="11" t="str">
        <f ca="1">IF(ISBLANK(BudgetsTable[[#This Row],[budg_seq_yr]]),"FY"&amp;fiscalyear,"FY"&amp;fiscalyear-1+BudgetsTable[[#This Row],[budg_seq_yr]])</f>
        <v>FY18</v>
      </c>
      <c r="Z113" s="80">
        <v>116624</v>
      </c>
      <c r="AA113" s="79" t="s">
        <v>477</v>
      </c>
      <c r="AB113" s="79" t="s">
        <v>582</v>
      </c>
      <c r="AC113" s="77" t="s">
        <v>94</v>
      </c>
      <c r="AD113" s="79" t="s">
        <v>1432</v>
      </c>
    </row>
    <row r="114" spans="1:30" x14ac:dyDescent="0.4">
      <c r="A114" s="10" t="s">
        <v>851</v>
      </c>
      <c r="B114" s="77" t="s">
        <v>95</v>
      </c>
      <c r="C114" s="77">
        <f>C113+(BudgetsTable[[#This Row],[lead]]&lt;&gt;K113)</f>
        <v>29</v>
      </c>
      <c r="D114" s="77">
        <f>D113*(BudgetsTable[[#This Row],[lead]]=K113)+(BudgetsTable[[#This Row],[prop_id]]&lt;&gt;A113)</f>
        <v>1</v>
      </c>
      <c r="E114" s="78">
        <v>42935.387499999997</v>
      </c>
      <c r="F114" s="79" t="s">
        <v>1430</v>
      </c>
      <c r="G114" s="79" t="s">
        <v>477</v>
      </c>
      <c r="H114" s="79" t="s">
        <v>582</v>
      </c>
      <c r="I114" s="77" t="s">
        <v>654</v>
      </c>
      <c r="J114" s="77" t="s">
        <v>13</v>
      </c>
      <c r="K114" s="79" t="s">
        <v>851</v>
      </c>
      <c r="L114" s="7" t="str">
        <f>IF(BudgetsTable[[#This Row],[pi_last_name]]=" ","",HYPERLINK("https://www.ejacket.nsf.gov/ej/showProposal.do?Continue=Y&amp;ID="&amp;BudgetsTable[[#This Row],[prop_id]],BudgetsTable[[#This Row],[prop_id]]))</f>
        <v/>
      </c>
      <c r="M114" s="15" t="str">
        <f>IF(BudgetsTable[[#This Row],[pi_last_name]]=" ","",HYPERLINK("https://www.ejacket.nsf.gov/ej/processReviewAnalysis.do?dispatch=add&amp;uniqId="&amp;BudgetsTable[[#This Row],[prop_id]]&amp;PO_id,"&gt;ra"))</f>
        <v/>
      </c>
      <c r="N114" s="79" t="s">
        <v>13</v>
      </c>
      <c r="O114" s="7" t="str">
        <f>IF(BudgetsTable[[#This Row],[pi_last_name]]=" ","",HYPERLINK("mailto:"&amp;BudgetsTable[[#This Row],[pi_email]]&amp;"&amp;subject=Your NSF Proposal:  "&amp;BudgetsTable[[#This Row],[prop_id]],BudgetsTable[[#This Row],[pi_email]]))</f>
        <v/>
      </c>
      <c r="P114" s="79" t="s">
        <v>13</v>
      </c>
      <c r="Q114" s="79">
        <v>1</v>
      </c>
      <c r="R114" s="79">
        <v>1</v>
      </c>
      <c r="S114" s="80">
        <v>0</v>
      </c>
      <c r="T114" s="80">
        <v>4100</v>
      </c>
      <c r="U114" s="80">
        <v>0</v>
      </c>
      <c r="V114" s="81">
        <v>103527</v>
      </c>
      <c r="W114" s="79">
        <v>0</v>
      </c>
      <c r="X114" s="79">
        <v>2</v>
      </c>
      <c r="Y114" s="11" t="str">
        <f ca="1">IF(ISBLANK(BudgetsTable[[#This Row],[budg_seq_yr]]),"FY"&amp;fiscalyear,"FY"&amp;fiscalyear-1+BudgetsTable[[#This Row],[budg_seq_yr]])</f>
        <v>FY19</v>
      </c>
      <c r="Z114" s="80">
        <v>103527</v>
      </c>
      <c r="AA114" s="79" t="s">
        <v>477</v>
      </c>
      <c r="AB114" s="79" t="s">
        <v>582</v>
      </c>
      <c r="AC114" s="77" t="s">
        <v>94</v>
      </c>
      <c r="AD114" s="79" t="s">
        <v>1432</v>
      </c>
    </row>
    <row r="115" spans="1:30" x14ac:dyDescent="0.4">
      <c r="A115" s="10" t="s">
        <v>851</v>
      </c>
      <c r="B115" s="77" t="s">
        <v>95</v>
      </c>
      <c r="C115" s="77">
        <f>C114+(BudgetsTable[[#This Row],[lead]]&lt;&gt;K114)</f>
        <v>29</v>
      </c>
      <c r="D115" s="77">
        <f>D114*(BudgetsTable[[#This Row],[lead]]=K114)+(BudgetsTable[[#This Row],[prop_id]]&lt;&gt;A114)</f>
        <v>1</v>
      </c>
      <c r="E115" s="78">
        <v>42935.387499999997</v>
      </c>
      <c r="F115" s="79" t="s">
        <v>1430</v>
      </c>
      <c r="G115" s="79" t="s">
        <v>477</v>
      </c>
      <c r="H115" s="79" t="s">
        <v>582</v>
      </c>
      <c r="I115" s="77" t="s">
        <v>654</v>
      </c>
      <c r="J115" s="77" t="s">
        <v>13</v>
      </c>
      <c r="K115" s="79" t="s">
        <v>851</v>
      </c>
      <c r="L115" s="7" t="str">
        <f>IF(BudgetsTable[[#This Row],[pi_last_name]]=" ","",HYPERLINK("https://www.ejacket.nsf.gov/ej/showProposal.do?Continue=Y&amp;ID="&amp;BudgetsTable[[#This Row],[prop_id]],BudgetsTable[[#This Row],[prop_id]]))</f>
        <v/>
      </c>
      <c r="M115" s="15" t="str">
        <f>IF(BudgetsTable[[#This Row],[pi_last_name]]=" ","",HYPERLINK("https://www.ejacket.nsf.gov/ej/processReviewAnalysis.do?dispatch=add&amp;uniqId="&amp;BudgetsTable[[#This Row],[prop_id]]&amp;PO_id,"&gt;ra"))</f>
        <v/>
      </c>
      <c r="N115" s="79" t="s">
        <v>13</v>
      </c>
      <c r="O115" s="7" t="str">
        <f>IF(BudgetsTable[[#This Row],[pi_last_name]]=" ","",HYPERLINK("mailto:"&amp;BudgetsTable[[#This Row],[pi_email]]&amp;"&amp;subject=Your NSF Proposal:  "&amp;BudgetsTable[[#This Row],[prop_id]],BudgetsTable[[#This Row],[pi_email]]))</f>
        <v/>
      </c>
      <c r="P115" s="79" t="s">
        <v>13</v>
      </c>
      <c r="Q115" s="79">
        <v>1</v>
      </c>
      <c r="R115" s="79">
        <v>1</v>
      </c>
      <c r="S115" s="80">
        <v>0</v>
      </c>
      <c r="T115" s="80">
        <v>4203</v>
      </c>
      <c r="U115" s="80">
        <v>0</v>
      </c>
      <c r="V115" s="81">
        <v>106655</v>
      </c>
      <c r="W115" s="79">
        <v>0</v>
      </c>
      <c r="X115" s="79">
        <v>3</v>
      </c>
      <c r="Y115" s="11" t="str">
        <f ca="1">IF(ISBLANK(BudgetsTable[[#This Row],[budg_seq_yr]]),"FY"&amp;fiscalyear,"FY"&amp;fiscalyear-1+BudgetsTable[[#This Row],[budg_seq_yr]])</f>
        <v>FY20</v>
      </c>
      <c r="Z115" s="80">
        <v>106655</v>
      </c>
      <c r="AA115" s="79" t="s">
        <v>477</v>
      </c>
      <c r="AB115" s="79" t="s">
        <v>582</v>
      </c>
      <c r="AC115" s="77" t="s">
        <v>94</v>
      </c>
      <c r="AD115" s="79" t="s">
        <v>1432</v>
      </c>
    </row>
    <row r="116" spans="1:30" x14ac:dyDescent="0.4">
      <c r="A116" s="10" t="s">
        <v>851</v>
      </c>
      <c r="B116" s="77" t="s">
        <v>95</v>
      </c>
      <c r="C116" s="77">
        <f>C115+(BudgetsTable[[#This Row],[lead]]&lt;&gt;K115)</f>
        <v>29</v>
      </c>
      <c r="D116" s="77">
        <f>D115*(BudgetsTable[[#This Row],[lead]]=K115)+(BudgetsTable[[#This Row],[prop_id]]&lt;&gt;A115)</f>
        <v>1</v>
      </c>
      <c r="E116" s="78">
        <v>42935.387499999997</v>
      </c>
      <c r="F116" s="79" t="s">
        <v>1430</v>
      </c>
      <c r="G116" s="79" t="s">
        <v>477</v>
      </c>
      <c r="H116" s="79" t="s">
        <v>582</v>
      </c>
      <c r="I116" s="77" t="s">
        <v>654</v>
      </c>
      <c r="J116" s="77" t="s">
        <v>13</v>
      </c>
      <c r="K116" s="79" t="s">
        <v>851</v>
      </c>
      <c r="L116" s="7" t="str">
        <f>IF(BudgetsTable[[#This Row],[pi_last_name]]=" ","",HYPERLINK("https://www.ejacket.nsf.gov/ej/showProposal.do?Continue=Y&amp;ID="&amp;BudgetsTable[[#This Row],[prop_id]],BudgetsTable[[#This Row],[prop_id]]))</f>
        <v/>
      </c>
      <c r="M116" s="15" t="str">
        <f>IF(BudgetsTable[[#This Row],[pi_last_name]]=" ","",HYPERLINK("https://www.ejacket.nsf.gov/ej/processReviewAnalysis.do?dispatch=add&amp;uniqId="&amp;BudgetsTable[[#This Row],[prop_id]]&amp;PO_id,"&gt;ra"))</f>
        <v/>
      </c>
      <c r="N116" s="79" t="s">
        <v>13</v>
      </c>
      <c r="O116" s="7" t="str">
        <f>IF(BudgetsTable[[#This Row],[pi_last_name]]=" ","",HYPERLINK("mailto:"&amp;BudgetsTable[[#This Row],[pi_email]]&amp;"&amp;subject=Your NSF Proposal:  "&amp;BudgetsTable[[#This Row],[prop_id]],BudgetsTable[[#This Row],[pi_email]]))</f>
        <v/>
      </c>
      <c r="P116" s="79" t="s">
        <v>13</v>
      </c>
      <c r="Q116" s="79">
        <v>1</v>
      </c>
      <c r="R116" s="79">
        <v>2</v>
      </c>
      <c r="S116" s="80">
        <v>0</v>
      </c>
      <c r="T116" s="80">
        <v>4308</v>
      </c>
      <c r="U116" s="80">
        <v>0</v>
      </c>
      <c r="V116" s="81">
        <v>135919</v>
      </c>
      <c r="W116" s="79">
        <v>0</v>
      </c>
      <c r="X116" s="79">
        <v>4</v>
      </c>
      <c r="Y116" s="11" t="str">
        <f ca="1">IF(ISBLANK(BudgetsTable[[#This Row],[budg_seq_yr]]),"FY"&amp;fiscalyear,"FY"&amp;fiscalyear-1+BudgetsTable[[#This Row],[budg_seq_yr]])</f>
        <v>FY21</v>
      </c>
      <c r="Z116" s="80">
        <v>135919</v>
      </c>
      <c r="AA116" s="79" t="s">
        <v>477</v>
      </c>
      <c r="AB116" s="79" t="s">
        <v>582</v>
      </c>
      <c r="AC116" s="77" t="s">
        <v>94</v>
      </c>
      <c r="AD116" s="79" t="s">
        <v>1432</v>
      </c>
    </row>
    <row r="117" spans="1:30" x14ac:dyDescent="0.4">
      <c r="A117" s="10" t="s">
        <v>851</v>
      </c>
      <c r="B117" s="77" t="s">
        <v>95</v>
      </c>
      <c r="C117" s="77">
        <f>C116+(BudgetsTable[[#This Row],[lead]]&lt;&gt;K116)</f>
        <v>29</v>
      </c>
      <c r="D117" s="77">
        <f>D116*(BudgetsTable[[#This Row],[lead]]=K116)+(BudgetsTable[[#This Row],[prop_id]]&lt;&gt;A116)</f>
        <v>1</v>
      </c>
      <c r="E117" s="78">
        <v>42935.387499999997</v>
      </c>
      <c r="F117" s="79" t="s">
        <v>1430</v>
      </c>
      <c r="G117" s="79" t="s">
        <v>477</v>
      </c>
      <c r="H117" s="79" t="s">
        <v>582</v>
      </c>
      <c r="I117" s="77" t="s">
        <v>654</v>
      </c>
      <c r="J117" s="77" t="s">
        <v>13</v>
      </c>
      <c r="K117" s="79" t="s">
        <v>851</v>
      </c>
      <c r="L117" s="7" t="str">
        <f>IF(BudgetsTable[[#This Row],[pi_last_name]]=" ","",HYPERLINK("https://www.ejacket.nsf.gov/ej/showProposal.do?Continue=Y&amp;ID="&amp;BudgetsTable[[#This Row],[prop_id]],BudgetsTable[[#This Row],[prop_id]]))</f>
        <v/>
      </c>
      <c r="M117" s="15" t="str">
        <f>IF(BudgetsTable[[#This Row],[pi_last_name]]=" ","",HYPERLINK("https://www.ejacket.nsf.gov/ej/processReviewAnalysis.do?dispatch=add&amp;uniqId="&amp;BudgetsTable[[#This Row],[prop_id]]&amp;PO_id,"&gt;ra"))</f>
        <v/>
      </c>
      <c r="N117" s="79" t="s">
        <v>13</v>
      </c>
      <c r="O117" s="7" t="str">
        <f>IF(BudgetsTable[[#This Row],[pi_last_name]]=" ","",HYPERLINK("mailto:"&amp;BudgetsTable[[#This Row],[pi_email]]&amp;"&amp;subject=Your NSF Proposal:  "&amp;BudgetsTable[[#This Row],[prop_id]],BudgetsTable[[#This Row],[pi_email]]))</f>
        <v/>
      </c>
      <c r="P117" s="79" t="s">
        <v>13</v>
      </c>
      <c r="Q117" s="79">
        <v>1</v>
      </c>
      <c r="R117" s="79">
        <v>2</v>
      </c>
      <c r="S117" s="80">
        <v>0</v>
      </c>
      <c r="T117" s="80">
        <v>4415</v>
      </c>
      <c r="U117" s="80">
        <v>0</v>
      </c>
      <c r="V117" s="81">
        <v>139563</v>
      </c>
      <c r="W117" s="79">
        <v>0</v>
      </c>
      <c r="X117" s="79">
        <v>5</v>
      </c>
      <c r="Y117" s="11" t="str">
        <f ca="1">IF(ISBLANK(BudgetsTable[[#This Row],[budg_seq_yr]]),"FY"&amp;fiscalyear,"FY"&amp;fiscalyear-1+BudgetsTable[[#This Row],[budg_seq_yr]])</f>
        <v>FY22</v>
      </c>
      <c r="Z117" s="80">
        <v>139563</v>
      </c>
      <c r="AA117" s="79" t="s">
        <v>477</v>
      </c>
      <c r="AB117" s="79" t="s">
        <v>582</v>
      </c>
      <c r="AC117" s="77" t="s">
        <v>94</v>
      </c>
      <c r="AD117" s="79" t="s">
        <v>1432</v>
      </c>
    </row>
    <row r="118" spans="1:30" x14ac:dyDescent="0.4">
      <c r="A118" s="10" t="s">
        <v>859</v>
      </c>
      <c r="B118" s="77" t="s">
        <v>95</v>
      </c>
      <c r="C118" s="77">
        <f>C117+(BudgetsTable[[#This Row],[lead]]&lt;&gt;K117)</f>
        <v>30</v>
      </c>
      <c r="D118" s="77">
        <f>D117*(BudgetsTable[[#This Row],[lead]]=K117)+(BudgetsTable[[#This Row],[prop_id]]&lt;&gt;A117)</f>
        <v>1</v>
      </c>
      <c r="E118" s="78">
        <v>42935.475694444445</v>
      </c>
      <c r="F118" s="79" t="s">
        <v>1430</v>
      </c>
      <c r="G118" s="79" t="s">
        <v>477</v>
      </c>
      <c r="H118" s="79" t="s">
        <v>582</v>
      </c>
      <c r="I118" s="77" t="s">
        <v>654</v>
      </c>
      <c r="J118" s="77" t="s">
        <v>1527</v>
      </c>
      <c r="K118" s="79" t="s">
        <v>859</v>
      </c>
      <c r="L118" s="7" t="str">
        <f>IF(BudgetsTable[[#This Row],[pi_last_name]]=" ","",HYPERLINK("https://www.ejacket.nsf.gov/ej/showProposal.do?Continue=Y&amp;ID="&amp;BudgetsTable[[#This Row],[prop_id]],BudgetsTable[[#This Row],[prop_id]]))</f>
        <v>1750302</v>
      </c>
      <c r="M118" s="15" t="e">
        <f>IF(BudgetsTable[[#This Row],[pi_last_name]]=" ","",HYPERLINK("https://www.ejacket.nsf.gov/ej/processReviewAnalysis.do?dispatch=add&amp;uniqId="&amp;BudgetsTable[[#This Row],[prop_id]]&amp;PO_id,"&gt;ra"))</f>
        <v>#REF!</v>
      </c>
      <c r="N118" s="79" t="s">
        <v>860</v>
      </c>
      <c r="O118" s="7" t="str">
        <f>IF(BudgetsTable[[#This Row],[pi_last_name]]=" ","",HYPERLINK("mailto:"&amp;BudgetsTable[[#This Row],[pi_email]]&amp;"&amp;subject=Your NSF Proposal:  "&amp;BudgetsTable[[#This Row],[prop_id]],BudgetsTable[[#This Row],[pi_email]]))</f>
        <v>mdinitz@cs.jhu.edu</v>
      </c>
      <c r="P118" s="79" t="s">
        <v>1525</v>
      </c>
      <c r="Q118" s="79"/>
      <c r="R118" s="79"/>
      <c r="S118" s="80"/>
      <c r="T118" s="80"/>
      <c r="U118" s="80"/>
      <c r="V118" s="81"/>
      <c r="W118" s="79">
        <v>0</v>
      </c>
      <c r="X118" s="79"/>
      <c r="Y118" s="11" t="str">
        <f ca="1">IF(ISBLANK(BudgetsTable[[#This Row],[budg_seq_yr]]),"FY"&amp;fiscalyear,"FY"&amp;fiscalyear-1+BudgetsTable[[#This Row],[budg_seq_yr]])</f>
        <v>FY18</v>
      </c>
      <c r="Z118" s="80">
        <v>507459</v>
      </c>
      <c r="AA118" s="79" t="s">
        <v>477</v>
      </c>
      <c r="AB118" s="79" t="s">
        <v>582</v>
      </c>
      <c r="AC118" s="77" t="s">
        <v>94</v>
      </c>
      <c r="AD118" s="79" t="s">
        <v>1432</v>
      </c>
    </row>
    <row r="119" spans="1:30" x14ac:dyDescent="0.4">
      <c r="A119" s="10" t="s">
        <v>859</v>
      </c>
      <c r="B119" s="77" t="s">
        <v>95</v>
      </c>
      <c r="C119" s="77">
        <f>C118+(BudgetsTable[[#This Row],[lead]]&lt;&gt;K118)</f>
        <v>30</v>
      </c>
      <c r="D119" s="77">
        <f>D118*(BudgetsTable[[#This Row],[lead]]=K118)+(BudgetsTable[[#This Row],[prop_id]]&lt;&gt;A118)</f>
        <v>1</v>
      </c>
      <c r="E119" s="78">
        <v>42935.475694444445</v>
      </c>
      <c r="F119" s="79" t="s">
        <v>1430</v>
      </c>
      <c r="G119" s="79" t="s">
        <v>477</v>
      </c>
      <c r="H119" s="79" t="s">
        <v>582</v>
      </c>
      <c r="I119" s="77" t="s">
        <v>654</v>
      </c>
      <c r="J119" s="77" t="s">
        <v>13</v>
      </c>
      <c r="K119" s="79" t="s">
        <v>859</v>
      </c>
      <c r="L119" s="7" t="str">
        <f>IF(BudgetsTable[[#This Row],[pi_last_name]]=" ","",HYPERLINK("https://www.ejacket.nsf.gov/ej/showProposal.do?Continue=Y&amp;ID="&amp;BudgetsTable[[#This Row],[prop_id]],BudgetsTable[[#This Row],[prop_id]]))</f>
        <v/>
      </c>
      <c r="M119" s="15" t="str">
        <f>IF(BudgetsTable[[#This Row],[pi_last_name]]=" ","",HYPERLINK("https://www.ejacket.nsf.gov/ej/processReviewAnalysis.do?dispatch=add&amp;uniqId="&amp;BudgetsTable[[#This Row],[prop_id]]&amp;PO_id,"&gt;ra"))</f>
        <v/>
      </c>
      <c r="N119" s="79" t="s">
        <v>13</v>
      </c>
      <c r="O119" s="7" t="str">
        <f>IF(BudgetsTable[[#This Row],[pi_last_name]]=" ","",HYPERLINK("mailto:"&amp;BudgetsTable[[#This Row],[pi_email]]&amp;"&amp;subject=Your NSF Proposal:  "&amp;BudgetsTable[[#This Row],[prop_id]],BudgetsTable[[#This Row],[pi_email]]))</f>
        <v/>
      </c>
      <c r="P119" s="79" t="s">
        <v>13</v>
      </c>
      <c r="Q119" s="79">
        <v>1</v>
      </c>
      <c r="R119" s="79">
        <v>0</v>
      </c>
      <c r="S119" s="80">
        <v>0</v>
      </c>
      <c r="T119" s="80">
        <v>2100</v>
      </c>
      <c r="U119" s="80">
        <v>0</v>
      </c>
      <c r="V119" s="81">
        <v>102907</v>
      </c>
      <c r="W119" s="79">
        <v>0</v>
      </c>
      <c r="X119" s="79">
        <v>1</v>
      </c>
      <c r="Y119" s="11" t="str">
        <f ca="1">IF(ISBLANK(BudgetsTable[[#This Row],[budg_seq_yr]]),"FY"&amp;fiscalyear,"FY"&amp;fiscalyear-1+BudgetsTable[[#This Row],[budg_seq_yr]])</f>
        <v>FY18</v>
      </c>
      <c r="Z119" s="80">
        <v>102907</v>
      </c>
      <c r="AA119" s="79" t="s">
        <v>477</v>
      </c>
      <c r="AB119" s="79" t="s">
        <v>582</v>
      </c>
      <c r="AC119" s="77" t="s">
        <v>94</v>
      </c>
      <c r="AD119" s="79" t="s">
        <v>1432</v>
      </c>
    </row>
    <row r="120" spans="1:30" x14ac:dyDescent="0.4">
      <c r="A120" s="10" t="s">
        <v>859</v>
      </c>
      <c r="B120" s="77" t="s">
        <v>95</v>
      </c>
      <c r="C120" s="77">
        <f>C119+(BudgetsTable[[#This Row],[lead]]&lt;&gt;K119)</f>
        <v>30</v>
      </c>
      <c r="D120" s="77">
        <f>D119*(BudgetsTable[[#This Row],[lead]]=K119)+(BudgetsTable[[#This Row],[prop_id]]&lt;&gt;A119)</f>
        <v>1</v>
      </c>
      <c r="E120" s="78">
        <v>42935.475694444445</v>
      </c>
      <c r="F120" s="79" t="s">
        <v>1430</v>
      </c>
      <c r="G120" s="79" t="s">
        <v>477</v>
      </c>
      <c r="H120" s="79" t="s">
        <v>582</v>
      </c>
      <c r="I120" s="77" t="s">
        <v>654</v>
      </c>
      <c r="J120" s="77" t="s">
        <v>13</v>
      </c>
      <c r="K120" s="79" t="s">
        <v>859</v>
      </c>
      <c r="L120" s="7" t="str">
        <f>IF(BudgetsTable[[#This Row],[pi_last_name]]=" ","",HYPERLINK("https://www.ejacket.nsf.gov/ej/showProposal.do?Continue=Y&amp;ID="&amp;BudgetsTable[[#This Row],[prop_id]],BudgetsTable[[#This Row],[prop_id]]))</f>
        <v/>
      </c>
      <c r="M120" s="15" t="str">
        <f>IF(BudgetsTable[[#This Row],[pi_last_name]]=" ","",HYPERLINK("https://www.ejacket.nsf.gov/ej/processReviewAnalysis.do?dispatch=add&amp;uniqId="&amp;BudgetsTable[[#This Row],[prop_id]]&amp;PO_id,"&gt;ra"))</f>
        <v/>
      </c>
      <c r="N120" s="79" t="s">
        <v>13</v>
      </c>
      <c r="O120" s="7" t="str">
        <f>IF(BudgetsTable[[#This Row],[pi_last_name]]=" ","",HYPERLINK("mailto:"&amp;BudgetsTable[[#This Row],[pi_email]]&amp;"&amp;subject=Your NSF Proposal:  "&amp;BudgetsTable[[#This Row],[prop_id]],BudgetsTable[[#This Row],[pi_email]]))</f>
        <v/>
      </c>
      <c r="P120" s="79" t="s">
        <v>13</v>
      </c>
      <c r="Q120" s="79">
        <v>1</v>
      </c>
      <c r="R120" s="79">
        <v>0</v>
      </c>
      <c r="S120" s="80">
        <v>0</v>
      </c>
      <c r="T120" s="80">
        <v>2100</v>
      </c>
      <c r="U120" s="80">
        <v>0</v>
      </c>
      <c r="V120" s="81">
        <v>101935</v>
      </c>
      <c r="W120" s="79">
        <v>0</v>
      </c>
      <c r="X120" s="79">
        <v>2</v>
      </c>
      <c r="Y120" s="11" t="str">
        <f ca="1">IF(ISBLANK(BudgetsTable[[#This Row],[budg_seq_yr]]),"FY"&amp;fiscalyear,"FY"&amp;fiscalyear-1+BudgetsTable[[#This Row],[budg_seq_yr]])</f>
        <v>FY19</v>
      </c>
      <c r="Z120" s="80">
        <v>101935</v>
      </c>
      <c r="AA120" s="79" t="s">
        <v>477</v>
      </c>
      <c r="AB120" s="79" t="s">
        <v>582</v>
      </c>
      <c r="AC120" s="77" t="s">
        <v>94</v>
      </c>
      <c r="AD120" s="79" t="s">
        <v>1432</v>
      </c>
    </row>
    <row r="121" spans="1:30" x14ac:dyDescent="0.4">
      <c r="A121" s="10" t="s">
        <v>859</v>
      </c>
      <c r="B121" s="77" t="s">
        <v>95</v>
      </c>
      <c r="C121" s="77">
        <f>C120+(BudgetsTable[[#This Row],[lead]]&lt;&gt;K120)</f>
        <v>30</v>
      </c>
      <c r="D121" s="77">
        <f>D120*(BudgetsTable[[#This Row],[lead]]=K120)+(BudgetsTable[[#This Row],[prop_id]]&lt;&gt;A120)</f>
        <v>1</v>
      </c>
      <c r="E121" s="78">
        <v>42935.475694444445</v>
      </c>
      <c r="F121" s="79" t="s">
        <v>1430</v>
      </c>
      <c r="G121" s="79" t="s">
        <v>477</v>
      </c>
      <c r="H121" s="79" t="s">
        <v>582</v>
      </c>
      <c r="I121" s="77" t="s">
        <v>654</v>
      </c>
      <c r="J121" s="77" t="s">
        <v>13</v>
      </c>
      <c r="K121" s="79" t="s">
        <v>859</v>
      </c>
      <c r="L121" s="7" t="str">
        <f>IF(BudgetsTable[[#This Row],[pi_last_name]]=" ","",HYPERLINK("https://www.ejacket.nsf.gov/ej/showProposal.do?Continue=Y&amp;ID="&amp;BudgetsTable[[#This Row],[prop_id]],BudgetsTable[[#This Row],[prop_id]]))</f>
        <v/>
      </c>
      <c r="M121" s="15" t="str">
        <f>IF(BudgetsTable[[#This Row],[pi_last_name]]=" ","",HYPERLINK("https://www.ejacket.nsf.gov/ej/processReviewAnalysis.do?dispatch=add&amp;uniqId="&amp;BudgetsTable[[#This Row],[prop_id]]&amp;PO_id,"&gt;ra"))</f>
        <v/>
      </c>
      <c r="N121" s="79" t="s">
        <v>13</v>
      </c>
      <c r="O121" s="7" t="str">
        <f>IF(BudgetsTable[[#This Row],[pi_last_name]]=" ","",HYPERLINK("mailto:"&amp;BudgetsTable[[#This Row],[pi_email]]&amp;"&amp;subject=Your NSF Proposal:  "&amp;BudgetsTable[[#This Row],[prop_id]],BudgetsTable[[#This Row],[pi_email]]))</f>
        <v/>
      </c>
      <c r="P121" s="79" t="s">
        <v>13</v>
      </c>
      <c r="Q121" s="79">
        <v>1</v>
      </c>
      <c r="R121" s="79">
        <v>0</v>
      </c>
      <c r="S121" s="80">
        <v>0</v>
      </c>
      <c r="T121" s="80">
        <v>0</v>
      </c>
      <c r="U121" s="80">
        <v>0</v>
      </c>
      <c r="V121" s="81">
        <v>100630</v>
      </c>
      <c r="W121" s="79">
        <v>0</v>
      </c>
      <c r="X121" s="79">
        <v>3</v>
      </c>
      <c r="Y121" s="11" t="str">
        <f ca="1">IF(ISBLANK(BudgetsTable[[#This Row],[budg_seq_yr]]),"FY"&amp;fiscalyear,"FY"&amp;fiscalyear-1+BudgetsTable[[#This Row],[budg_seq_yr]])</f>
        <v>FY20</v>
      </c>
      <c r="Z121" s="80">
        <v>100630</v>
      </c>
      <c r="AA121" s="79" t="s">
        <v>477</v>
      </c>
      <c r="AB121" s="79" t="s">
        <v>582</v>
      </c>
      <c r="AC121" s="77" t="s">
        <v>94</v>
      </c>
      <c r="AD121" s="79" t="s">
        <v>1432</v>
      </c>
    </row>
    <row r="122" spans="1:30" x14ac:dyDescent="0.4">
      <c r="A122" s="10" t="s">
        <v>859</v>
      </c>
      <c r="B122" s="77" t="s">
        <v>95</v>
      </c>
      <c r="C122" s="77">
        <f>C121+(BudgetsTable[[#This Row],[lead]]&lt;&gt;K121)</f>
        <v>30</v>
      </c>
      <c r="D122" s="77">
        <f>D121*(BudgetsTable[[#This Row],[lead]]=K121)+(BudgetsTable[[#This Row],[prop_id]]&lt;&gt;A121)</f>
        <v>1</v>
      </c>
      <c r="E122" s="78">
        <v>42935.475694444445</v>
      </c>
      <c r="F122" s="79" t="s">
        <v>1430</v>
      </c>
      <c r="G122" s="79" t="s">
        <v>477</v>
      </c>
      <c r="H122" s="79" t="s">
        <v>582</v>
      </c>
      <c r="I122" s="77" t="s">
        <v>654</v>
      </c>
      <c r="J122" s="77" t="s">
        <v>13</v>
      </c>
      <c r="K122" s="79" t="s">
        <v>859</v>
      </c>
      <c r="L122" s="7" t="str">
        <f>IF(BudgetsTable[[#This Row],[pi_last_name]]=" ","",HYPERLINK("https://www.ejacket.nsf.gov/ej/showProposal.do?Continue=Y&amp;ID="&amp;BudgetsTable[[#This Row],[prop_id]],BudgetsTable[[#This Row],[prop_id]]))</f>
        <v/>
      </c>
      <c r="M122" s="15" t="str">
        <f>IF(BudgetsTable[[#This Row],[pi_last_name]]=" ","",HYPERLINK("https://www.ejacket.nsf.gov/ej/processReviewAnalysis.do?dispatch=add&amp;uniqId="&amp;BudgetsTable[[#This Row],[prop_id]]&amp;PO_id,"&gt;ra"))</f>
        <v/>
      </c>
      <c r="N122" s="79" t="s">
        <v>13</v>
      </c>
      <c r="O122" s="7" t="str">
        <f>IF(BudgetsTable[[#This Row],[pi_last_name]]=" ","",HYPERLINK("mailto:"&amp;BudgetsTable[[#This Row],[pi_email]]&amp;"&amp;subject=Your NSF Proposal:  "&amp;BudgetsTable[[#This Row],[prop_id]],BudgetsTable[[#This Row],[pi_email]]))</f>
        <v/>
      </c>
      <c r="P122" s="79" t="s">
        <v>13</v>
      </c>
      <c r="Q122" s="79">
        <v>1</v>
      </c>
      <c r="R122" s="79">
        <v>0</v>
      </c>
      <c r="S122" s="80">
        <v>0</v>
      </c>
      <c r="T122" s="80">
        <v>0</v>
      </c>
      <c r="U122" s="80">
        <v>0</v>
      </c>
      <c r="V122" s="81">
        <v>99873</v>
      </c>
      <c r="W122" s="79">
        <v>0</v>
      </c>
      <c r="X122" s="79">
        <v>4</v>
      </c>
      <c r="Y122" s="11" t="str">
        <f ca="1">IF(ISBLANK(BudgetsTable[[#This Row],[budg_seq_yr]]),"FY"&amp;fiscalyear,"FY"&amp;fiscalyear-1+BudgetsTable[[#This Row],[budg_seq_yr]])</f>
        <v>FY21</v>
      </c>
      <c r="Z122" s="80">
        <v>99873</v>
      </c>
      <c r="AA122" s="79" t="s">
        <v>477</v>
      </c>
      <c r="AB122" s="79" t="s">
        <v>582</v>
      </c>
      <c r="AC122" s="77" t="s">
        <v>94</v>
      </c>
      <c r="AD122" s="79" t="s">
        <v>1432</v>
      </c>
    </row>
    <row r="123" spans="1:30" x14ac:dyDescent="0.4">
      <c r="A123" s="10" t="s">
        <v>859</v>
      </c>
      <c r="B123" s="77" t="s">
        <v>95</v>
      </c>
      <c r="C123" s="77">
        <f>C122+(BudgetsTable[[#This Row],[lead]]&lt;&gt;K122)</f>
        <v>30</v>
      </c>
      <c r="D123" s="77">
        <f>D122*(BudgetsTable[[#This Row],[lead]]=K122)+(BudgetsTable[[#This Row],[prop_id]]&lt;&gt;A122)</f>
        <v>1</v>
      </c>
      <c r="E123" s="78">
        <v>42935.475694444445</v>
      </c>
      <c r="F123" s="79" t="s">
        <v>1430</v>
      </c>
      <c r="G123" s="79" t="s">
        <v>477</v>
      </c>
      <c r="H123" s="79" t="s">
        <v>582</v>
      </c>
      <c r="I123" s="77" t="s">
        <v>654</v>
      </c>
      <c r="J123" s="77" t="s">
        <v>13</v>
      </c>
      <c r="K123" s="79" t="s">
        <v>859</v>
      </c>
      <c r="L123" s="7" t="str">
        <f>IF(BudgetsTable[[#This Row],[pi_last_name]]=" ","",HYPERLINK("https://www.ejacket.nsf.gov/ej/showProposal.do?Continue=Y&amp;ID="&amp;BudgetsTable[[#This Row],[prop_id]],BudgetsTable[[#This Row],[prop_id]]))</f>
        <v/>
      </c>
      <c r="M123" s="15" t="str">
        <f>IF(BudgetsTable[[#This Row],[pi_last_name]]=" ","",HYPERLINK("https://www.ejacket.nsf.gov/ej/processReviewAnalysis.do?dispatch=add&amp;uniqId="&amp;BudgetsTable[[#This Row],[prop_id]]&amp;PO_id,"&gt;ra"))</f>
        <v/>
      </c>
      <c r="N123" s="79" t="s">
        <v>13</v>
      </c>
      <c r="O123" s="7" t="str">
        <f>IF(BudgetsTable[[#This Row],[pi_last_name]]=" ","",HYPERLINK("mailto:"&amp;BudgetsTable[[#This Row],[pi_email]]&amp;"&amp;subject=Your NSF Proposal:  "&amp;BudgetsTable[[#This Row],[prop_id]],BudgetsTable[[#This Row],[pi_email]]))</f>
        <v/>
      </c>
      <c r="P123" s="79" t="s">
        <v>13</v>
      </c>
      <c r="Q123" s="79">
        <v>1</v>
      </c>
      <c r="R123" s="79">
        <v>0</v>
      </c>
      <c r="S123" s="80">
        <v>0</v>
      </c>
      <c r="T123" s="80">
        <v>0</v>
      </c>
      <c r="U123" s="80">
        <v>0</v>
      </c>
      <c r="V123" s="81">
        <v>102114</v>
      </c>
      <c r="W123" s="79">
        <v>0</v>
      </c>
      <c r="X123" s="79">
        <v>5</v>
      </c>
      <c r="Y123" s="11" t="str">
        <f ca="1">IF(ISBLANK(BudgetsTable[[#This Row],[budg_seq_yr]]),"FY"&amp;fiscalyear,"FY"&amp;fiscalyear-1+BudgetsTable[[#This Row],[budg_seq_yr]])</f>
        <v>FY22</v>
      </c>
      <c r="Z123" s="80">
        <v>102114</v>
      </c>
      <c r="AA123" s="79" t="s">
        <v>477</v>
      </c>
      <c r="AB123" s="79" t="s">
        <v>582</v>
      </c>
      <c r="AC123" s="77" t="s">
        <v>94</v>
      </c>
      <c r="AD123" s="79" t="s">
        <v>1432</v>
      </c>
    </row>
    <row r="124" spans="1:30" x14ac:dyDescent="0.4">
      <c r="A124" s="10" t="s">
        <v>868</v>
      </c>
      <c r="B124" s="77" t="s">
        <v>95</v>
      </c>
      <c r="C124" s="77">
        <f>C123+(BudgetsTable[[#This Row],[lead]]&lt;&gt;K123)</f>
        <v>31</v>
      </c>
      <c r="D124" s="77">
        <f>D123*(BudgetsTable[[#This Row],[lead]]=K123)+(BudgetsTable[[#This Row],[prop_id]]&lt;&gt;A123)</f>
        <v>1</v>
      </c>
      <c r="E124" s="78">
        <v>42935.488888888889</v>
      </c>
      <c r="F124" s="79" t="s">
        <v>1430</v>
      </c>
      <c r="G124" s="79" t="s">
        <v>477</v>
      </c>
      <c r="H124" s="79" t="s">
        <v>582</v>
      </c>
      <c r="I124" s="77" t="s">
        <v>654</v>
      </c>
      <c r="J124" s="77" t="s">
        <v>1532</v>
      </c>
      <c r="K124" s="79" t="s">
        <v>868</v>
      </c>
      <c r="L124" s="7" t="str">
        <f>IF(BudgetsTable[[#This Row],[pi_last_name]]=" ","",HYPERLINK("https://www.ejacket.nsf.gov/ej/showProposal.do?Continue=Y&amp;ID="&amp;BudgetsTable[[#This Row],[prop_id]],BudgetsTable[[#This Row],[prop_id]]))</f>
        <v>1750333</v>
      </c>
      <c r="M124" s="15" t="e">
        <f>IF(BudgetsTable[[#This Row],[pi_last_name]]=" ","",HYPERLINK("https://www.ejacket.nsf.gov/ej/processReviewAnalysis.do?dispatch=add&amp;uniqId="&amp;BudgetsTable[[#This Row],[prop_id]]&amp;PO_id,"&gt;ra"))</f>
        <v>#REF!</v>
      </c>
      <c r="N124" s="79" t="s">
        <v>869</v>
      </c>
      <c r="O124" s="7" t="str">
        <f>IF(BudgetsTable[[#This Row],[pi_last_name]]=" ","",HYPERLINK("mailto:"&amp;BudgetsTable[[#This Row],[pi_email]]&amp;"&amp;subject=Your NSF Proposal:  "&amp;BudgetsTable[[#This Row],[prop_id]],BudgetsTable[[#This Row],[pi_email]]))</f>
        <v>aene@bu.edu</v>
      </c>
      <c r="P124" s="79" t="s">
        <v>1529</v>
      </c>
      <c r="Q124" s="79"/>
      <c r="R124" s="79"/>
      <c r="S124" s="80"/>
      <c r="T124" s="80"/>
      <c r="U124" s="80"/>
      <c r="V124" s="81"/>
      <c r="W124" s="79">
        <v>0</v>
      </c>
      <c r="X124" s="79"/>
      <c r="Y124" s="11" t="str">
        <f ca="1">IF(ISBLANK(BudgetsTable[[#This Row],[budg_seq_yr]]),"FY"&amp;fiscalyear,"FY"&amp;fiscalyear-1+BudgetsTable[[#This Row],[budg_seq_yr]])</f>
        <v>FY18</v>
      </c>
      <c r="Z124" s="80">
        <v>507423</v>
      </c>
      <c r="AA124" s="79" t="s">
        <v>477</v>
      </c>
      <c r="AB124" s="79" t="s">
        <v>582</v>
      </c>
      <c r="AC124" s="77" t="s">
        <v>94</v>
      </c>
      <c r="AD124" s="79" t="s">
        <v>1432</v>
      </c>
    </row>
    <row r="125" spans="1:30" x14ac:dyDescent="0.4">
      <c r="A125" s="10" t="s">
        <v>868</v>
      </c>
      <c r="B125" s="77" t="s">
        <v>95</v>
      </c>
      <c r="C125" s="77">
        <f>C124+(BudgetsTable[[#This Row],[lead]]&lt;&gt;K124)</f>
        <v>31</v>
      </c>
      <c r="D125" s="77">
        <f>D124*(BudgetsTable[[#This Row],[lead]]=K124)+(BudgetsTable[[#This Row],[prop_id]]&lt;&gt;A124)</f>
        <v>1</v>
      </c>
      <c r="E125" s="78">
        <v>42935.488888888889</v>
      </c>
      <c r="F125" s="79" t="s">
        <v>1430</v>
      </c>
      <c r="G125" s="79" t="s">
        <v>477</v>
      </c>
      <c r="H125" s="79" t="s">
        <v>582</v>
      </c>
      <c r="I125" s="77" t="s">
        <v>654</v>
      </c>
      <c r="J125" s="77" t="s">
        <v>13</v>
      </c>
      <c r="K125" s="79" t="s">
        <v>868</v>
      </c>
      <c r="L125" s="7" t="str">
        <f>IF(BudgetsTable[[#This Row],[pi_last_name]]=" ","",HYPERLINK("https://www.ejacket.nsf.gov/ej/showProposal.do?Continue=Y&amp;ID="&amp;BudgetsTable[[#This Row],[prop_id]],BudgetsTable[[#This Row],[prop_id]]))</f>
        <v/>
      </c>
      <c r="M125" s="15" t="str">
        <f>IF(BudgetsTable[[#This Row],[pi_last_name]]=" ","",HYPERLINK("https://www.ejacket.nsf.gov/ej/processReviewAnalysis.do?dispatch=add&amp;uniqId="&amp;BudgetsTable[[#This Row],[prop_id]]&amp;PO_id,"&gt;ra"))</f>
        <v/>
      </c>
      <c r="N125" s="79" t="s">
        <v>13</v>
      </c>
      <c r="O125" s="7" t="str">
        <f>IF(BudgetsTable[[#This Row],[pi_last_name]]=" ","",HYPERLINK("mailto:"&amp;BudgetsTable[[#This Row],[pi_email]]&amp;"&amp;subject=Your NSF Proposal:  "&amp;BudgetsTable[[#This Row],[prop_id]],BudgetsTable[[#This Row],[pi_email]]))</f>
        <v/>
      </c>
      <c r="P125" s="79" t="s">
        <v>13</v>
      </c>
      <c r="Q125" s="79">
        <v>1</v>
      </c>
      <c r="R125" s="79">
        <v>1</v>
      </c>
      <c r="S125" s="80">
        <v>0</v>
      </c>
      <c r="T125" s="80">
        <v>3000</v>
      </c>
      <c r="U125" s="80">
        <v>0</v>
      </c>
      <c r="V125" s="81">
        <v>99138</v>
      </c>
      <c r="W125" s="79">
        <v>0</v>
      </c>
      <c r="X125" s="79">
        <v>1</v>
      </c>
      <c r="Y125" s="11" t="str">
        <f ca="1">IF(ISBLANK(BudgetsTable[[#This Row],[budg_seq_yr]]),"FY"&amp;fiscalyear,"FY"&amp;fiscalyear-1+BudgetsTable[[#This Row],[budg_seq_yr]])</f>
        <v>FY18</v>
      </c>
      <c r="Z125" s="80">
        <v>99138</v>
      </c>
      <c r="AA125" s="79" t="s">
        <v>477</v>
      </c>
      <c r="AB125" s="79" t="s">
        <v>582</v>
      </c>
      <c r="AC125" s="77" t="s">
        <v>94</v>
      </c>
      <c r="AD125" s="79" t="s">
        <v>1432</v>
      </c>
    </row>
    <row r="126" spans="1:30" x14ac:dyDescent="0.4">
      <c r="A126" s="10" t="s">
        <v>868</v>
      </c>
      <c r="B126" s="77" t="s">
        <v>95</v>
      </c>
      <c r="C126" s="77">
        <f>C125+(BudgetsTable[[#This Row],[lead]]&lt;&gt;K125)</f>
        <v>31</v>
      </c>
      <c r="D126" s="77">
        <f>D125*(BudgetsTable[[#This Row],[lead]]=K125)+(BudgetsTable[[#This Row],[prop_id]]&lt;&gt;A125)</f>
        <v>1</v>
      </c>
      <c r="E126" s="78">
        <v>42935.488888888889</v>
      </c>
      <c r="F126" s="79" t="s">
        <v>1430</v>
      </c>
      <c r="G126" s="79" t="s">
        <v>477</v>
      </c>
      <c r="H126" s="79" t="s">
        <v>582</v>
      </c>
      <c r="I126" s="77" t="s">
        <v>654</v>
      </c>
      <c r="J126" s="77" t="s">
        <v>13</v>
      </c>
      <c r="K126" s="79" t="s">
        <v>868</v>
      </c>
      <c r="L126" s="7" t="str">
        <f>IF(BudgetsTable[[#This Row],[pi_last_name]]=" ","",HYPERLINK("https://www.ejacket.nsf.gov/ej/showProposal.do?Continue=Y&amp;ID="&amp;BudgetsTable[[#This Row],[prop_id]],BudgetsTable[[#This Row],[prop_id]]))</f>
        <v/>
      </c>
      <c r="M126" s="15" t="str">
        <f>IF(BudgetsTable[[#This Row],[pi_last_name]]=" ","",HYPERLINK("https://www.ejacket.nsf.gov/ej/processReviewAnalysis.do?dispatch=add&amp;uniqId="&amp;BudgetsTable[[#This Row],[prop_id]]&amp;PO_id,"&gt;ra"))</f>
        <v/>
      </c>
      <c r="N126" s="79" t="s">
        <v>13</v>
      </c>
      <c r="O126" s="7" t="str">
        <f>IF(BudgetsTable[[#This Row],[pi_last_name]]=" ","",HYPERLINK("mailto:"&amp;BudgetsTable[[#This Row],[pi_email]]&amp;"&amp;subject=Your NSF Proposal:  "&amp;BudgetsTable[[#This Row],[prop_id]],BudgetsTable[[#This Row],[pi_email]]))</f>
        <v/>
      </c>
      <c r="P126" s="79" t="s">
        <v>13</v>
      </c>
      <c r="Q126" s="79">
        <v>1</v>
      </c>
      <c r="R126" s="79">
        <v>1</v>
      </c>
      <c r="S126" s="80">
        <v>0</v>
      </c>
      <c r="T126" s="80">
        <v>3000</v>
      </c>
      <c r="U126" s="80">
        <v>0</v>
      </c>
      <c r="V126" s="81">
        <v>97771</v>
      </c>
      <c r="W126" s="79">
        <v>0</v>
      </c>
      <c r="X126" s="79">
        <v>2</v>
      </c>
      <c r="Y126" s="11" t="str">
        <f ca="1">IF(ISBLANK(BudgetsTable[[#This Row],[budg_seq_yr]]),"FY"&amp;fiscalyear,"FY"&amp;fiscalyear-1+BudgetsTable[[#This Row],[budg_seq_yr]])</f>
        <v>FY19</v>
      </c>
      <c r="Z126" s="80">
        <v>97771</v>
      </c>
      <c r="AA126" s="79" t="s">
        <v>477</v>
      </c>
      <c r="AB126" s="79" t="s">
        <v>582</v>
      </c>
      <c r="AC126" s="77" t="s">
        <v>94</v>
      </c>
      <c r="AD126" s="79" t="s">
        <v>1432</v>
      </c>
    </row>
    <row r="127" spans="1:30" x14ac:dyDescent="0.4">
      <c r="A127" s="10" t="s">
        <v>868</v>
      </c>
      <c r="B127" s="77" t="s">
        <v>95</v>
      </c>
      <c r="C127" s="77">
        <f>C126+(BudgetsTable[[#This Row],[lead]]&lt;&gt;K126)</f>
        <v>31</v>
      </c>
      <c r="D127" s="77">
        <f>D126*(BudgetsTable[[#This Row],[lead]]=K126)+(BudgetsTable[[#This Row],[prop_id]]&lt;&gt;A126)</f>
        <v>1</v>
      </c>
      <c r="E127" s="78">
        <v>42935.488888888889</v>
      </c>
      <c r="F127" s="79" t="s">
        <v>1430</v>
      </c>
      <c r="G127" s="79" t="s">
        <v>477</v>
      </c>
      <c r="H127" s="79" t="s">
        <v>582</v>
      </c>
      <c r="I127" s="77" t="s">
        <v>654</v>
      </c>
      <c r="J127" s="77" t="s">
        <v>13</v>
      </c>
      <c r="K127" s="79" t="s">
        <v>868</v>
      </c>
      <c r="L127" s="7" t="str">
        <f>IF(BudgetsTable[[#This Row],[pi_last_name]]=" ","",HYPERLINK("https://www.ejacket.nsf.gov/ej/showProposal.do?Continue=Y&amp;ID="&amp;BudgetsTable[[#This Row],[prop_id]],BudgetsTable[[#This Row],[prop_id]]))</f>
        <v/>
      </c>
      <c r="M127" s="15" t="str">
        <f>IF(BudgetsTable[[#This Row],[pi_last_name]]=" ","",HYPERLINK("https://www.ejacket.nsf.gov/ej/processReviewAnalysis.do?dispatch=add&amp;uniqId="&amp;BudgetsTable[[#This Row],[prop_id]]&amp;PO_id,"&gt;ra"))</f>
        <v/>
      </c>
      <c r="N127" s="79" t="s">
        <v>13</v>
      </c>
      <c r="O127" s="7" t="str">
        <f>IF(BudgetsTable[[#This Row],[pi_last_name]]=" ","",HYPERLINK("mailto:"&amp;BudgetsTable[[#This Row],[pi_email]]&amp;"&amp;subject=Your NSF Proposal:  "&amp;BudgetsTable[[#This Row],[prop_id]],BudgetsTable[[#This Row],[pi_email]]))</f>
        <v/>
      </c>
      <c r="P127" s="79" t="s">
        <v>13</v>
      </c>
      <c r="Q127" s="79">
        <v>1</v>
      </c>
      <c r="R127" s="79">
        <v>1</v>
      </c>
      <c r="S127" s="80">
        <v>0</v>
      </c>
      <c r="T127" s="80">
        <v>3000</v>
      </c>
      <c r="U127" s="80">
        <v>0</v>
      </c>
      <c r="V127" s="81">
        <v>100459</v>
      </c>
      <c r="W127" s="79">
        <v>0</v>
      </c>
      <c r="X127" s="79">
        <v>3</v>
      </c>
      <c r="Y127" s="11" t="str">
        <f ca="1">IF(ISBLANK(BudgetsTable[[#This Row],[budg_seq_yr]]),"FY"&amp;fiscalyear,"FY"&amp;fiscalyear-1+BudgetsTable[[#This Row],[budg_seq_yr]])</f>
        <v>FY20</v>
      </c>
      <c r="Z127" s="80">
        <v>100459</v>
      </c>
      <c r="AA127" s="79" t="s">
        <v>477</v>
      </c>
      <c r="AB127" s="79" t="s">
        <v>582</v>
      </c>
      <c r="AC127" s="77" t="s">
        <v>94</v>
      </c>
      <c r="AD127" s="79" t="s">
        <v>1432</v>
      </c>
    </row>
    <row r="128" spans="1:30" x14ac:dyDescent="0.4">
      <c r="A128" s="10" t="s">
        <v>868</v>
      </c>
      <c r="B128" s="77" t="s">
        <v>95</v>
      </c>
      <c r="C128" s="77">
        <f>C127+(BudgetsTable[[#This Row],[lead]]&lt;&gt;K127)</f>
        <v>31</v>
      </c>
      <c r="D128" s="77">
        <f>D127*(BudgetsTable[[#This Row],[lead]]=K127)+(BudgetsTable[[#This Row],[prop_id]]&lt;&gt;A127)</f>
        <v>1</v>
      </c>
      <c r="E128" s="78">
        <v>42935.488888888889</v>
      </c>
      <c r="F128" s="79" t="s">
        <v>1430</v>
      </c>
      <c r="G128" s="79" t="s">
        <v>477</v>
      </c>
      <c r="H128" s="79" t="s">
        <v>582</v>
      </c>
      <c r="I128" s="77" t="s">
        <v>654</v>
      </c>
      <c r="J128" s="77" t="s">
        <v>13</v>
      </c>
      <c r="K128" s="79" t="s">
        <v>868</v>
      </c>
      <c r="L128" s="7" t="str">
        <f>IF(BudgetsTable[[#This Row],[pi_last_name]]=" ","",HYPERLINK("https://www.ejacket.nsf.gov/ej/showProposal.do?Continue=Y&amp;ID="&amp;BudgetsTable[[#This Row],[prop_id]],BudgetsTable[[#This Row],[prop_id]]))</f>
        <v/>
      </c>
      <c r="M128" s="15" t="str">
        <f>IF(BudgetsTable[[#This Row],[pi_last_name]]=" ","",HYPERLINK("https://www.ejacket.nsf.gov/ej/processReviewAnalysis.do?dispatch=add&amp;uniqId="&amp;BudgetsTable[[#This Row],[prop_id]]&amp;PO_id,"&gt;ra"))</f>
        <v/>
      </c>
      <c r="N128" s="79" t="s">
        <v>13</v>
      </c>
      <c r="O128" s="7" t="str">
        <f>IF(BudgetsTable[[#This Row],[pi_last_name]]=" ","",HYPERLINK("mailto:"&amp;BudgetsTable[[#This Row],[pi_email]]&amp;"&amp;subject=Your NSF Proposal:  "&amp;BudgetsTable[[#This Row],[prop_id]],BudgetsTable[[#This Row],[pi_email]]))</f>
        <v/>
      </c>
      <c r="P128" s="79" t="s">
        <v>13</v>
      </c>
      <c r="Q128" s="79">
        <v>1</v>
      </c>
      <c r="R128" s="79">
        <v>1</v>
      </c>
      <c r="S128" s="80">
        <v>0</v>
      </c>
      <c r="T128" s="80">
        <v>3000</v>
      </c>
      <c r="U128" s="80">
        <v>0</v>
      </c>
      <c r="V128" s="81">
        <v>103224</v>
      </c>
      <c r="W128" s="79">
        <v>0</v>
      </c>
      <c r="X128" s="79">
        <v>4</v>
      </c>
      <c r="Y128" s="11" t="str">
        <f ca="1">IF(ISBLANK(BudgetsTable[[#This Row],[budg_seq_yr]]),"FY"&amp;fiscalyear,"FY"&amp;fiscalyear-1+BudgetsTable[[#This Row],[budg_seq_yr]])</f>
        <v>FY21</v>
      </c>
      <c r="Z128" s="80">
        <v>103224</v>
      </c>
      <c r="AA128" s="79" t="s">
        <v>477</v>
      </c>
      <c r="AB128" s="79" t="s">
        <v>582</v>
      </c>
      <c r="AC128" s="77" t="s">
        <v>94</v>
      </c>
      <c r="AD128" s="79" t="s">
        <v>1432</v>
      </c>
    </row>
    <row r="129" spans="1:30" x14ac:dyDescent="0.4">
      <c r="A129" s="10" t="s">
        <v>868</v>
      </c>
      <c r="B129" s="77" t="s">
        <v>95</v>
      </c>
      <c r="C129" s="77">
        <f>C128+(BudgetsTable[[#This Row],[lead]]&lt;&gt;K128)</f>
        <v>31</v>
      </c>
      <c r="D129" s="77">
        <f>D128*(BudgetsTable[[#This Row],[lead]]=K128)+(BudgetsTable[[#This Row],[prop_id]]&lt;&gt;A128)</f>
        <v>1</v>
      </c>
      <c r="E129" s="78">
        <v>42935.488888888889</v>
      </c>
      <c r="F129" s="79" t="s">
        <v>1430</v>
      </c>
      <c r="G129" s="79" t="s">
        <v>477</v>
      </c>
      <c r="H129" s="79" t="s">
        <v>582</v>
      </c>
      <c r="I129" s="77" t="s">
        <v>654</v>
      </c>
      <c r="J129" s="77" t="s">
        <v>13</v>
      </c>
      <c r="K129" s="79" t="s">
        <v>868</v>
      </c>
      <c r="L129" s="7" t="str">
        <f>IF(BudgetsTable[[#This Row],[pi_last_name]]=" ","",HYPERLINK("https://www.ejacket.nsf.gov/ej/showProposal.do?Continue=Y&amp;ID="&amp;BudgetsTable[[#This Row],[prop_id]],BudgetsTable[[#This Row],[prop_id]]))</f>
        <v/>
      </c>
      <c r="M129" s="15" t="str">
        <f>IF(BudgetsTable[[#This Row],[pi_last_name]]=" ","",HYPERLINK("https://www.ejacket.nsf.gov/ej/processReviewAnalysis.do?dispatch=add&amp;uniqId="&amp;BudgetsTable[[#This Row],[prop_id]]&amp;PO_id,"&gt;ra"))</f>
        <v/>
      </c>
      <c r="N129" s="79" t="s">
        <v>13</v>
      </c>
      <c r="O129" s="7" t="str">
        <f>IF(BudgetsTable[[#This Row],[pi_last_name]]=" ","",HYPERLINK("mailto:"&amp;BudgetsTable[[#This Row],[pi_email]]&amp;"&amp;subject=Your NSF Proposal:  "&amp;BudgetsTable[[#This Row],[prop_id]],BudgetsTable[[#This Row],[pi_email]]))</f>
        <v/>
      </c>
      <c r="P129" s="79" t="s">
        <v>13</v>
      </c>
      <c r="Q129" s="79">
        <v>1</v>
      </c>
      <c r="R129" s="79">
        <v>1</v>
      </c>
      <c r="S129" s="80">
        <v>0</v>
      </c>
      <c r="T129" s="80">
        <v>3000</v>
      </c>
      <c r="U129" s="80">
        <v>0</v>
      </c>
      <c r="V129" s="81">
        <v>106831</v>
      </c>
      <c r="W129" s="79">
        <v>0</v>
      </c>
      <c r="X129" s="79">
        <v>5</v>
      </c>
      <c r="Y129" s="11" t="str">
        <f ca="1">IF(ISBLANK(BudgetsTable[[#This Row],[budg_seq_yr]]),"FY"&amp;fiscalyear,"FY"&amp;fiscalyear-1+BudgetsTable[[#This Row],[budg_seq_yr]])</f>
        <v>FY22</v>
      </c>
      <c r="Z129" s="80">
        <v>106831</v>
      </c>
      <c r="AA129" s="79" t="s">
        <v>477</v>
      </c>
      <c r="AB129" s="79" t="s">
        <v>582</v>
      </c>
      <c r="AC129" s="77" t="s">
        <v>94</v>
      </c>
      <c r="AD129" s="79" t="s">
        <v>1432</v>
      </c>
    </row>
    <row r="130" spans="1:30" x14ac:dyDescent="0.4">
      <c r="A130" s="10" t="s">
        <v>875</v>
      </c>
      <c r="B130" s="77" t="s">
        <v>95</v>
      </c>
      <c r="C130" s="77">
        <f>C129+(BudgetsTable[[#This Row],[lead]]&lt;&gt;K129)</f>
        <v>32</v>
      </c>
      <c r="D130" s="77">
        <f>D129*(BudgetsTable[[#This Row],[lead]]=K129)+(BudgetsTable[[#This Row],[prop_id]]&lt;&gt;A129)</f>
        <v>1</v>
      </c>
      <c r="E130" s="78">
        <v>42935.491666666669</v>
      </c>
      <c r="F130" s="79" t="s">
        <v>1430</v>
      </c>
      <c r="G130" s="79" t="s">
        <v>477</v>
      </c>
      <c r="H130" s="79" t="s">
        <v>582</v>
      </c>
      <c r="I130" s="77" t="s">
        <v>654</v>
      </c>
      <c r="J130" s="77" t="s">
        <v>1538</v>
      </c>
      <c r="K130" s="79" t="s">
        <v>875</v>
      </c>
      <c r="L130" s="7" t="str">
        <f>IF(BudgetsTable[[#This Row],[pi_last_name]]=" ","",HYPERLINK("https://www.ejacket.nsf.gov/ej/showProposal.do?Continue=Y&amp;ID="&amp;BudgetsTable[[#This Row],[prop_id]],BudgetsTable[[#This Row],[prop_id]]))</f>
        <v>1750344</v>
      </c>
      <c r="M130" s="15" t="e">
        <f>IF(BudgetsTable[[#This Row],[pi_last_name]]=" ","",HYPERLINK("https://www.ejacket.nsf.gov/ej/processReviewAnalysis.do?dispatch=add&amp;uniqId="&amp;BudgetsTable[[#This Row],[prop_id]]&amp;PO_id,"&gt;ra"))</f>
        <v>#REF!</v>
      </c>
      <c r="N130" s="79" t="s">
        <v>876</v>
      </c>
      <c r="O130" s="7" t="str">
        <f>IF(BudgetsTable[[#This Row],[pi_last_name]]=" ","",HYPERLINK("mailto:"&amp;BudgetsTable[[#This Row],[pi_email]]&amp;"&amp;subject=Your NSF Proposal:  "&amp;BudgetsTable[[#This Row],[prop_id]],BudgetsTable[[#This Row],[pi_email]]))</f>
        <v>pvaliant@gmail.com</v>
      </c>
      <c r="P130" s="79" t="s">
        <v>1535</v>
      </c>
      <c r="Q130" s="79"/>
      <c r="R130" s="79"/>
      <c r="S130" s="80"/>
      <c r="T130" s="80"/>
      <c r="U130" s="80"/>
      <c r="V130" s="81"/>
      <c r="W130" s="79">
        <v>0</v>
      </c>
      <c r="X130" s="79"/>
      <c r="Y130" s="11" t="str">
        <f ca="1">IF(ISBLANK(BudgetsTable[[#This Row],[budg_seq_yr]]),"FY"&amp;fiscalyear,"FY"&amp;fiscalyear-1+BudgetsTable[[#This Row],[budg_seq_yr]])</f>
        <v>FY18</v>
      </c>
      <c r="Z130" s="80">
        <v>666111</v>
      </c>
      <c r="AA130" s="79" t="s">
        <v>477</v>
      </c>
      <c r="AB130" s="79" t="s">
        <v>582</v>
      </c>
      <c r="AC130" s="77" t="s">
        <v>94</v>
      </c>
      <c r="AD130" s="79" t="s">
        <v>1533</v>
      </c>
    </row>
    <row r="131" spans="1:30" x14ac:dyDescent="0.4">
      <c r="A131" s="10" t="s">
        <v>875</v>
      </c>
      <c r="B131" s="77" t="s">
        <v>95</v>
      </c>
      <c r="C131" s="77">
        <f>C130+(BudgetsTable[[#This Row],[lead]]&lt;&gt;K130)</f>
        <v>32</v>
      </c>
      <c r="D131" s="77">
        <f>D130*(BudgetsTable[[#This Row],[lead]]=K130)+(BudgetsTable[[#This Row],[prop_id]]&lt;&gt;A130)</f>
        <v>1</v>
      </c>
      <c r="E131" s="78">
        <v>42935.491666666669</v>
      </c>
      <c r="F131" s="79" t="s">
        <v>1430</v>
      </c>
      <c r="G131" s="79" t="s">
        <v>477</v>
      </c>
      <c r="H131" s="79" t="s">
        <v>582</v>
      </c>
      <c r="I131" s="77" t="s">
        <v>654</v>
      </c>
      <c r="J131" s="77" t="s">
        <v>13</v>
      </c>
      <c r="K131" s="79" t="s">
        <v>875</v>
      </c>
      <c r="L131" s="7" t="str">
        <f>IF(BudgetsTable[[#This Row],[pi_last_name]]=" ","",HYPERLINK("https://www.ejacket.nsf.gov/ej/showProposal.do?Continue=Y&amp;ID="&amp;BudgetsTable[[#This Row],[prop_id]],BudgetsTable[[#This Row],[prop_id]]))</f>
        <v/>
      </c>
      <c r="M131" s="15" t="str">
        <f>IF(BudgetsTable[[#This Row],[pi_last_name]]=" ","",HYPERLINK("https://www.ejacket.nsf.gov/ej/processReviewAnalysis.do?dispatch=add&amp;uniqId="&amp;BudgetsTable[[#This Row],[prop_id]]&amp;PO_id,"&gt;ra"))</f>
        <v/>
      </c>
      <c r="N131" s="79" t="s">
        <v>13</v>
      </c>
      <c r="O131" s="7" t="str">
        <f>IF(BudgetsTable[[#This Row],[pi_last_name]]=" ","",HYPERLINK("mailto:"&amp;BudgetsTable[[#This Row],[pi_email]]&amp;"&amp;subject=Your NSF Proposal:  "&amp;BudgetsTable[[#This Row],[prop_id]],BudgetsTable[[#This Row],[pi_email]]))</f>
        <v/>
      </c>
      <c r="P131" s="79" t="s">
        <v>13</v>
      </c>
      <c r="Q131" s="79">
        <v>1</v>
      </c>
      <c r="R131" s="79">
        <v>1</v>
      </c>
      <c r="S131" s="80">
        <v>0</v>
      </c>
      <c r="T131" s="80">
        <v>2000</v>
      </c>
      <c r="U131" s="80">
        <v>0</v>
      </c>
      <c r="V131" s="81">
        <v>124310</v>
      </c>
      <c r="W131" s="79">
        <v>0</v>
      </c>
      <c r="X131" s="79">
        <v>1</v>
      </c>
      <c r="Y131" s="11" t="str">
        <f ca="1">IF(ISBLANK(BudgetsTable[[#This Row],[budg_seq_yr]]),"FY"&amp;fiscalyear,"FY"&amp;fiscalyear-1+BudgetsTable[[#This Row],[budg_seq_yr]])</f>
        <v>FY18</v>
      </c>
      <c r="Z131" s="80">
        <v>124310</v>
      </c>
      <c r="AA131" s="79" t="s">
        <v>477</v>
      </c>
      <c r="AB131" s="79" t="s">
        <v>582</v>
      </c>
      <c r="AC131" s="77" t="s">
        <v>94</v>
      </c>
      <c r="AD131" s="79" t="s">
        <v>1533</v>
      </c>
    </row>
    <row r="132" spans="1:30" x14ac:dyDescent="0.4">
      <c r="A132" s="10" t="s">
        <v>875</v>
      </c>
      <c r="B132" s="77" t="s">
        <v>95</v>
      </c>
      <c r="C132" s="77">
        <f>C131+(BudgetsTable[[#This Row],[lead]]&lt;&gt;K131)</f>
        <v>32</v>
      </c>
      <c r="D132" s="77">
        <f>D131*(BudgetsTable[[#This Row],[lead]]=K131)+(BudgetsTable[[#This Row],[prop_id]]&lt;&gt;A131)</f>
        <v>1</v>
      </c>
      <c r="E132" s="78">
        <v>42935.491666666669</v>
      </c>
      <c r="F132" s="79" t="s">
        <v>1430</v>
      </c>
      <c r="G132" s="79" t="s">
        <v>477</v>
      </c>
      <c r="H132" s="79" t="s">
        <v>582</v>
      </c>
      <c r="I132" s="77" t="s">
        <v>654</v>
      </c>
      <c r="J132" s="77" t="s">
        <v>13</v>
      </c>
      <c r="K132" s="79" t="s">
        <v>875</v>
      </c>
      <c r="L132" s="7" t="str">
        <f>IF(BudgetsTable[[#This Row],[pi_last_name]]=" ","",HYPERLINK("https://www.ejacket.nsf.gov/ej/showProposal.do?Continue=Y&amp;ID="&amp;BudgetsTable[[#This Row],[prop_id]],BudgetsTable[[#This Row],[prop_id]]))</f>
        <v/>
      </c>
      <c r="M132" s="15" t="str">
        <f>IF(BudgetsTable[[#This Row],[pi_last_name]]=" ","",HYPERLINK("https://www.ejacket.nsf.gov/ej/processReviewAnalysis.do?dispatch=add&amp;uniqId="&amp;BudgetsTable[[#This Row],[prop_id]]&amp;PO_id,"&gt;ra"))</f>
        <v/>
      </c>
      <c r="N132" s="79" t="s">
        <v>13</v>
      </c>
      <c r="O132" s="7" t="str">
        <f>IF(BudgetsTable[[#This Row],[pi_last_name]]=" ","",HYPERLINK("mailto:"&amp;BudgetsTable[[#This Row],[pi_email]]&amp;"&amp;subject=Your NSF Proposal:  "&amp;BudgetsTable[[#This Row],[prop_id]],BudgetsTable[[#This Row],[pi_email]]))</f>
        <v/>
      </c>
      <c r="P132" s="79" t="s">
        <v>13</v>
      </c>
      <c r="Q132" s="79">
        <v>1</v>
      </c>
      <c r="R132" s="79">
        <v>1</v>
      </c>
      <c r="S132" s="80">
        <v>0</v>
      </c>
      <c r="T132" s="80">
        <v>2060</v>
      </c>
      <c r="U132" s="80">
        <v>0</v>
      </c>
      <c r="V132" s="81">
        <v>128605</v>
      </c>
      <c r="W132" s="79">
        <v>0</v>
      </c>
      <c r="X132" s="79">
        <v>2</v>
      </c>
      <c r="Y132" s="11" t="str">
        <f ca="1">IF(ISBLANK(BudgetsTable[[#This Row],[budg_seq_yr]]),"FY"&amp;fiscalyear,"FY"&amp;fiscalyear-1+BudgetsTable[[#This Row],[budg_seq_yr]])</f>
        <v>FY19</v>
      </c>
      <c r="Z132" s="80">
        <v>128605</v>
      </c>
      <c r="AA132" s="79" t="s">
        <v>477</v>
      </c>
      <c r="AB132" s="79" t="s">
        <v>582</v>
      </c>
      <c r="AC132" s="77" t="s">
        <v>94</v>
      </c>
      <c r="AD132" s="79" t="s">
        <v>1533</v>
      </c>
    </row>
    <row r="133" spans="1:30" x14ac:dyDescent="0.4">
      <c r="A133" s="10" t="s">
        <v>875</v>
      </c>
      <c r="B133" s="77" t="s">
        <v>95</v>
      </c>
      <c r="C133" s="77">
        <f>C132+(BudgetsTable[[#This Row],[lead]]&lt;&gt;K132)</f>
        <v>32</v>
      </c>
      <c r="D133" s="77">
        <f>D132*(BudgetsTable[[#This Row],[lead]]=K132)+(BudgetsTable[[#This Row],[prop_id]]&lt;&gt;A132)</f>
        <v>1</v>
      </c>
      <c r="E133" s="78">
        <v>42935.491666666669</v>
      </c>
      <c r="F133" s="79" t="s">
        <v>1430</v>
      </c>
      <c r="G133" s="79" t="s">
        <v>477</v>
      </c>
      <c r="H133" s="79" t="s">
        <v>582</v>
      </c>
      <c r="I133" s="77" t="s">
        <v>654</v>
      </c>
      <c r="J133" s="77" t="s">
        <v>13</v>
      </c>
      <c r="K133" s="79" t="s">
        <v>875</v>
      </c>
      <c r="L133" s="7" t="str">
        <f>IF(BudgetsTable[[#This Row],[pi_last_name]]=" ","",HYPERLINK("https://www.ejacket.nsf.gov/ej/showProposal.do?Continue=Y&amp;ID="&amp;BudgetsTable[[#This Row],[prop_id]],BudgetsTable[[#This Row],[prop_id]]))</f>
        <v/>
      </c>
      <c r="M133" s="15" t="str">
        <f>IF(BudgetsTable[[#This Row],[pi_last_name]]=" ","",HYPERLINK("https://www.ejacket.nsf.gov/ej/processReviewAnalysis.do?dispatch=add&amp;uniqId="&amp;BudgetsTable[[#This Row],[prop_id]]&amp;PO_id,"&gt;ra"))</f>
        <v/>
      </c>
      <c r="N133" s="79" t="s">
        <v>13</v>
      </c>
      <c r="O133" s="7" t="str">
        <f>IF(BudgetsTable[[#This Row],[pi_last_name]]=" ","",HYPERLINK("mailto:"&amp;BudgetsTable[[#This Row],[pi_email]]&amp;"&amp;subject=Your NSF Proposal:  "&amp;BudgetsTable[[#This Row],[prop_id]],BudgetsTable[[#This Row],[pi_email]]))</f>
        <v/>
      </c>
      <c r="P133" s="79" t="s">
        <v>13</v>
      </c>
      <c r="Q133" s="79">
        <v>1</v>
      </c>
      <c r="R133" s="79">
        <v>1</v>
      </c>
      <c r="S133" s="80">
        <v>0</v>
      </c>
      <c r="T133" s="80">
        <v>2122</v>
      </c>
      <c r="U133" s="80">
        <v>0</v>
      </c>
      <c r="V133" s="81">
        <v>133063</v>
      </c>
      <c r="W133" s="79">
        <v>0</v>
      </c>
      <c r="X133" s="79">
        <v>3</v>
      </c>
      <c r="Y133" s="11" t="str">
        <f ca="1">IF(ISBLANK(BudgetsTable[[#This Row],[budg_seq_yr]]),"FY"&amp;fiscalyear,"FY"&amp;fiscalyear-1+BudgetsTable[[#This Row],[budg_seq_yr]])</f>
        <v>FY20</v>
      </c>
      <c r="Z133" s="80">
        <v>133063</v>
      </c>
      <c r="AA133" s="79" t="s">
        <v>477</v>
      </c>
      <c r="AB133" s="79" t="s">
        <v>582</v>
      </c>
      <c r="AC133" s="77" t="s">
        <v>94</v>
      </c>
      <c r="AD133" s="79" t="s">
        <v>1533</v>
      </c>
    </row>
    <row r="134" spans="1:30" x14ac:dyDescent="0.4">
      <c r="A134" s="10" t="s">
        <v>875</v>
      </c>
      <c r="B134" s="77" t="s">
        <v>95</v>
      </c>
      <c r="C134" s="77">
        <f>C133+(BudgetsTable[[#This Row],[lead]]&lt;&gt;K133)</f>
        <v>32</v>
      </c>
      <c r="D134" s="77">
        <f>D133*(BudgetsTable[[#This Row],[lead]]=K133)+(BudgetsTable[[#This Row],[prop_id]]&lt;&gt;A133)</f>
        <v>1</v>
      </c>
      <c r="E134" s="78">
        <v>42935.491666666669</v>
      </c>
      <c r="F134" s="79" t="s">
        <v>1430</v>
      </c>
      <c r="G134" s="79" t="s">
        <v>477</v>
      </c>
      <c r="H134" s="79" t="s">
        <v>582</v>
      </c>
      <c r="I134" s="77" t="s">
        <v>654</v>
      </c>
      <c r="J134" s="77" t="s">
        <v>13</v>
      </c>
      <c r="K134" s="79" t="s">
        <v>875</v>
      </c>
      <c r="L134" s="7" t="str">
        <f>IF(BudgetsTable[[#This Row],[pi_last_name]]=" ","",HYPERLINK("https://www.ejacket.nsf.gov/ej/showProposal.do?Continue=Y&amp;ID="&amp;BudgetsTable[[#This Row],[prop_id]],BudgetsTable[[#This Row],[prop_id]]))</f>
        <v/>
      </c>
      <c r="M134" s="15" t="str">
        <f>IF(BudgetsTable[[#This Row],[pi_last_name]]=" ","",HYPERLINK("https://www.ejacket.nsf.gov/ej/processReviewAnalysis.do?dispatch=add&amp;uniqId="&amp;BudgetsTable[[#This Row],[prop_id]]&amp;PO_id,"&gt;ra"))</f>
        <v/>
      </c>
      <c r="N134" s="79" t="s">
        <v>13</v>
      </c>
      <c r="O134" s="7" t="str">
        <f>IF(BudgetsTable[[#This Row],[pi_last_name]]=" ","",HYPERLINK("mailto:"&amp;BudgetsTable[[#This Row],[pi_email]]&amp;"&amp;subject=Your NSF Proposal:  "&amp;BudgetsTable[[#This Row],[prop_id]],BudgetsTable[[#This Row],[pi_email]]))</f>
        <v/>
      </c>
      <c r="P134" s="79" t="s">
        <v>13</v>
      </c>
      <c r="Q134" s="79">
        <v>1</v>
      </c>
      <c r="R134" s="79">
        <v>1</v>
      </c>
      <c r="S134" s="80">
        <v>0</v>
      </c>
      <c r="T134" s="80">
        <v>2185</v>
      </c>
      <c r="U134" s="80">
        <v>0</v>
      </c>
      <c r="V134" s="81">
        <v>137676</v>
      </c>
      <c r="W134" s="79">
        <v>0</v>
      </c>
      <c r="X134" s="79">
        <v>4</v>
      </c>
      <c r="Y134" s="11" t="str">
        <f ca="1">IF(ISBLANK(BudgetsTable[[#This Row],[budg_seq_yr]]),"FY"&amp;fiscalyear,"FY"&amp;fiscalyear-1+BudgetsTable[[#This Row],[budg_seq_yr]])</f>
        <v>FY21</v>
      </c>
      <c r="Z134" s="80">
        <v>137676</v>
      </c>
      <c r="AA134" s="79" t="s">
        <v>477</v>
      </c>
      <c r="AB134" s="79" t="s">
        <v>582</v>
      </c>
      <c r="AC134" s="77" t="s">
        <v>94</v>
      </c>
      <c r="AD134" s="79" t="s">
        <v>1533</v>
      </c>
    </row>
    <row r="135" spans="1:30" x14ac:dyDescent="0.4">
      <c r="A135" s="10" t="s">
        <v>875</v>
      </c>
      <c r="B135" s="77" t="s">
        <v>95</v>
      </c>
      <c r="C135" s="77">
        <f>C134+(BudgetsTable[[#This Row],[lead]]&lt;&gt;K134)</f>
        <v>32</v>
      </c>
      <c r="D135" s="77">
        <f>D134*(BudgetsTable[[#This Row],[lead]]=K134)+(BudgetsTable[[#This Row],[prop_id]]&lt;&gt;A134)</f>
        <v>1</v>
      </c>
      <c r="E135" s="78">
        <v>42935.491666666669</v>
      </c>
      <c r="F135" s="79" t="s">
        <v>1430</v>
      </c>
      <c r="G135" s="79" t="s">
        <v>477</v>
      </c>
      <c r="H135" s="79" t="s">
        <v>582</v>
      </c>
      <c r="I135" s="77" t="s">
        <v>654</v>
      </c>
      <c r="J135" s="77" t="s">
        <v>13</v>
      </c>
      <c r="K135" s="79" t="s">
        <v>875</v>
      </c>
      <c r="L135" s="7" t="str">
        <f>IF(BudgetsTable[[#This Row],[pi_last_name]]=" ","",HYPERLINK("https://www.ejacket.nsf.gov/ej/showProposal.do?Continue=Y&amp;ID="&amp;BudgetsTable[[#This Row],[prop_id]],BudgetsTable[[#This Row],[prop_id]]))</f>
        <v/>
      </c>
      <c r="M135" s="15" t="str">
        <f>IF(BudgetsTable[[#This Row],[pi_last_name]]=" ","",HYPERLINK("https://www.ejacket.nsf.gov/ej/processReviewAnalysis.do?dispatch=add&amp;uniqId="&amp;BudgetsTable[[#This Row],[prop_id]]&amp;PO_id,"&gt;ra"))</f>
        <v/>
      </c>
      <c r="N135" s="79" t="s">
        <v>13</v>
      </c>
      <c r="O135" s="7" t="str">
        <f>IF(BudgetsTable[[#This Row],[pi_last_name]]=" ","",HYPERLINK("mailto:"&amp;BudgetsTable[[#This Row],[pi_email]]&amp;"&amp;subject=Your NSF Proposal:  "&amp;BudgetsTable[[#This Row],[prop_id]],BudgetsTable[[#This Row],[pi_email]]))</f>
        <v/>
      </c>
      <c r="P135" s="79" t="s">
        <v>13</v>
      </c>
      <c r="Q135" s="79">
        <v>1</v>
      </c>
      <c r="R135" s="79">
        <v>1</v>
      </c>
      <c r="S135" s="80">
        <v>0</v>
      </c>
      <c r="T135" s="80">
        <v>2251</v>
      </c>
      <c r="U135" s="80">
        <v>0</v>
      </c>
      <c r="V135" s="81">
        <v>142457</v>
      </c>
      <c r="W135" s="79">
        <v>0</v>
      </c>
      <c r="X135" s="79">
        <v>5</v>
      </c>
      <c r="Y135" s="11" t="str">
        <f ca="1">IF(ISBLANK(BudgetsTable[[#This Row],[budg_seq_yr]]),"FY"&amp;fiscalyear,"FY"&amp;fiscalyear-1+BudgetsTable[[#This Row],[budg_seq_yr]])</f>
        <v>FY22</v>
      </c>
      <c r="Z135" s="80">
        <v>142457</v>
      </c>
      <c r="AA135" s="79" t="s">
        <v>477</v>
      </c>
      <c r="AB135" s="79" t="s">
        <v>582</v>
      </c>
      <c r="AC135" s="77" t="s">
        <v>94</v>
      </c>
      <c r="AD135" s="79" t="s">
        <v>1533</v>
      </c>
    </row>
    <row r="136" spans="1:30" x14ac:dyDescent="0.4">
      <c r="A136" s="10" t="s">
        <v>885</v>
      </c>
      <c r="B136" s="77" t="s">
        <v>95</v>
      </c>
      <c r="C136" s="77">
        <f>C135+(BudgetsTable[[#This Row],[lead]]&lt;&gt;K135)</f>
        <v>33</v>
      </c>
      <c r="D136" s="77">
        <f>D135*(BudgetsTable[[#This Row],[lead]]=K135)+(BudgetsTable[[#This Row],[prop_id]]&lt;&gt;A135)</f>
        <v>1</v>
      </c>
      <c r="E136" s="78">
        <v>42935.535416666666</v>
      </c>
      <c r="F136" s="79" t="s">
        <v>1430</v>
      </c>
      <c r="G136" s="79" t="s">
        <v>477</v>
      </c>
      <c r="H136" s="79" t="s">
        <v>582</v>
      </c>
      <c r="I136" s="77" t="s">
        <v>611</v>
      </c>
      <c r="J136" s="77" t="s">
        <v>1543</v>
      </c>
      <c r="K136" s="79" t="s">
        <v>885</v>
      </c>
      <c r="L136" s="7" t="str">
        <f>IF(BudgetsTable[[#This Row],[pi_last_name]]=" ","",HYPERLINK("https://www.ejacket.nsf.gov/ej/showProposal.do?Continue=Y&amp;ID="&amp;BudgetsTable[[#This Row],[prop_id]],BudgetsTable[[#This Row],[prop_id]]))</f>
        <v>1750436</v>
      </c>
      <c r="M136" s="15" t="e">
        <f>IF(BudgetsTable[[#This Row],[pi_last_name]]=" ","",HYPERLINK("https://www.ejacket.nsf.gov/ej/processReviewAnalysis.do?dispatch=add&amp;uniqId="&amp;BudgetsTable[[#This Row],[prop_id]]&amp;PO_id,"&gt;ra"))</f>
        <v>#REF!</v>
      </c>
      <c r="N136" s="79" t="s">
        <v>886</v>
      </c>
      <c r="O136" s="7" t="str">
        <f>IF(BudgetsTable[[#This Row],[pi_last_name]]=" ","",HYPERLINK("mailto:"&amp;BudgetsTable[[#This Row],[pi_email]]&amp;"&amp;subject=Your NSF Proposal:  "&amp;BudgetsTable[[#This Row],[prop_id]],BudgetsTable[[#This Row],[pi_email]]))</f>
        <v>rutameht@illinois.edu</v>
      </c>
      <c r="P136" s="79" t="s">
        <v>1477</v>
      </c>
      <c r="Q136" s="79"/>
      <c r="R136" s="79"/>
      <c r="S136" s="80"/>
      <c r="T136" s="80"/>
      <c r="U136" s="80"/>
      <c r="V136" s="81"/>
      <c r="W136" s="79">
        <v>0</v>
      </c>
      <c r="X136" s="79"/>
      <c r="Y136" s="11" t="str">
        <f ca="1">IF(ISBLANK(BudgetsTable[[#This Row],[budg_seq_yr]]),"FY"&amp;fiscalyear,"FY"&amp;fiscalyear-1+BudgetsTable[[#This Row],[budg_seq_yr]])</f>
        <v>FY18</v>
      </c>
      <c r="Z136" s="80">
        <v>499906</v>
      </c>
      <c r="AA136" s="79" t="s">
        <v>477</v>
      </c>
      <c r="AB136" s="79" t="s">
        <v>582</v>
      </c>
      <c r="AC136" s="77" t="s">
        <v>94</v>
      </c>
      <c r="AD136" s="79" t="s">
        <v>1539</v>
      </c>
    </row>
    <row r="137" spans="1:30" x14ac:dyDescent="0.4">
      <c r="A137" s="10" t="s">
        <v>885</v>
      </c>
      <c r="B137" s="77" t="s">
        <v>95</v>
      </c>
      <c r="C137" s="77">
        <f>C136+(BudgetsTable[[#This Row],[lead]]&lt;&gt;K136)</f>
        <v>33</v>
      </c>
      <c r="D137" s="77">
        <f>D136*(BudgetsTable[[#This Row],[lead]]=K136)+(BudgetsTable[[#This Row],[prop_id]]&lt;&gt;A136)</f>
        <v>1</v>
      </c>
      <c r="E137" s="78">
        <v>42935.535416666666</v>
      </c>
      <c r="F137" s="79" t="s">
        <v>1430</v>
      </c>
      <c r="G137" s="79" t="s">
        <v>477</v>
      </c>
      <c r="H137" s="79" t="s">
        <v>582</v>
      </c>
      <c r="I137" s="77" t="s">
        <v>611</v>
      </c>
      <c r="J137" s="77" t="s">
        <v>13</v>
      </c>
      <c r="K137" s="79" t="s">
        <v>885</v>
      </c>
      <c r="L137" s="7" t="str">
        <f>IF(BudgetsTable[[#This Row],[pi_last_name]]=" ","",HYPERLINK("https://www.ejacket.nsf.gov/ej/showProposal.do?Continue=Y&amp;ID="&amp;BudgetsTable[[#This Row],[prop_id]],BudgetsTable[[#This Row],[prop_id]]))</f>
        <v/>
      </c>
      <c r="M137" s="15" t="str">
        <f>IF(BudgetsTable[[#This Row],[pi_last_name]]=" ","",HYPERLINK("https://www.ejacket.nsf.gov/ej/processReviewAnalysis.do?dispatch=add&amp;uniqId="&amp;BudgetsTable[[#This Row],[prop_id]]&amp;PO_id,"&gt;ra"))</f>
        <v/>
      </c>
      <c r="N137" s="79" t="s">
        <v>13</v>
      </c>
      <c r="O137" s="7" t="str">
        <f>IF(BudgetsTable[[#This Row],[pi_last_name]]=" ","",HYPERLINK("mailto:"&amp;BudgetsTable[[#This Row],[pi_email]]&amp;"&amp;subject=Your NSF Proposal:  "&amp;BudgetsTable[[#This Row],[prop_id]],BudgetsTable[[#This Row],[pi_email]]))</f>
        <v/>
      </c>
      <c r="P137" s="79" t="s">
        <v>13</v>
      </c>
      <c r="Q137" s="79">
        <v>1</v>
      </c>
      <c r="R137" s="79">
        <v>1</v>
      </c>
      <c r="S137" s="80">
        <v>0</v>
      </c>
      <c r="T137" s="80">
        <v>2000</v>
      </c>
      <c r="U137" s="80">
        <v>0</v>
      </c>
      <c r="V137" s="81">
        <v>101016</v>
      </c>
      <c r="W137" s="79">
        <v>0</v>
      </c>
      <c r="X137" s="79">
        <v>1</v>
      </c>
      <c r="Y137" s="11" t="str">
        <f ca="1">IF(ISBLANK(BudgetsTable[[#This Row],[budg_seq_yr]]),"FY"&amp;fiscalyear,"FY"&amp;fiscalyear-1+BudgetsTable[[#This Row],[budg_seq_yr]])</f>
        <v>FY18</v>
      </c>
      <c r="Z137" s="80">
        <v>101016</v>
      </c>
      <c r="AA137" s="79" t="s">
        <v>477</v>
      </c>
      <c r="AB137" s="79" t="s">
        <v>582</v>
      </c>
      <c r="AC137" s="77" t="s">
        <v>94</v>
      </c>
      <c r="AD137" s="79" t="s">
        <v>1539</v>
      </c>
    </row>
    <row r="138" spans="1:30" x14ac:dyDescent="0.4">
      <c r="A138" s="10" t="s">
        <v>885</v>
      </c>
      <c r="B138" s="77" t="s">
        <v>95</v>
      </c>
      <c r="C138" s="77">
        <f>C137+(BudgetsTable[[#This Row],[lead]]&lt;&gt;K137)</f>
        <v>33</v>
      </c>
      <c r="D138" s="77">
        <f>D137*(BudgetsTable[[#This Row],[lead]]=K137)+(BudgetsTable[[#This Row],[prop_id]]&lt;&gt;A137)</f>
        <v>1</v>
      </c>
      <c r="E138" s="78">
        <v>42935.535416666666</v>
      </c>
      <c r="F138" s="79" t="s">
        <v>1430</v>
      </c>
      <c r="G138" s="79" t="s">
        <v>477</v>
      </c>
      <c r="H138" s="79" t="s">
        <v>582</v>
      </c>
      <c r="I138" s="77" t="s">
        <v>611</v>
      </c>
      <c r="J138" s="77" t="s">
        <v>13</v>
      </c>
      <c r="K138" s="79" t="s">
        <v>885</v>
      </c>
      <c r="L138" s="7" t="str">
        <f>IF(BudgetsTable[[#This Row],[pi_last_name]]=" ","",HYPERLINK("https://www.ejacket.nsf.gov/ej/showProposal.do?Continue=Y&amp;ID="&amp;BudgetsTable[[#This Row],[prop_id]],BudgetsTable[[#This Row],[prop_id]]))</f>
        <v/>
      </c>
      <c r="M138" s="15" t="str">
        <f>IF(BudgetsTable[[#This Row],[pi_last_name]]=" ","",HYPERLINK("https://www.ejacket.nsf.gov/ej/processReviewAnalysis.do?dispatch=add&amp;uniqId="&amp;BudgetsTable[[#This Row],[prop_id]]&amp;PO_id,"&gt;ra"))</f>
        <v/>
      </c>
      <c r="N138" s="79" t="s">
        <v>13</v>
      </c>
      <c r="O138" s="7" t="str">
        <f>IF(BudgetsTable[[#This Row],[pi_last_name]]=" ","",HYPERLINK("mailto:"&amp;BudgetsTable[[#This Row],[pi_email]]&amp;"&amp;subject=Your NSF Proposal:  "&amp;BudgetsTable[[#This Row],[prop_id]],BudgetsTable[[#This Row],[pi_email]]))</f>
        <v/>
      </c>
      <c r="P138" s="79" t="s">
        <v>13</v>
      </c>
      <c r="Q138" s="79">
        <v>1</v>
      </c>
      <c r="R138" s="79">
        <v>1</v>
      </c>
      <c r="S138" s="80">
        <v>0</v>
      </c>
      <c r="T138" s="80">
        <v>2000</v>
      </c>
      <c r="U138" s="80">
        <v>0</v>
      </c>
      <c r="V138" s="81">
        <v>102073</v>
      </c>
      <c r="W138" s="79">
        <v>0</v>
      </c>
      <c r="X138" s="79">
        <v>2</v>
      </c>
      <c r="Y138" s="11" t="str">
        <f ca="1">IF(ISBLANK(BudgetsTable[[#This Row],[budg_seq_yr]]),"FY"&amp;fiscalyear,"FY"&amp;fiscalyear-1+BudgetsTable[[#This Row],[budg_seq_yr]])</f>
        <v>FY19</v>
      </c>
      <c r="Z138" s="80">
        <v>102073</v>
      </c>
      <c r="AA138" s="79" t="s">
        <v>477</v>
      </c>
      <c r="AB138" s="79" t="s">
        <v>582</v>
      </c>
      <c r="AC138" s="77" t="s">
        <v>94</v>
      </c>
      <c r="AD138" s="79" t="s">
        <v>1539</v>
      </c>
    </row>
    <row r="139" spans="1:30" x14ac:dyDescent="0.4">
      <c r="A139" s="10" t="s">
        <v>885</v>
      </c>
      <c r="B139" s="77" t="s">
        <v>95</v>
      </c>
      <c r="C139" s="77">
        <f>C138+(BudgetsTable[[#This Row],[lead]]&lt;&gt;K138)</f>
        <v>33</v>
      </c>
      <c r="D139" s="77">
        <f>D138*(BudgetsTable[[#This Row],[lead]]=K138)+(BudgetsTable[[#This Row],[prop_id]]&lt;&gt;A138)</f>
        <v>1</v>
      </c>
      <c r="E139" s="78">
        <v>42935.535416666666</v>
      </c>
      <c r="F139" s="79" t="s">
        <v>1430</v>
      </c>
      <c r="G139" s="79" t="s">
        <v>477</v>
      </c>
      <c r="H139" s="79" t="s">
        <v>582</v>
      </c>
      <c r="I139" s="77" t="s">
        <v>611</v>
      </c>
      <c r="J139" s="77" t="s">
        <v>13</v>
      </c>
      <c r="K139" s="79" t="s">
        <v>885</v>
      </c>
      <c r="L139" s="7" t="str">
        <f>IF(BudgetsTable[[#This Row],[pi_last_name]]=" ","",HYPERLINK("https://www.ejacket.nsf.gov/ej/showProposal.do?Continue=Y&amp;ID="&amp;BudgetsTable[[#This Row],[prop_id]],BudgetsTable[[#This Row],[prop_id]]))</f>
        <v/>
      </c>
      <c r="M139" s="15" t="str">
        <f>IF(BudgetsTable[[#This Row],[pi_last_name]]=" ","",HYPERLINK("https://www.ejacket.nsf.gov/ej/processReviewAnalysis.do?dispatch=add&amp;uniqId="&amp;BudgetsTable[[#This Row],[prop_id]]&amp;PO_id,"&gt;ra"))</f>
        <v/>
      </c>
      <c r="N139" s="79" t="s">
        <v>13</v>
      </c>
      <c r="O139" s="7" t="str">
        <f>IF(BudgetsTable[[#This Row],[pi_last_name]]=" ","",HYPERLINK("mailto:"&amp;BudgetsTable[[#This Row],[pi_email]]&amp;"&amp;subject=Your NSF Proposal:  "&amp;BudgetsTable[[#This Row],[prop_id]],BudgetsTable[[#This Row],[pi_email]]))</f>
        <v/>
      </c>
      <c r="P139" s="79" t="s">
        <v>13</v>
      </c>
      <c r="Q139" s="79">
        <v>1</v>
      </c>
      <c r="R139" s="79">
        <v>1</v>
      </c>
      <c r="S139" s="80">
        <v>0</v>
      </c>
      <c r="T139" s="80">
        <v>2000</v>
      </c>
      <c r="U139" s="80">
        <v>0</v>
      </c>
      <c r="V139" s="81">
        <v>105652</v>
      </c>
      <c r="W139" s="79">
        <v>0</v>
      </c>
      <c r="X139" s="79">
        <v>3</v>
      </c>
      <c r="Y139" s="11" t="str">
        <f ca="1">IF(ISBLANK(BudgetsTable[[#This Row],[budg_seq_yr]]),"FY"&amp;fiscalyear,"FY"&amp;fiscalyear-1+BudgetsTable[[#This Row],[budg_seq_yr]])</f>
        <v>FY20</v>
      </c>
      <c r="Z139" s="80">
        <v>105652</v>
      </c>
      <c r="AA139" s="79" t="s">
        <v>477</v>
      </c>
      <c r="AB139" s="79" t="s">
        <v>582</v>
      </c>
      <c r="AC139" s="77" t="s">
        <v>94</v>
      </c>
      <c r="AD139" s="79" t="s">
        <v>1539</v>
      </c>
    </row>
    <row r="140" spans="1:30" x14ac:dyDescent="0.4">
      <c r="A140" s="10" t="s">
        <v>885</v>
      </c>
      <c r="B140" s="77" t="s">
        <v>95</v>
      </c>
      <c r="C140" s="77">
        <f>C139+(BudgetsTable[[#This Row],[lead]]&lt;&gt;K139)</f>
        <v>33</v>
      </c>
      <c r="D140" s="77">
        <f>D139*(BudgetsTable[[#This Row],[lead]]=K139)+(BudgetsTable[[#This Row],[prop_id]]&lt;&gt;A139)</f>
        <v>1</v>
      </c>
      <c r="E140" s="78">
        <v>42935.535416666666</v>
      </c>
      <c r="F140" s="79" t="s">
        <v>1430</v>
      </c>
      <c r="G140" s="79" t="s">
        <v>477</v>
      </c>
      <c r="H140" s="79" t="s">
        <v>582</v>
      </c>
      <c r="I140" s="77" t="s">
        <v>611</v>
      </c>
      <c r="J140" s="77" t="s">
        <v>13</v>
      </c>
      <c r="K140" s="79" t="s">
        <v>885</v>
      </c>
      <c r="L140" s="7" t="str">
        <f>IF(BudgetsTable[[#This Row],[pi_last_name]]=" ","",HYPERLINK("https://www.ejacket.nsf.gov/ej/showProposal.do?Continue=Y&amp;ID="&amp;BudgetsTable[[#This Row],[prop_id]],BudgetsTable[[#This Row],[prop_id]]))</f>
        <v/>
      </c>
      <c r="M140" s="15" t="str">
        <f>IF(BudgetsTable[[#This Row],[pi_last_name]]=" ","",HYPERLINK("https://www.ejacket.nsf.gov/ej/processReviewAnalysis.do?dispatch=add&amp;uniqId="&amp;BudgetsTable[[#This Row],[prop_id]]&amp;PO_id,"&gt;ra"))</f>
        <v/>
      </c>
      <c r="N140" s="79" t="s">
        <v>13</v>
      </c>
      <c r="O140" s="7" t="str">
        <f>IF(BudgetsTable[[#This Row],[pi_last_name]]=" ","",HYPERLINK("mailto:"&amp;BudgetsTable[[#This Row],[pi_email]]&amp;"&amp;subject=Your NSF Proposal:  "&amp;BudgetsTable[[#This Row],[prop_id]],BudgetsTable[[#This Row],[pi_email]]))</f>
        <v/>
      </c>
      <c r="P140" s="79" t="s">
        <v>13</v>
      </c>
      <c r="Q140" s="79">
        <v>1</v>
      </c>
      <c r="R140" s="79">
        <v>1</v>
      </c>
      <c r="S140" s="80">
        <v>0</v>
      </c>
      <c r="T140" s="80">
        <v>2000</v>
      </c>
      <c r="U140" s="80">
        <v>0</v>
      </c>
      <c r="V140" s="81">
        <v>109379</v>
      </c>
      <c r="W140" s="79">
        <v>0</v>
      </c>
      <c r="X140" s="79">
        <v>4</v>
      </c>
      <c r="Y140" s="11" t="str">
        <f ca="1">IF(ISBLANK(BudgetsTable[[#This Row],[budg_seq_yr]]),"FY"&amp;fiscalyear,"FY"&amp;fiscalyear-1+BudgetsTable[[#This Row],[budg_seq_yr]])</f>
        <v>FY21</v>
      </c>
      <c r="Z140" s="80">
        <v>109379</v>
      </c>
      <c r="AA140" s="79" t="s">
        <v>477</v>
      </c>
      <c r="AB140" s="79" t="s">
        <v>582</v>
      </c>
      <c r="AC140" s="77" t="s">
        <v>94</v>
      </c>
      <c r="AD140" s="79" t="s">
        <v>1539</v>
      </c>
    </row>
    <row r="141" spans="1:30" x14ac:dyDescent="0.4">
      <c r="A141" s="10" t="s">
        <v>885</v>
      </c>
      <c r="B141" s="77" t="s">
        <v>95</v>
      </c>
      <c r="C141" s="77">
        <f>C140+(BudgetsTable[[#This Row],[lead]]&lt;&gt;K140)</f>
        <v>33</v>
      </c>
      <c r="D141" s="77">
        <f>D140*(BudgetsTable[[#This Row],[lead]]=K140)+(BudgetsTable[[#This Row],[prop_id]]&lt;&gt;A140)</f>
        <v>1</v>
      </c>
      <c r="E141" s="78">
        <v>42935.535416666666</v>
      </c>
      <c r="F141" s="79" t="s">
        <v>1430</v>
      </c>
      <c r="G141" s="79" t="s">
        <v>477</v>
      </c>
      <c r="H141" s="79" t="s">
        <v>582</v>
      </c>
      <c r="I141" s="77" t="s">
        <v>611</v>
      </c>
      <c r="J141" s="77" t="s">
        <v>13</v>
      </c>
      <c r="K141" s="79" t="s">
        <v>885</v>
      </c>
      <c r="L141" s="7" t="str">
        <f>IF(BudgetsTable[[#This Row],[pi_last_name]]=" ","",HYPERLINK("https://www.ejacket.nsf.gov/ej/showProposal.do?Continue=Y&amp;ID="&amp;BudgetsTable[[#This Row],[prop_id]],BudgetsTable[[#This Row],[prop_id]]))</f>
        <v/>
      </c>
      <c r="M141" s="15" t="str">
        <f>IF(BudgetsTable[[#This Row],[pi_last_name]]=" ","",HYPERLINK("https://www.ejacket.nsf.gov/ej/processReviewAnalysis.do?dispatch=add&amp;uniqId="&amp;BudgetsTable[[#This Row],[prop_id]]&amp;PO_id,"&gt;ra"))</f>
        <v/>
      </c>
      <c r="N141" s="79" t="s">
        <v>13</v>
      </c>
      <c r="O141" s="7" t="str">
        <f>IF(BudgetsTable[[#This Row],[pi_last_name]]=" ","",HYPERLINK("mailto:"&amp;BudgetsTable[[#This Row],[pi_email]]&amp;"&amp;subject=Your NSF Proposal:  "&amp;BudgetsTable[[#This Row],[prop_id]],BudgetsTable[[#This Row],[pi_email]]))</f>
        <v/>
      </c>
      <c r="P141" s="79" t="s">
        <v>13</v>
      </c>
      <c r="Q141" s="79">
        <v>0</v>
      </c>
      <c r="R141" s="79">
        <v>0</v>
      </c>
      <c r="S141" s="80">
        <v>0</v>
      </c>
      <c r="T141" s="80">
        <v>2000</v>
      </c>
      <c r="U141" s="80">
        <v>0</v>
      </c>
      <c r="V141" s="81">
        <v>81786</v>
      </c>
      <c r="W141" s="79">
        <v>0</v>
      </c>
      <c r="X141" s="79">
        <v>5</v>
      </c>
      <c r="Y141" s="11" t="str">
        <f ca="1">IF(ISBLANK(BudgetsTable[[#This Row],[budg_seq_yr]]),"FY"&amp;fiscalyear,"FY"&amp;fiscalyear-1+BudgetsTable[[#This Row],[budg_seq_yr]])</f>
        <v>FY22</v>
      </c>
      <c r="Z141" s="80">
        <v>81786</v>
      </c>
      <c r="AA141" s="79" t="s">
        <v>477</v>
      </c>
      <c r="AB141" s="79" t="s">
        <v>582</v>
      </c>
      <c r="AC141" s="77" t="s">
        <v>94</v>
      </c>
      <c r="AD141" s="79" t="s">
        <v>1539</v>
      </c>
    </row>
    <row r="142" spans="1:30" x14ac:dyDescent="0.4">
      <c r="A142" s="10" t="s">
        <v>896</v>
      </c>
      <c r="B142" s="77" t="s">
        <v>95</v>
      </c>
      <c r="C142" s="77">
        <f>C141+(BudgetsTable[[#This Row],[lead]]&lt;&gt;K141)</f>
        <v>34</v>
      </c>
      <c r="D142" s="77">
        <f>D141*(BudgetsTable[[#This Row],[lead]]=K141)+(BudgetsTable[[#This Row],[prop_id]]&lt;&gt;A141)</f>
        <v>1</v>
      </c>
      <c r="E142" s="78">
        <v>42935.536805555559</v>
      </c>
      <c r="F142" s="79" t="s">
        <v>1430</v>
      </c>
      <c r="G142" s="79" t="s">
        <v>477</v>
      </c>
      <c r="H142" s="79" t="s">
        <v>582</v>
      </c>
      <c r="I142" s="77" t="s">
        <v>611</v>
      </c>
      <c r="J142" s="77" t="s">
        <v>1547</v>
      </c>
      <c r="K142" s="79" t="s">
        <v>896</v>
      </c>
      <c r="L142" s="7" t="str">
        <f>IF(BudgetsTable[[#This Row],[pi_last_name]]=" ","",HYPERLINK("https://www.ejacket.nsf.gov/ej/showProposal.do?Continue=Y&amp;ID="&amp;BudgetsTable[[#This Row],[prop_id]],BudgetsTable[[#This Row],[prop_id]]))</f>
        <v>1750443</v>
      </c>
      <c r="M142" s="15" t="e">
        <f>IF(BudgetsTable[[#This Row],[pi_last_name]]=" ","",HYPERLINK("https://www.ejacket.nsf.gov/ej/processReviewAnalysis.do?dispatch=add&amp;uniqId="&amp;BudgetsTable[[#This Row],[prop_id]]&amp;PO_id,"&gt;ra"))</f>
        <v>#REF!</v>
      </c>
      <c r="N142" s="79" t="s">
        <v>897</v>
      </c>
      <c r="O142" s="7" t="str">
        <f>IF(BudgetsTable[[#This Row],[pi_last_name]]=" ","",HYPERLINK("mailto:"&amp;BudgetsTable[[#This Row],[pi_email]]&amp;"&amp;subject=Your NSF Proposal:  "&amp;BudgetsTable[[#This Row],[prop_id]],BudgetsTable[[#This Row],[pi_email]]))</f>
        <v>gillat.kol@gmail.com</v>
      </c>
      <c r="P142" s="79" t="s">
        <v>552</v>
      </c>
      <c r="Q142" s="79"/>
      <c r="R142" s="79"/>
      <c r="S142" s="80"/>
      <c r="T142" s="80"/>
      <c r="U142" s="80"/>
      <c r="V142" s="81"/>
      <c r="W142" s="79">
        <v>0</v>
      </c>
      <c r="X142" s="79"/>
      <c r="Y142" s="11" t="str">
        <f ca="1">IF(ISBLANK(BudgetsTable[[#This Row],[budg_seq_yr]]),"FY"&amp;fiscalyear,"FY"&amp;fiscalyear-1+BudgetsTable[[#This Row],[budg_seq_yr]])</f>
        <v>FY18</v>
      </c>
      <c r="Z142" s="80">
        <v>550000</v>
      </c>
      <c r="AA142" s="79" t="s">
        <v>477</v>
      </c>
      <c r="AB142" s="79" t="s">
        <v>582</v>
      </c>
      <c r="AC142" s="77" t="s">
        <v>94</v>
      </c>
      <c r="AD142" s="79" t="s">
        <v>1469</v>
      </c>
    </row>
    <row r="143" spans="1:30" x14ac:dyDescent="0.4">
      <c r="A143" s="10" t="s">
        <v>896</v>
      </c>
      <c r="B143" s="77" t="s">
        <v>95</v>
      </c>
      <c r="C143" s="77">
        <f>C142+(BudgetsTable[[#This Row],[lead]]&lt;&gt;K142)</f>
        <v>34</v>
      </c>
      <c r="D143" s="77">
        <f>D142*(BudgetsTable[[#This Row],[lead]]=K142)+(BudgetsTable[[#This Row],[prop_id]]&lt;&gt;A142)</f>
        <v>1</v>
      </c>
      <c r="E143" s="78">
        <v>42935.536805555559</v>
      </c>
      <c r="F143" s="79" t="s">
        <v>1430</v>
      </c>
      <c r="G143" s="79" t="s">
        <v>477</v>
      </c>
      <c r="H143" s="79" t="s">
        <v>582</v>
      </c>
      <c r="I143" s="77" t="s">
        <v>611</v>
      </c>
      <c r="J143" s="77" t="s">
        <v>13</v>
      </c>
      <c r="K143" s="79" t="s">
        <v>896</v>
      </c>
      <c r="L143" s="7" t="str">
        <f>IF(BudgetsTable[[#This Row],[pi_last_name]]=" ","",HYPERLINK("https://www.ejacket.nsf.gov/ej/showProposal.do?Continue=Y&amp;ID="&amp;BudgetsTable[[#This Row],[prop_id]],BudgetsTable[[#This Row],[prop_id]]))</f>
        <v/>
      </c>
      <c r="M143" s="15" t="str">
        <f>IF(BudgetsTable[[#This Row],[pi_last_name]]=" ","",HYPERLINK("https://www.ejacket.nsf.gov/ej/processReviewAnalysis.do?dispatch=add&amp;uniqId="&amp;BudgetsTable[[#This Row],[prop_id]]&amp;PO_id,"&gt;ra"))</f>
        <v/>
      </c>
      <c r="N143" s="79" t="s">
        <v>13</v>
      </c>
      <c r="O143" s="7" t="str">
        <f>IF(BudgetsTable[[#This Row],[pi_last_name]]=" ","",HYPERLINK("mailto:"&amp;BudgetsTable[[#This Row],[pi_email]]&amp;"&amp;subject=Your NSF Proposal:  "&amp;BudgetsTable[[#This Row],[prop_id]],BudgetsTable[[#This Row],[pi_email]]))</f>
        <v/>
      </c>
      <c r="P143" s="79" t="s">
        <v>13</v>
      </c>
      <c r="Q143" s="79">
        <v>1</v>
      </c>
      <c r="R143" s="79">
        <v>1</v>
      </c>
      <c r="S143" s="80">
        <v>0</v>
      </c>
      <c r="T143" s="80">
        <v>0</v>
      </c>
      <c r="U143" s="80">
        <v>0</v>
      </c>
      <c r="V143" s="81">
        <v>103323</v>
      </c>
      <c r="W143" s="79">
        <v>0</v>
      </c>
      <c r="X143" s="79">
        <v>1</v>
      </c>
      <c r="Y143" s="11" t="str">
        <f ca="1">IF(ISBLANK(BudgetsTable[[#This Row],[budg_seq_yr]]),"FY"&amp;fiscalyear,"FY"&amp;fiscalyear-1+BudgetsTable[[#This Row],[budg_seq_yr]])</f>
        <v>FY18</v>
      </c>
      <c r="Z143" s="80">
        <v>103323</v>
      </c>
      <c r="AA143" s="79" t="s">
        <v>477</v>
      </c>
      <c r="AB143" s="79" t="s">
        <v>582</v>
      </c>
      <c r="AC143" s="77" t="s">
        <v>94</v>
      </c>
      <c r="AD143" s="79" t="s">
        <v>1469</v>
      </c>
    </row>
    <row r="144" spans="1:30" x14ac:dyDescent="0.4">
      <c r="A144" s="10" t="s">
        <v>896</v>
      </c>
      <c r="B144" s="77" t="s">
        <v>95</v>
      </c>
      <c r="C144" s="77">
        <f>C143+(BudgetsTable[[#This Row],[lead]]&lt;&gt;K143)</f>
        <v>34</v>
      </c>
      <c r="D144" s="77">
        <f>D143*(BudgetsTable[[#This Row],[lead]]=K143)+(BudgetsTable[[#This Row],[prop_id]]&lt;&gt;A143)</f>
        <v>1</v>
      </c>
      <c r="E144" s="78">
        <v>42935.536805555559</v>
      </c>
      <c r="F144" s="79" t="s">
        <v>1430</v>
      </c>
      <c r="G144" s="79" t="s">
        <v>477</v>
      </c>
      <c r="H144" s="79" t="s">
        <v>582</v>
      </c>
      <c r="I144" s="77" t="s">
        <v>611</v>
      </c>
      <c r="J144" s="77" t="s">
        <v>13</v>
      </c>
      <c r="K144" s="79" t="s">
        <v>896</v>
      </c>
      <c r="L144" s="7" t="str">
        <f>IF(BudgetsTable[[#This Row],[pi_last_name]]=" ","",HYPERLINK("https://www.ejacket.nsf.gov/ej/showProposal.do?Continue=Y&amp;ID="&amp;BudgetsTable[[#This Row],[prop_id]],BudgetsTable[[#This Row],[prop_id]]))</f>
        <v/>
      </c>
      <c r="M144" s="15" t="str">
        <f>IF(BudgetsTable[[#This Row],[pi_last_name]]=" ","",HYPERLINK("https://www.ejacket.nsf.gov/ej/processReviewAnalysis.do?dispatch=add&amp;uniqId="&amp;BudgetsTable[[#This Row],[prop_id]]&amp;PO_id,"&gt;ra"))</f>
        <v/>
      </c>
      <c r="N144" s="79" t="s">
        <v>13</v>
      </c>
      <c r="O144" s="7" t="str">
        <f>IF(BudgetsTable[[#This Row],[pi_last_name]]=" ","",HYPERLINK("mailto:"&amp;BudgetsTable[[#This Row],[pi_email]]&amp;"&amp;subject=Your NSF Proposal:  "&amp;BudgetsTable[[#This Row],[prop_id]],BudgetsTable[[#This Row],[pi_email]]))</f>
        <v/>
      </c>
      <c r="P144" s="79" t="s">
        <v>13</v>
      </c>
      <c r="Q144" s="79">
        <v>1</v>
      </c>
      <c r="R144" s="79">
        <v>1</v>
      </c>
      <c r="S144" s="80">
        <v>0</v>
      </c>
      <c r="T144" s="80">
        <v>0</v>
      </c>
      <c r="U144" s="80">
        <v>0</v>
      </c>
      <c r="V144" s="81">
        <v>106541</v>
      </c>
      <c r="W144" s="79">
        <v>0</v>
      </c>
      <c r="X144" s="79">
        <v>2</v>
      </c>
      <c r="Y144" s="11" t="str">
        <f ca="1">IF(ISBLANK(BudgetsTable[[#This Row],[budg_seq_yr]]),"FY"&amp;fiscalyear,"FY"&amp;fiscalyear-1+BudgetsTable[[#This Row],[budg_seq_yr]])</f>
        <v>FY19</v>
      </c>
      <c r="Z144" s="80">
        <v>106541</v>
      </c>
      <c r="AA144" s="79" t="s">
        <v>477</v>
      </c>
      <c r="AB144" s="79" t="s">
        <v>582</v>
      </c>
      <c r="AC144" s="77" t="s">
        <v>94</v>
      </c>
      <c r="AD144" s="79" t="s">
        <v>1469</v>
      </c>
    </row>
    <row r="145" spans="1:30" x14ac:dyDescent="0.4">
      <c r="A145" s="10" t="s">
        <v>896</v>
      </c>
      <c r="B145" s="77" t="s">
        <v>95</v>
      </c>
      <c r="C145" s="77">
        <f>C144+(BudgetsTable[[#This Row],[lead]]&lt;&gt;K144)</f>
        <v>34</v>
      </c>
      <c r="D145" s="77">
        <f>D144*(BudgetsTable[[#This Row],[lead]]=K144)+(BudgetsTable[[#This Row],[prop_id]]&lt;&gt;A144)</f>
        <v>1</v>
      </c>
      <c r="E145" s="78">
        <v>42935.536805555559</v>
      </c>
      <c r="F145" s="79" t="s">
        <v>1430</v>
      </c>
      <c r="G145" s="79" t="s">
        <v>477</v>
      </c>
      <c r="H145" s="79" t="s">
        <v>582</v>
      </c>
      <c r="I145" s="77" t="s">
        <v>611</v>
      </c>
      <c r="J145" s="77" t="s">
        <v>13</v>
      </c>
      <c r="K145" s="79" t="s">
        <v>896</v>
      </c>
      <c r="L145" s="7" t="str">
        <f>IF(BudgetsTable[[#This Row],[pi_last_name]]=" ","",HYPERLINK("https://www.ejacket.nsf.gov/ej/showProposal.do?Continue=Y&amp;ID="&amp;BudgetsTable[[#This Row],[prop_id]],BudgetsTable[[#This Row],[prop_id]]))</f>
        <v/>
      </c>
      <c r="M145" s="15" t="str">
        <f>IF(BudgetsTable[[#This Row],[pi_last_name]]=" ","",HYPERLINK("https://www.ejacket.nsf.gov/ej/processReviewAnalysis.do?dispatch=add&amp;uniqId="&amp;BudgetsTable[[#This Row],[prop_id]]&amp;PO_id,"&gt;ra"))</f>
        <v/>
      </c>
      <c r="N145" s="79" t="s">
        <v>13</v>
      </c>
      <c r="O145" s="7" t="str">
        <f>IF(BudgetsTable[[#This Row],[pi_last_name]]=" ","",HYPERLINK("mailto:"&amp;BudgetsTable[[#This Row],[pi_email]]&amp;"&amp;subject=Your NSF Proposal:  "&amp;BudgetsTable[[#This Row],[prop_id]],BudgetsTable[[#This Row],[pi_email]]))</f>
        <v/>
      </c>
      <c r="P145" s="79" t="s">
        <v>13</v>
      </c>
      <c r="Q145" s="79">
        <v>1</v>
      </c>
      <c r="R145" s="79">
        <v>1</v>
      </c>
      <c r="S145" s="80">
        <v>0</v>
      </c>
      <c r="T145" s="80">
        <v>0</v>
      </c>
      <c r="U145" s="80">
        <v>0</v>
      </c>
      <c r="V145" s="81">
        <v>109877</v>
      </c>
      <c r="W145" s="79">
        <v>0</v>
      </c>
      <c r="X145" s="79">
        <v>3</v>
      </c>
      <c r="Y145" s="11" t="str">
        <f ca="1">IF(ISBLANK(BudgetsTable[[#This Row],[budg_seq_yr]]),"FY"&amp;fiscalyear,"FY"&amp;fiscalyear-1+BudgetsTable[[#This Row],[budg_seq_yr]])</f>
        <v>FY20</v>
      </c>
      <c r="Z145" s="80">
        <v>109877</v>
      </c>
      <c r="AA145" s="79" t="s">
        <v>477</v>
      </c>
      <c r="AB145" s="79" t="s">
        <v>582</v>
      </c>
      <c r="AC145" s="77" t="s">
        <v>94</v>
      </c>
      <c r="AD145" s="79" t="s">
        <v>1469</v>
      </c>
    </row>
    <row r="146" spans="1:30" x14ac:dyDescent="0.4">
      <c r="A146" s="10" t="s">
        <v>896</v>
      </c>
      <c r="B146" s="77" t="s">
        <v>95</v>
      </c>
      <c r="C146" s="77">
        <f>C145+(BudgetsTable[[#This Row],[lead]]&lt;&gt;K145)</f>
        <v>34</v>
      </c>
      <c r="D146" s="77">
        <f>D145*(BudgetsTable[[#This Row],[lead]]=K145)+(BudgetsTable[[#This Row],[prop_id]]&lt;&gt;A145)</f>
        <v>1</v>
      </c>
      <c r="E146" s="78">
        <v>42935.536805555559</v>
      </c>
      <c r="F146" s="79" t="s">
        <v>1430</v>
      </c>
      <c r="G146" s="79" t="s">
        <v>477</v>
      </c>
      <c r="H146" s="79" t="s">
        <v>582</v>
      </c>
      <c r="I146" s="77" t="s">
        <v>611</v>
      </c>
      <c r="J146" s="77" t="s">
        <v>13</v>
      </c>
      <c r="K146" s="79" t="s">
        <v>896</v>
      </c>
      <c r="L146" s="7" t="str">
        <f>IF(BudgetsTable[[#This Row],[pi_last_name]]=" ","",HYPERLINK("https://www.ejacket.nsf.gov/ej/showProposal.do?Continue=Y&amp;ID="&amp;BudgetsTable[[#This Row],[prop_id]],BudgetsTable[[#This Row],[prop_id]]))</f>
        <v/>
      </c>
      <c r="M146" s="15" t="str">
        <f>IF(BudgetsTable[[#This Row],[pi_last_name]]=" ","",HYPERLINK("https://www.ejacket.nsf.gov/ej/processReviewAnalysis.do?dispatch=add&amp;uniqId="&amp;BudgetsTable[[#This Row],[prop_id]]&amp;PO_id,"&gt;ra"))</f>
        <v/>
      </c>
      <c r="N146" s="79" t="s">
        <v>13</v>
      </c>
      <c r="O146" s="7" t="str">
        <f>IF(BudgetsTable[[#This Row],[pi_last_name]]=" ","",HYPERLINK("mailto:"&amp;BudgetsTable[[#This Row],[pi_email]]&amp;"&amp;subject=Your NSF Proposal:  "&amp;BudgetsTable[[#This Row],[prop_id]],BudgetsTable[[#This Row],[pi_email]]))</f>
        <v/>
      </c>
      <c r="P146" s="79" t="s">
        <v>13</v>
      </c>
      <c r="Q146" s="79">
        <v>1</v>
      </c>
      <c r="R146" s="79">
        <v>1</v>
      </c>
      <c r="S146" s="80">
        <v>0</v>
      </c>
      <c r="T146" s="80">
        <v>0</v>
      </c>
      <c r="U146" s="80">
        <v>0</v>
      </c>
      <c r="V146" s="81">
        <v>113336</v>
      </c>
      <c r="W146" s="79">
        <v>0</v>
      </c>
      <c r="X146" s="79">
        <v>4</v>
      </c>
      <c r="Y146" s="11" t="str">
        <f ca="1">IF(ISBLANK(BudgetsTable[[#This Row],[budg_seq_yr]]),"FY"&amp;fiscalyear,"FY"&amp;fiscalyear-1+BudgetsTable[[#This Row],[budg_seq_yr]])</f>
        <v>FY21</v>
      </c>
      <c r="Z146" s="80">
        <v>113336</v>
      </c>
      <c r="AA146" s="79" t="s">
        <v>477</v>
      </c>
      <c r="AB146" s="79" t="s">
        <v>582</v>
      </c>
      <c r="AC146" s="77" t="s">
        <v>94</v>
      </c>
      <c r="AD146" s="79" t="s">
        <v>1469</v>
      </c>
    </row>
    <row r="147" spans="1:30" x14ac:dyDescent="0.4">
      <c r="A147" s="10" t="s">
        <v>896</v>
      </c>
      <c r="B147" s="77" t="s">
        <v>95</v>
      </c>
      <c r="C147" s="77">
        <f>C146+(BudgetsTable[[#This Row],[lead]]&lt;&gt;K146)</f>
        <v>34</v>
      </c>
      <c r="D147" s="77">
        <f>D146*(BudgetsTable[[#This Row],[lead]]=K146)+(BudgetsTable[[#This Row],[prop_id]]&lt;&gt;A146)</f>
        <v>1</v>
      </c>
      <c r="E147" s="78">
        <v>42935.536805555559</v>
      </c>
      <c r="F147" s="79" t="s">
        <v>1430</v>
      </c>
      <c r="G147" s="79" t="s">
        <v>477</v>
      </c>
      <c r="H147" s="79" t="s">
        <v>582</v>
      </c>
      <c r="I147" s="77" t="s">
        <v>611</v>
      </c>
      <c r="J147" s="77" t="s">
        <v>13</v>
      </c>
      <c r="K147" s="79" t="s">
        <v>896</v>
      </c>
      <c r="L147" s="7" t="str">
        <f>IF(BudgetsTable[[#This Row],[pi_last_name]]=" ","",HYPERLINK("https://www.ejacket.nsf.gov/ej/showProposal.do?Continue=Y&amp;ID="&amp;BudgetsTable[[#This Row],[prop_id]],BudgetsTable[[#This Row],[prop_id]]))</f>
        <v/>
      </c>
      <c r="M147" s="15" t="str">
        <f>IF(BudgetsTable[[#This Row],[pi_last_name]]=" ","",HYPERLINK("https://www.ejacket.nsf.gov/ej/processReviewAnalysis.do?dispatch=add&amp;uniqId="&amp;BudgetsTable[[#This Row],[prop_id]]&amp;PO_id,"&gt;ra"))</f>
        <v/>
      </c>
      <c r="N147" s="79" t="s">
        <v>13</v>
      </c>
      <c r="O147" s="7" t="str">
        <f>IF(BudgetsTable[[#This Row],[pi_last_name]]=" ","",HYPERLINK("mailto:"&amp;BudgetsTable[[#This Row],[pi_email]]&amp;"&amp;subject=Your NSF Proposal:  "&amp;BudgetsTable[[#This Row],[prop_id]],BudgetsTable[[#This Row],[pi_email]]))</f>
        <v/>
      </c>
      <c r="P147" s="79" t="s">
        <v>13</v>
      </c>
      <c r="Q147" s="79">
        <v>1</v>
      </c>
      <c r="R147" s="79">
        <v>1</v>
      </c>
      <c r="S147" s="80">
        <v>0</v>
      </c>
      <c r="T147" s="80">
        <v>0</v>
      </c>
      <c r="U147" s="80">
        <v>0</v>
      </c>
      <c r="V147" s="81">
        <v>116923</v>
      </c>
      <c r="W147" s="79">
        <v>0</v>
      </c>
      <c r="X147" s="79">
        <v>5</v>
      </c>
      <c r="Y147" s="11" t="str">
        <f ca="1">IF(ISBLANK(BudgetsTable[[#This Row],[budg_seq_yr]]),"FY"&amp;fiscalyear,"FY"&amp;fiscalyear-1+BudgetsTable[[#This Row],[budg_seq_yr]])</f>
        <v>FY22</v>
      </c>
      <c r="Z147" s="80">
        <v>116923</v>
      </c>
      <c r="AA147" s="79" t="s">
        <v>477</v>
      </c>
      <c r="AB147" s="79" t="s">
        <v>582</v>
      </c>
      <c r="AC147" s="77" t="s">
        <v>94</v>
      </c>
      <c r="AD147" s="79" t="s">
        <v>1469</v>
      </c>
    </row>
    <row r="148" spans="1:30" x14ac:dyDescent="0.4">
      <c r="A148" s="10" t="s">
        <v>927</v>
      </c>
      <c r="B148" s="77" t="s">
        <v>95</v>
      </c>
      <c r="C148" s="77">
        <f>C147+(BudgetsTable[[#This Row],[lead]]&lt;&gt;K147)</f>
        <v>35</v>
      </c>
      <c r="D148" s="77">
        <f>D147*(BudgetsTable[[#This Row],[lead]]=K147)+(BudgetsTable[[#This Row],[prop_id]]&lt;&gt;A147)</f>
        <v>1</v>
      </c>
      <c r="E148" s="78">
        <v>42935.54583333333</v>
      </c>
      <c r="F148" s="79" t="s">
        <v>1430</v>
      </c>
      <c r="G148" s="79" t="s">
        <v>477</v>
      </c>
      <c r="H148" s="79" t="s">
        <v>582</v>
      </c>
      <c r="I148" s="77" t="s">
        <v>654</v>
      </c>
      <c r="J148" s="77" t="s">
        <v>1553</v>
      </c>
      <c r="K148" s="79" t="s">
        <v>927</v>
      </c>
      <c r="L148" s="7" t="str">
        <f>IF(BudgetsTable[[#This Row],[pi_last_name]]=" ","",HYPERLINK("https://www.ejacket.nsf.gov/ej/showProposal.do?Continue=Y&amp;ID="&amp;BudgetsTable[[#This Row],[prop_id]],BudgetsTable[[#This Row],[prop_id]]))</f>
        <v>1750463</v>
      </c>
      <c r="M148" s="15" t="e">
        <f>IF(BudgetsTable[[#This Row],[pi_last_name]]=" ","",HYPERLINK("https://www.ejacket.nsf.gov/ej/processReviewAnalysis.do?dispatch=add&amp;uniqId="&amp;BudgetsTable[[#This Row],[prop_id]]&amp;PO_id,"&gt;ra"))</f>
        <v>#REF!</v>
      </c>
      <c r="N148" s="79" t="s">
        <v>928</v>
      </c>
      <c r="O148" s="7" t="str">
        <f>IF(BudgetsTable[[#This Row],[pi_last_name]]=" ","",HYPERLINK("mailto:"&amp;BudgetsTable[[#This Row],[pi_email]]&amp;"&amp;subject=Your NSF Proposal:  "&amp;BudgetsTable[[#This Row],[prop_id]],BudgetsTable[[#This Row],[pi_email]]))</f>
        <v>sharathr@vt.edu</v>
      </c>
      <c r="P148" s="79" t="s">
        <v>1550</v>
      </c>
      <c r="Q148" s="79"/>
      <c r="R148" s="79"/>
      <c r="S148" s="80"/>
      <c r="T148" s="80"/>
      <c r="U148" s="80"/>
      <c r="V148" s="81"/>
      <c r="W148" s="79">
        <v>0</v>
      </c>
      <c r="X148" s="79"/>
      <c r="Y148" s="11" t="str">
        <f ca="1">IF(ISBLANK(BudgetsTable[[#This Row],[budg_seq_yr]]),"FY"&amp;fiscalyear,"FY"&amp;fiscalyear-1+BudgetsTable[[#This Row],[budg_seq_yr]])</f>
        <v>FY18</v>
      </c>
      <c r="Z148" s="80">
        <v>533991</v>
      </c>
      <c r="AA148" s="79" t="s">
        <v>477</v>
      </c>
      <c r="AB148" s="79" t="s">
        <v>582</v>
      </c>
      <c r="AC148" s="77" t="s">
        <v>94</v>
      </c>
      <c r="AD148" s="79" t="s">
        <v>1432</v>
      </c>
    </row>
    <row r="149" spans="1:30" x14ac:dyDescent="0.4">
      <c r="A149" s="10" t="s">
        <v>927</v>
      </c>
      <c r="B149" s="77" t="s">
        <v>95</v>
      </c>
      <c r="C149" s="77">
        <f>C148+(BudgetsTable[[#This Row],[lead]]&lt;&gt;K148)</f>
        <v>35</v>
      </c>
      <c r="D149" s="77">
        <f>D148*(BudgetsTable[[#This Row],[lead]]=K148)+(BudgetsTable[[#This Row],[prop_id]]&lt;&gt;A148)</f>
        <v>1</v>
      </c>
      <c r="E149" s="78">
        <v>42935.54583333333</v>
      </c>
      <c r="F149" s="79" t="s">
        <v>1430</v>
      </c>
      <c r="G149" s="79" t="s">
        <v>477</v>
      </c>
      <c r="H149" s="79" t="s">
        <v>582</v>
      </c>
      <c r="I149" s="77" t="s">
        <v>654</v>
      </c>
      <c r="J149" s="77" t="s">
        <v>13</v>
      </c>
      <c r="K149" s="79" t="s">
        <v>927</v>
      </c>
      <c r="L149" s="7" t="str">
        <f>IF(BudgetsTable[[#This Row],[pi_last_name]]=" ","",HYPERLINK("https://www.ejacket.nsf.gov/ej/showProposal.do?Continue=Y&amp;ID="&amp;BudgetsTable[[#This Row],[prop_id]],BudgetsTable[[#This Row],[prop_id]]))</f>
        <v/>
      </c>
      <c r="M149" s="15" t="str">
        <f>IF(BudgetsTable[[#This Row],[pi_last_name]]=" ","",HYPERLINK("https://www.ejacket.nsf.gov/ej/processReviewAnalysis.do?dispatch=add&amp;uniqId="&amp;BudgetsTable[[#This Row],[prop_id]]&amp;PO_id,"&gt;ra"))</f>
        <v/>
      </c>
      <c r="N149" s="79" t="s">
        <v>13</v>
      </c>
      <c r="O149" s="7" t="str">
        <f>IF(BudgetsTable[[#This Row],[pi_last_name]]=" ","",HYPERLINK("mailto:"&amp;BudgetsTable[[#This Row],[pi_email]]&amp;"&amp;subject=Your NSF Proposal:  "&amp;BudgetsTable[[#This Row],[prop_id]],BudgetsTable[[#This Row],[pi_email]]))</f>
        <v/>
      </c>
      <c r="P149" s="79" t="s">
        <v>13</v>
      </c>
      <c r="Q149" s="79">
        <v>1</v>
      </c>
      <c r="R149" s="79">
        <v>1.5</v>
      </c>
      <c r="S149" s="80">
        <v>0</v>
      </c>
      <c r="T149" s="80">
        <v>0</v>
      </c>
      <c r="U149" s="80">
        <v>0</v>
      </c>
      <c r="V149" s="81">
        <v>104160</v>
      </c>
      <c r="W149" s="79">
        <v>0</v>
      </c>
      <c r="X149" s="79">
        <v>1</v>
      </c>
      <c r="Y149" s="11" t="str">
        <f ca="1">IF(ISBLANK(BudgetsTable[[#This Row],[budg_seq_yr]]),"FY"&amp;fiscalyear,"FY"&amp;fiscalyear-1+BudgetsTable[[#This Row],[budg_seq_yr]])</f>
        <v>FY18</v>
      </c>
      <c r="Z149" s="80">
        <v>104160</v>
      </c>
      <c r="AA149" s="79" t="s">
        <v>477</v>
      </c>
      <c r="AB149" s="79" t="s">
        <v>582</v>
      </c>
      <c r="AC149" s="77" t="s">
        <v>94</v>
      </c>
      <c r="AD149" s="79" t="s">
        <v>1432</v>
      </c>
    </row>
    <row r="150" spans="1:30" x14ac:dyDescent="0.4">
      <c r="A150" s="10" t="s">
        <v>927</v>
      </c>
      <c r="B150" s="77" t="s">
        <v>95</v>
      </c>
      <c r="C150" s="77">
        <f>C149+(BudgetsTable[[#This Row],[lead]]&lt;&gt;K149)</f>
        <v>35</v>
      </c>
      <c r="D150" s="77">
        <f>D149*(BudgetsTable[[#This Row],[lead]]=K149)+(BudgetsTable[[#This Row],[prop_id]]&lt;&gt;A149)</f>
        <v>1</v>
      </c>
      <c r="E150" s="78">
        <v>42935.54583333333</v>
      </c>
      <c r="F150" s="79" t="s">
        <v>1430</v>
      </c>
      <c r="G150" s="79" t="s">
        <v>477</v>
      </c>
      <c r="H150" s="79" t="s">
        <v>582</v>
      </c>
      <c r="I150" s="77" t="s">
        <v>654</v>
      </c>
      <c r="J150" s="77" t="s">
        <v>13</v>
      </c>
      <c r="K150" s="79" t="s">
        <v>927</v>
      </c>
      <c r="L150" s="7" t="str">
        <f>IF(BudgetsTable[[#This Row],[pi_last_name]]=" ","",HYPERLINK("https://www.ejacket.nsf.gov/ej/showProposal.do?Continue=Y&amp;ID="&amp;BudgetsTable[[#This Row],[prop_id]],BudgetsTable[[#This Row],[prop_id]]))</f>
        <v/>
      </c>
      <c r="M150" s="15" t="str">
        <f>IF(BudgetsTable[[#This Row],[pi_last_name]]=" ","",HYPERLINK("https://www.ejacket.nsf.gov/ej/processReviewAnalysis.do?dispatch=add&amp;uniqId="&amp;BudgetsTable[[#This Row],[prop_id]]&amp;PO_id,"&gt;ra"))</f>
        <v/>
      </c>
      <c r="N150" s="79" t="s">
        <v>13</v>
      </c>
      <c r="O150" s="7" t="str">
        <f>IF(BudgetsTable[[#This Row],[pi_last_name]]=" ","",HYPERLINK("mailto:"&amp;BudgetsTable[[#This Row],[pi_email]]&amp;"&amp;subject=Your NSF Proposal:  "&amp;BudgetsTable[[#This Row],[prop_id]],BudgetsTable[[#This Row],[pi_email]]))</f>
        <v/>
      </c>
      <c r="P150" s="79" t="s">
        <v>13</v>
      </c>
      <c r="Q150" s="79">
        <v>1</v>
      </c>
      <c r="R150" s="79">
        <v>1.5</v>
      </c>
      <c r="S150" s="80">
        <v>0</v>
      </c>
      <c r="T150" s="80">
        <v>0</v>
      </c>
      <c r="U150" s="80">
        <v>0</v>
      </c>
      <c r="V150" s="81">
        <v>102988</v>
      </c>
      <c r="W150" s="79">
        <v>0</v>
      </c>
      <c r="X150" s="79">
        <v>2</v>
      </c>
      <c r="Y150" s="11" t="str">
        <f ca="1">IF(ISBLANK(BudgetsTable[[#This Row],[budg_seq_yr]]),"FY"&amp;fiscalyear,"FY"&amp;fiscalyear-1+BudgetsTable[[#This Row],[budg_seq_yr]])</f>
        <v>FY19</v>
      </c>
      <c r="Z150" s="80">
        <v>102988</v>
      </c>
      <c r="AA150" s="79" t="s">
        <v>477</v>
      </c>
      <c r="AB150" s="79" t="s">
        <v>582</v>
      </c>
      <c r="AC150" s="77" t="s">
        <v>94</v>
      </c>
      <c r="AD150" s="79" t="s">
        <v>1432</v>
      </c>
    </row>
    <row r="151" spans="1:30" x14ac:dyDescent="0.4">
      <c r="A151" s="10" t="s">
        <v>927</v>
      </c>
      <c r="B151" s="77" t="s">
        <v>95</v>
      </c>
      <c r="C151" s="77">
        <f>C150+(BudgetsTable[[#This Row],[lead]]&lt;&gt;K150)</f>
        <v>35</v>
      </c>
      <c r="D151" s="77">
        <f>D150*(BudgetsTable[[#This Row],[lead]]=K150)+(BudgetsTable[[#This Row],[prop_id]]&lt;&gt;A150)</f>
        <v>1</v>
      </c>
      <c r="E151" s="78">
        <v>42935.54583333333</v>
      </c>
      <c r="F151" s="79" t="s">
        <v>1430</v>
      </c>
      <c r="G151" s="79" t="s">
        <v>477</v>
      </c>
      <c r="H151" s="79" t="s">
        <v>582</v>
      </c>
      <c r="I151" s="77" t="s">
        <v>654</v>
      </c>
      <c r="J151" s="77" t="s">
        <v>13</v>
      </c>
      <c r="K151" s="79" t="s">
        <v>927</v>
      </c>
      <c r="L151" s="7" t="str">
        <f>IF(BudgetsTable[[#This Row],[pi_last_name]]=" ","",HYPERLINK("https://www.ejacket.nsf.gov/ej/showProposal.do?Continue=Y&amp;ID="&amp;BudgetsTable[[#This Row],[prop_id]],BudgetsTable[[#This Row],[prop_id]]))</f>
        <v/>
      </c>
      <c r="M151" s="15" t="str">
        <f>IF(BudgetsTable[[#This Row],[pi_last_name]]=" ","",HYPERLINK("https://www.ejacket.nsf.gov/ej/processReviewAnalysis.do?dispatch=add&amp;uniqId="&amp;BudgetsTable[[#This Row],[prop_id]]&amp;PO_id,"&gt;ra"))</f>
        <v/>
      </c>
      <c r="N151" s="79" t="s">
        <v>13</v>
      </c>
      <c r="O151" s="7" t="str">
        <f>IF(BudgetsTable[[#This Row],[pi_last_name]]=" ","",HYPERLINK("mailto:"&amp;BudgetsTable[[#This Row],[pi_email]]&amp;"&amp;subject=Your NSF Proposal:  "&amp;BudgetsTable[[#This Row],[prop_id]],BudgetsTable[[#This Row],[pi_email]]))</f>
        <v/>
      </c>
      <c r="P151" s="79" t="s">
        <v>13</v>
      </c>
      <c r="Q151" s="79">
        <v>1</v>
      </c>
      <c r="R151" s="79">
        <v>1.5</v>
      </c>
      <c r="S151" s="80">
        <v>0</v>
      </c>
      <c r="T151" s="80">
        <v>2500</v>
      </c>
      <c r="U151" s="80">
        <v>0</v>
      </c>
      <c r="V151" s="81">
        <v>115813</v>
      </c>
      <c r="W151" s="79">
        <v>0</v>
      </c>
      <c r="X151" s="79">
        <v>3</v>
      </c>
      <c r="Y151" s="11" t="str">
        <f ca="1">IF(ISBLANK(BudgetsTable[[#This Row],[budg_seq_yr]]),"FY"&amp;fiscalyear,"FY"&amp;fiscalyear-1+BudgetsTable[[#This Row],[budg_seq_yr]])</f>
        <v>FY20</v>
      </c>
      <c r="Z151" s="80">
        <v>115813</v>
      </c>
      <c r="AA151" s="79" t="s">
        <v>477</v>
      </c>
      <c r="AB151" s="79" t="s">
        <v>582</v>
      </c>
      <c r="AC151" s="77" t="s">
        <v>94</v>
      </c>
      <c r="AD151" s="79" t="s">
        <v>1432</v>
      </c>
    </row>
    <row r="152" spans="1:30" x14ac:dyDescent="0.4">
      <c r="A152" s="10" t="s">
        <v>927</v>
      </c>
      <c r="B152" s="77" t="s">
        <v>95</v>
      </c>
      <c r="C152" s="77">
        <f>C151+(BudgetsTable[[#This Row],[lead]]&lt;&gt;K151)</f>
        <v>35</v>
      </c>
      <c r="D152" s="77">
        <f>D151*(BudgetsTable[[#This Row],[lead]]=K151)+(BudgetsTable[[#This Row],[prop_id]]&lt;&gt;A151)</f>
        <v>1</v>
      </c>
      <c r="E152" s="78">
        <v>42935.54583333333</v>
      </c>
      <c r="F152" s="79" t="s">
        <v>1430</v>
      </c>
      <c r="G152" s="79" t="s">
        <v>477</v>
      </c>
      <c r="H152" s="79" t="s">
        <v>582</v>
      </c>
      <c r="I152" s="77" t="s">
        <v>654</v>
      </c>
      <c r="J152" s="77" t="s">
        <v>13</v>
      </c>
      <c r="K152" s="79" t="s">
        <v>927</v>
      </c>
      <c r="L152" s="7" t="str">
        <f>IF(BudgetsTable[[#This Row],[pi_last_name]]=" ","",HYPERLINK("https://www.ejacket.nsf.gov/ej/showProposal.do?Continue=Y&amp;ID="&amp;BudgetsTable[[#This Row],[prop_id]],BudgetsTable[[#This Row],[prop_id]]))</f>
        <v/>
      </c>
      <c r="M152" s="15" t="str">
        <f>IF(BudgetsTable[[#This Row],[pi_last_name]]=" ","",HYPERLINK("https://www.ejacket.nsf.gov/ej/processReviewAnalysis.do?dispatch=add&amp;uniqId="&amp;BudgetsTable[[#This Row],[prop_id]]&amp;PO_id,"&gt;ra"))</f>
        <v/>
      </c>
      <c r="N152" s="79" t="s">
        <v>13</v>
      </c>
      <c r="O152" s="7" t="str">
        <f>IF(BudgetsTable[[#This Row],[pi_last_name]]=" ","",HYPERLINK("mailto:"&amp;BudgetsTable[[#This Row],[pi_email]]&amp;"&amp;subject=Your NSF Proposal:  "&amp;BudgetsTable[[#This Row],[prop_id]],BudgetsTable[[#This Row],[pi_email]]))</f>
        <v/>
      </c>
      <c r="P152" s="79" t="s">
        <v>13</v>
      </c>
      <c r="Q152" s="79">
        <v>1</v>
      </c>
      <c r="R152" s="79">
        <v>1</v>
      </c>
      <c r="S152" s="80">
        <v>0</v>
      </c>
      <c r="T152" s="80">
        <v>2500</v>
      </c>
      <c r="U152" s="80">
        <v>0</v>
      </c>
      <c r="V152" s="81">
        <v>103682</v>
      </c>
      <c r="W152" s="79">
        <v>0</v>
      </c>
      <c r="X152" s="79">
        <v>4</v>
      </c>
      <c r="Y152" s="11" t="str">
        <f ca="1">IF(ISBLANK(BudgetsTable[[#This Row],[budg_seq_yr]]),"FY"&amp;fiscalyear,"FY"&amp;fiscalyear-1+BudgetsTable[[#This Row],[budg_seq_yr]])</f>
        <v>FY21</v>
      </c>
      <c r="Z152" s="80">
        <v>103682</v>
      </c>
      <c r="AA152" s="79" t="s">
        <v>477</v>
      </c>
      <c r="AB152" s="79" t="s">
        <v>582</v>
      </c>
      <c r="AC152" s="77" t="s">
        <v>94</v>
      </c>
      <c r="AD152" s="79" t="s">
        <v>1432</v>
      </c>
    </row>
    <row r="153" spans="1:30" x14ac:dyDescent="0.4">
      <c r="A153" s="10" t="s">
        <v>927</v>
      </c>
      <c r="B153" s="77" t="s">
        <v>95</v>
      </c>
      <c r="C153" s="77">
        <f>C152+(BudgetsTable[[#This Row],[lead]]&lt;&gt;K152)</f>
        <v>35</v>
      </c>
      <c r="D153" s="77">
        <f>D152*(BudgetsTable[[#This Row],[lead]]=K152)+(BudgetsTable[[#This Row],[prop_id]]&lt;&gt;A152)</f>
        <v>1</v>
      </c>
      <c r="E153" s="78">
        <v>42935.54583333333</v>
      </c>
      <c r="F153" s="79" t="s">
        <v>1430</v>
      </c>
      <c r="G153" s="79" t="s">
        <v>477</v>
      </c>
      <c r="H153" s="79" t="s">
        <v>582</v>
      </c>
      <c r="I153" s="77" t="s">
        <v>654</v>
      </c>
      <c r="J153" s="77" t="s">
        <v>13</v>
      </c>
      <c r="K153" s="79" t="s">
        <v>927</v>
      </c>
      <c r="L153" s="7" t="str">
        <f>IF(BudgetsTable[[#This Row],[pi_last_name]]=" ","",HYPERLINK("https://www.ejacket.nsf.gov/ej/showProposal.do?Continue=Y&amp;ID="&amp;BudgetsTable[[#This Row],[prop_id]],BudgetsTable[[#This Row],[prop_id]]))</f>
        <v/>
      </c>
      <c r="M153" s="15" t="str">
        <f>IF(BudgetsTable[[#This Row],[pi_last_name]]=" ","",HYPERLINK("https://www.ejacket.nsf.gov/ej/processReviewAnalysis.do?dispatch=add&amp;uniqId="&amp;BudgetsTable[[#This Row],[prop_id]]&amp;PO_id,"&gt;ra"))</f>
        <v/>
      </c>
      <c r="N153" s="79" t="s">
        <v>13</v>
      </c>
      <c r="O153" s="7" t="str">
        <f>IF(BudgetsTable[[#This Row],[pi_last_name]]=" ","",HYPERLINK("mailto:"&amp;BudgetsTable[[#This Row],[pi_email]]&amp;"&amp;subject=Your NSF Proposal:  "&amp;BudgetsTable[[#This Row],[prop_id]],BudgetsTable[[#This Row],[pi_email]]))</f>
        <v/>
      </c>
      <c r="P153" s="79" t="s">
        <v>13</v>
      </c>
      <c r="Q153" s="79">
        <v>1</v>
      </c>
      <c r="R153" s="79">
        <v>1</v>
      </c>
      <c r="S153" s="80">
        <v>0</v>
      </c>
      <c r="T153" s="80">
        <v>2500</v>
      </c>
      <c r="U153" s="80">
        <v>0</v>
      </c>
      <c r="V153" s="81">
        <v>107348</v>
      </c>
      <c r="W153" s="79">
        <v>0</v>
      </c>
      <c r="X153" s="79">
        <v>5</v>
      </c>
      <c r="Y153" s="11" t="str">
        <f ca="1">IF(ISBLANK(BudgetsTable[[#This Row],[budg_seq_yr]]),"FY"&amp;fiscalyear,"FY"&amp;fiscalyear-1+BudgetsTable[[#This Row],[budg_seq_yr]])</f>
        <v>FY22</v>
      </c>
      <c r="Z153" s="80">
        <v>107348</v>
      </c>
      <c r="AA153" s="79" t="s">
        <v>477</v>
      </c>
      <c r="AB153" s="79" t="s">
        <v>582</v>
      </c>
      <c r="AC153" s="77" t="s">
        <v>94</v>
      </c>
      <c r="AD153" s="79" t="s">
        <v>1432</v>
      </c>
    </row>
    <row r="154" spans="1:30" x14ac:dyDescent="0.4">
      <c r="A154" s="10" t="s">
        <v>936</v>
      </c>
      <c r="B154" s="77" t="s">
        <v>95</v>
      </c>
      <c r="C154" s="77">
        <f>C153+(BudgetsTable[[#This Row],[lead]]&lt;&gt;K153)</f>
        <v>36</v>
      </c>
      <c r="D154" s="77">
        <f>D153*(BudgetsTable[[#This Row],[lead]]=K153)+(BudgetsTable[[#This Row],[prop_id]]&lt;&gt;A153)</f>
        <v>1</v>
      </c>
      <c r="E154" s="78">
        <v>42935.576388888891</v>
      </c>
      <c r="F154" s="79" t="s">
        <v>1430</v>
      </c>
      <c r="G154" s="79" t="s">
        <v>477</v>
      </c>
      <c r="H154" s="79" t="s">
        <v>582</v>
      </c>
      <c r="I154" s="77" t="s">
        <v>611</v>
      </c>
      <c r="J154" s="77" t="s">
        <v>1557</v>
      </c>
      <c r="K154" s="79" t="s">
        <v>936</v>
      </c>
      <c r="L154" s="7" t="str">
        <f>IF(BudgetsTable[[#This Row],[pi_last_name]]=" ","",HYPERLINK("https://www.ejacket.nsf.gov/ej/showProposal.do?Continue=Y&amp;ID="&amp;BudgetsTable[[#This Row],[prop_id]],BudgetsTable[[#This Row],[prop_id]]))</f>
        <v>1750555</v>
      </c>
      <c r="M154" s="15" t="e">
        <f>IF(BudgetsTable[[#This Row],[pi_last_name]]=" ","",HYPERLINK("https://www.ejacket.nsf.gov/ej/processReviewAnalysis.do?dispatch=add&amp;uniqId="&amp;BudgetsTable[[#This Row],[prop_id]]&amp;PO_id,"&gt;ra"))</f>
        <v>#REF!</v>
      </c>
      <c r="N154" s="79" t="s">
        <v>937</v>
      </c>
      <c r="O154" s="7" t="str">
        <f>IF(BudgetsTable[[#This Row],[pi_last_name]]=" ","",HYPERLINK("mailto:"&amp;BudgetsTable[[#This Row],[pi_email]]&amp;"&amp;subject=Your NSF Proposal:  "&amp;BudgetsTable[[#This Row],[prop_id]],BudgetsTable[[#This Row],[pi_email]]))</f>
        <v xml:space="preserve"> hardt@eecs.berkeley.edu</v>
      </c>
      <c r="P154" s="79" t="s">
        <v>501</v>
      </c>
      <c r="Q154" s="79"/>
      <c r="R154" s="79"/>
      <c r="S154" s="80"/>
      <c r="T154" s="80"/>
      <c r="U154" s="80"/>
      <c r="V154" s="81"/>
      <c r="W154" s="79">
        <v>0</v>
      </c>
      <c r="X154" s="79"/>
      <c r="Y154" s="11" t="str">
        <f ca="1">IF(ISBLANK(BudgetsTable[[#This Row],[budg_seq_yr]]),"FY"&amp;fiscalyear,"FY"&amp;fiscalyear-1+BudgetsTable[[#This Row],[budg_seq_yr]])</f>
        <v>FY18</v>
      </c>
      <c r="Z154" s="80">
        <v>499434</v>
      </c>
      <c r="AA154" s="79" t="s">
        <v>477</v>
      </c>
      <c r="AB154" s="79" t="s">
        <v>582</v>
      </c>
      <c r="AC154" s="77" t="s">
        <v>94</v>
      </c>
      <c r="AD154" s="79" t="s">
        <v>1432</v>
      </c>
    </row>
    <row r="155" spans="1:30" x14ac:dyDescent="0.4">
      <c r="A155" s="10" t="s">
        <v>936</v>
      </c>
      <c r="B155" s="77" t="s">
        <v>95</v>
      </c>
      <c r="C155" s="77">
        <f>C154+(BudgetsTable[[#This Row],[lead]]&lt;&gt;K154)</f>
        <v>36</v>
      </c>
      <c r="D155" s="77">
        <f>D154*(BudgetsTable[[#This Row],[lead]]=K154)+(BudgetsTable[[#This Row],[prop_id]]&lt;&gt;A154)</f>
        <v>1</v>
      </c>
      <c r="E155" s="78">
        <v>42935.576388888891</v>
      </c>
      <c r="F155" s="79" t="s">
        <v>1430</v>
      </c>
      <c r="G155" s="79" t="s">
        <v>477</v>
      </c>
      <c r="H155" s="79" t="s">
        <v>582</v>
      </c>
      <c r="I155" s="77" t="s">
        <v>611</v>
      </c>
      <c r="J155" s="77" t="s">
        <v>13</v>
      </c>
      <c r="K155" s="79" t="s">
        <v>936</v>
      </c>
      <c r="L155" s="7" t="str">
        <f>IF(BudgetsTable[[#This Row],[pi_last_name]]=" ","",HYPERLINK("https://www.ejacket.nsf.gov/ej/showProposal.do?Continue=Y&amp;ID="&amp;BudgetsTable[[#This Row],[prop_id]],BudgetsTable[[#This Row],[prop_id]]))</f>
        <v/>
      </c>
      <c r="M155" s="15" t="str">
        <f>IF(BudgetsTable[[#This Row],[pi_last_name]]=" ","",HYPERLINK("https://www.ejacket.nsf.gov/ej/processReviewAnalysis.do?dispatch=add&amp;uniqId="&amp;BudgetsTable[[#This Row],[prop_id]]&amp;PO_id,"&gt;ra"))</f>
        <v/>
      </c>
      <c r="N155" s="79" t="s">
        <v>13</v>
      </c>
      <c r="O155" s="7" t="str">
        <f>IF(BudgetsTable[[#This Row],[pi_last_name]]=" ","",HYPERLINK("mailto:"&amp;BudgetsTable[[#This Row],[pi_email]]&amp;"&amp;subject=Your NSF Proposal:  "&amp;BudgetsTable[[#This Row],[prop_id]],BudgetsTable[[#This Row],[pi_email]]))</f>
        <v/>
      </c>
      <c r="P155" s="79" t="s">
        <v>13</v>
      </c>
      <c r="Q155" s="79">
        <v>1</v>
      </c>
      <c r="R155" s="79">
        <v>0.2</v>
      </c>
      <c r="S155" s="80">
        <v>0</v>
      </c>
      <c r="T155" s="80">
        <v>0</v>
      </c>
      <c r="U155" s="80">
        <v>0</v>
      </c>
      <c r="V155" s="81">
        <v>90466</v>
      </c>
      <c r="W155" s="79">
        <v>0</v>
      </c>
      <c r="X155" s="79">
        <v>1</v>
      </c>
      <c r="Y155" s="11" t="str">
        <f ca="1">IF(ISBLANK(BudgetsTable[[#This Row],[budg_seq_yr]]),"FY"&amp;fiscalyear,"FY"&amp;fiscalyear-1+BudgetsTable[[#This Row],[budg_seq_yr]])</f>
        <v>FY18</v>
      </c>
      <c r="Z155" s="80">
        <v>90466</v>
      </c>
      <c r="AA155" s="79" t="s">
        <v>477</v>
      </c>
      <c r="AB155" s="79" t="s">
        <v>582</v>
      </c>
      <c r="AC155" s="77" t="s">
        <v>94</v>
      </c>
      <c r="AD155" s="79" t="s">
        <v>1432</v>
      </c>
    </row>
    <row r="156" spans="1:30" x14ac:dyDescent="0.4">
      <c r="A156" s="10" t="s">
        <v>936</v>
      </c>
      <c r="B156" s="77" t="s">
        <v>95</v>
      </c>
      <c r="C156" s="77">
        <f>C155+(BudgetsTable[[#This Row],[lead]]&lt;&gt;K155)</f>
        <v>36</v>
      </c>
      <c r="D156" s="77">
        <f>D155*(BudgetsTable[[#This Row],[lead]]=K155)+(BudgetsTable[[#This Row],[prop_id]]&lt;&gt;A155)</f>
        <v>1</v>
      </c>
      <c r="E156" s="78">
        <v>42935.576388888891</v>
      </c>
      <c r="F156" s="79" t="s">
        <v>1430</v>
      </c>
      <c r="G156" s="79" t="s">
        <v>477</v>
      </c>
      <c r="H156" s="79" t="s">
        <v>582</v>
      </c>
      <c r="I156" s="77" t="s">
        <v>611</v>
      </c>
      <c r="J156" s="77" t="s">
        <v>13</v>
      </c>
      <c r="K156" s="79" t="s">
        <v>936</v>
      </c>
      <c r="L156" s="7" t="str">
        <f>IF(BudgetsTable[[#This Row],[pi_last_name]]=" ","",HYPERLINK("https://www.ejacket.nsf.gov/ej/showProposal.do?Continue=Y&amp;ID="&amp;BudgetsTable[[#This Row],[prop_id]],BudgetsTable[[#This Row],[prop_id]]))</f>
        <v/>
      </c>
      <c r="M156" s="15" t="str">
        <f>IF(BudgetsTable[[#This Row],[pi_last_name]]=" ","",HYPERLINK("https://www.ejacket.nsf.gov/ej/processReviewAnalysis.do?dispatch=add&amp;uniqId="&amp;BudgetsTable[[#This Row],[prop_id]]&amp;PO_id,"&gt;ra"))</f>
        <v/>
      </c>
      <c r="N156" s="79" t="s">
        <v>13</v>
      </c>
      <c r="O156" s="7" t="str">
        <f>IF(BudgetsTable[[#This Row],[pi_last_name]]=" ","",HYPERLINK("mailto:"&amp;BudgetsTable[[#This Row],[pi_email]]&amp;"&amp;subject=Your NSF Proposal:  "&amp;BudgetsTable[[#This Row],[prop_id]],BudgetsTable[[#This Row],[pi_email]]))</f>
        <v/>
      </c>
      <c r="P156" s="79" t="s">
        <v>13</v>
      </c>
      <c r="Q156" s="79">
        <v>1</v>
      </c>
      <c r="R156" s="79">
        <v>0.2</v>
      </c>
      <c r="S156" s="80">
        <v>0</v>
      </c>
      <c r="T156" s="80">
        <v>0</v>
      </c>
      <c r="U156" s="80">
        <v>0</v>
      </c>
      <c r="V156" s="81">
        <v>95197</v>
      </c>
      <c r="W156" s="79">
        <v>0</v>
      </c>
      <c r="X156" s="79">
        <v>2</v>
      </c>
      <c r="Y156" s="11" t="str">
        <f ca="1">IF(ISBLANK(BudgetsTable[[#This Row],[budg_seq_yr]]),"FY"&amp;fiscalyear,"FY"&amp;fiscalyear-1+BudgetsTable[[#This Row],[budg_seq_yr]])</f>
        <v>FY19</v>
      </c>
      <c r="Z156" s="80">
        <v>95197</v>
      </c>
      <c r="AA156" s="79" t="s">
        <v>477</v>
      </c>
      <c r="AB156" s="79" t="s">
        <v>582</v>
      </c>
      <c r="AC156" s="77" t="s">
        <v>94</v>
      </c>
      <c r="AD156" s="79" t="s">
        <v>1432</v>
      </c>
    </row>
    <row r="157" spans="1:30" x14ac:dyDescent="0.4">
      <c r="A157" s="10" t="s">
        <v>936</v>
      </c>
      <c r="B157" s="77" t="s">
        <v>95</v>
      </c>
      <c r="C157" s="77">
        <f>C156+(BudgetsTable[[#This Row],[lead]]&lt;&gt;K156)</f>
        <v>36</v>
      </c>
      <c r="D157" s="77">
        <f>D156*(BudgetsTable[[#This Row],[lead]]=K156)+(BudgetsTable[[#This Row],[prop_id]]&lt;&gt;A156)</f>
        <v>1</v>
      </c>
      <c r="E157" s="78">
        <v>42935.576388888891</v>
      </c>
      <c r="F157" s="79" t="s">
        <v>1430</v>
      </c>
      <c r="G157" s="79" t="s">
        <v>477</v>
      </c>
      <c r="H157" s="79" t="s">
        <v>582</v>
      </c>
      <c r="I157" s="77" t="s">
        <v>611</v>
      </c>
      <c r="J157" s="77" t="s">
        <v>13</v>
      </c>
      <c r="K157" s="79" t="s">
        <v>936</v>
      </c>
      <c r="L157" s="7" t="str">
        <f>IF(BudgetsTable[[#This Row],[pi_last_name]]=" ","",HYPERLINK("https://www.ejacket.nsf.gov/ej/showProposal.do?Continue=Y&amp;ID="&amp;BudgetsTable[[#This Row],[prop_id]],BudgetsTable[[#This Row],[prop_id]]))</f>
        <v/>
      </c>
      <c r="M157" s="15" t="str">
        <f>IF(BudgetsTable[[#This Row],[pi_last_name]]=" ","",HYPERLINK("https://www.ejacket.nsf.gov/ej/processReviewAnalysis.do?dispatch=add&amp;uniqId="&amp;BudgetsTable[[#This Row],[prop_id]]&amp;PO_id,"&gt;ra"))</f>
        <v/>
      </c>
      <c r="N157" s="79" t="s">
        <v>13</v>
      </c>
      <c r="O157" s="7" t="str">
        <f>IF(BudgetsTable[[#This Row],[pi_last_name]]=" ","",HYPERLINK("mailto:"&amp;BudgetsTable[[#This Row],[pi_email]]&amp;"&amp;subject=Your NSF Proposal:  "&amp;BudgetsTable[[#This Row],[prop_id]],BudgetsTable[[#This Row],[pi_email]]))</f>
        <v/>
      </c>
      <c r="P157" s="79" t="s">
        <v>13</v>
      </c>
      <c r="Q157" s="79">
        <v>1</v>
      </c>
      <c r="R157" s="79">
        <v>0.2</v>
      </c>
      <c r="S157" s="80">
        <v>0</v>
      </c>
      <c r="T157" s="80">
        <v>0</v>
      </c>
      <c r="U157" s="80">
        <v>0</v>
      </c>
      <c r="V157" s="81">
        <v>100235</v>
      </c>
      <c r="W157" s="79">
        <v>0</v>
      </c>
      <c r="X157" s="79">
        <v>3</v>
      </c>
      <c r="Y157" s="11" t="str">
        <f ca="1">IF(ISBLANK(BudgetsTable[[#This Row],[budg_seq_yr]]),"FY"&amp;fiscalyear,"FY"&amp;fiscalyear-1+BudgetsTable[[#This Row],[budg_seq_yr]])</f>
        <v>FY20</v>
      </c>
      <c r="Z157" s="80">
        <v>100235</v>
      </c>
      <c r="AA157" s="79" t="s">
        <v>477</v>
      </c>
      <c r="AB157" s="79" t="s">
        <v>582</v>
      </c>
      <c r="AC157" s="77" t="s">
        <v>94</v>
      </c>
      <c r="AD157" s="79" t="s">
        <v>1432</v>
      </c>
    </row>
    <row r="158" spans="1:30" x14ac:dyDescent="0.4">
      <c r="A158" s="10" t="s">
        <v>936</v>
      </c>
      <c r="B158" s="77" t="s">
        <v>95</v>
      </c>
      <c r="C158" s="77">
        <f>C157+(BudgetsTable[[#This Row],[lead]]&lt;&gt;K157)</f>
        <v>36</v>
      </c>
      <c r="D158" s="77">
        <f>D157*(BudgetsTable[[#This Row],[lead]]=K157)+(BudgetsTable[[#This Row],[prop_id]]&lt;&gt;A157)</f>
        <v>1</v>
      </c>
      <c r="E158" s="78">
        <v>42935.576388888891</v>
      </c>
      <c r="F158" s="79" t="s">
        <v>1430</v>
      </c>
      <c r="G158" s="79" t="s">
        <v>477</v>
      </c>
      <c r="H158" s="79" t="s">
        <v>582</v>
      </c>
      <c r="I158" s="77" t="s">
        <v>611</v>
      </c>
      <c r="J158" s="77" t="s">
        <v>13</v>
      </c>
      <c r="K158" s="79" t="s">
        <v>936</v>
      </c>
      <c r="L158" s="7" t="str">
        <f>IF(BudgetsTable[[#This Row],[pi_last_name]]=" ","",HYPERLINK("https://www.ejacket.nsf.gov/ej/showProposal.do?Continue=Y&amp;ID="&amp;BudgetsTable[[#This Row],[prop_id]],BudgetsTable[[#This Row],[prop_id]]))</f>
        <v/>
      </c>
      <c r="M158" s="15" t="str">
        <f>IF(BudgetsTable[[#This Row],[pi_last_name]]=" ","",HYPERLINK("https://www.ejacket.nsf.gov/ej/processReviewAnalysis.do?dispatch=add&amp;uniqId="&amp;BudgetsTable[[#This Row],[prop_id]]&amp;PO_id,"&gt;ra"))</f>
        <v/>
      </c>
      <c r="N158" s="79" t="s">
        <v>13</v>
      </c>
      <c r="O158" s="7" t="str">
        <f>IF(BudgetsTable[[#This Row],[pi_last_name]]=" ","",HYPERLINK("mailto:"&amp;BudgetsTable[[#This Row],[pi_email]]&amp;"&amp;subject=Your NSF Proposal:  "&amp;BudgetsTable[[#This Row],[prop_id]],BudgetsTable[[#This Row],[pi_email]]))</f>
        <v/>
      </c>
      <c r="P158" s="79" t="s">
        <v>13</v>
      </c>
      <c r="Q158" s="79">
        <v>1</v>
      </c>
      <c r="R158" s="79">
        <v>0.1</v>
      </c>
      <c r="S158" s="80">
        <v>0</v>
      </c>
      <c r="T158" s="80">
        <v>0</v>
      </c>
      <c r="U158" s="80">
        <v>0</v>
      </c>
      <c r="V158" s="81">
        <v>102811</v>
      </c>
      <c r="W158" s="79">
        <v>0</v>
      </c>
      <c r="X158" s="79">
        <v>4</v>
      </c>
      <c r="Y158" s="11" t="str">
        <f ca="1">IF(ISBLANK(BudgetsTable[[#This Row],[budg_seq_yr]]),"FY"&amp;fiscalyear,"FY"&amp;fiscalyear-1+BudgetsTable[[#This Row],[budg_seq_yr]])</f>
        <v>FY21</v>
      </c>
      <c r="Z158" s="80">
        <v>102811</v>
      </c>
      <c r="AA158" s="79" t="s">
        <v>477</v>
      </c>
      <c r="AB158" s="79" t="s">
        <v>582</v>
      </c>
      <c r="AC158" s="77" t="s">
        <v>94</v>
      </c>
      <c r="AD158" s="79" t="s">
        <v>1432</v>
      </c>
    </row>
    <row r="159" spans="1:30" x14ac:dyDescent="0.4">
      <c r="A159" s="10" t="s">
        <v>936</v>
      </c>
      <c r="B159" s="77" t="s">
        <v>95</v>
      </c>
      <c r="C159" s="77">
        <f>C158+(BudgetsTable[[#This Row],[lead]]&lt;&gt;K158)</f>
        <v>36</v>
      </c>
      <c r="D159" s="77">
        <f>D158*(BudgetsTable[[#This Row],[lead]]=K158)+(BudgetsTable[[#This Row],[prop_id]]&lt;&gt;A158)</f>
        <v>1</v>
      </c>
      <c r="E159" s="78">
        <v>42935.576388888891</v>
      </c>
      <c r="F159" s="79" t="s">
        <v>1430</v>
      </c>
      <c r="G159" s="79" t="s">
        <v>477</v>
      </c>
      <c r="H159" s="79" t="s">
        <v>582</v>
      </c>
      <c r="I159" s="77" t="s">
        <v>611</v>
      </c>
      <c r="J159" s="77" t="s">
        <v>13</v>
      </c>
      <c r="K159" s="79" t="s">
        <v>936</v>
      </c>
      <c r="L159" s="7" t="str">
        <f>IF(BudgetsTable[[#This Row],[pi_last_name]]=" ","",HYPERLINK("https://www.ejacket.nsf.gov/ej/showProposal.do?Continue=Y&amp;ID="&amp;BudgetsTable[[#This Row],[prop_id]],BudgetsTable[[#This Row],[prop_id]]))</f>
        <v/>
      </c>
      <c r="M159" s="15" t="str">
        <f>IF(BudgetsTable[[#This Row],[pi_last_name]]=" ","",HYPERLINK("https://www.ejacket.nsf.gov/ej/processReviewAnalysis.do?dispatch=add&amp;uniqId="&amp;BudgetsTable[[#This Row],[prop_id]]&amp;PO_id,"&gt;ra"))</f>
        <v/>
      </c>
      <c r="N159" s="79" t="s">
        <v>13</v>
      </c>
      <c r="O159" s="7" t="str">
        <f>IF(BudgetsTable[[#This Row],[pi_last_name]]=" ","",HYPERLINK("mailto:"&amp;BudgetsTable[[#This Row],[pi_email]]&amp;"&amp;subject=Your NSF Proposal:  "&amp;BudgetsTable[[#This Row],[prop_id]],BudgetsTable[[#This Row],[pi_email]]))</f>
        <v/>
      </c>
      <c r="P159" s="79" t="s">
        <v>13</v>
      </c>
      <c r="Q159" s="79">
        <v>1</v>
      </c>
      <c r="R159" s="79">
        <v>0.1</v>
      </c>
      <c r="S159" s="80">
        <v>0</v>
      </c>
      <c r="T159" s="80">
        <v>0</v>
      </c>
      <c r="U159" s="80">
        <v>0</v>
      </c>
      <c r="V159" s="81">
        <v>110725</v>
      </c>
      <c r="W159" s="79">
        <v>0</v>
      </c>
      <c r="X159" s="79">
        <v>5</v>
      </c>
      <c r="Y159" s="11" t="str">
        <f ca="1">IF(ISBLANK(BudgetsTable[[#This Row],[budg_seq_yr]]),"FY"&amp;fiscalyear,"FY"&amp;fiscalyear-1+BudgetsTable[[#This Row],[budg_seq_yr]])</f>
        <v>FY22</v>
      </c>
      <c r="Z159" s="80">
        <v>110725</v>
      </c>
      <c r="AA159" s="79" t="s">
        <v>477</v>
      </c>
      <c r="AB159" s="79" t="s">
        <v>582</v>
      </c>
      <c r="AC159" s="77" t="s">
        <v>94</v>
      </c>
      <c r="AD159" s="79" t="s">
        <v>1432</v>
      </c>
    </row>
    <row r="160" spans="1:30" x14ac:dyDescent="0.4">
      <c r="A160" s="10" t="s">
        <v>944</v>
      </c>
      <c r="B160" s="77" t="s">
        <v>95</v>
      </c>
      <c r="C160" s="77">
        <f>C159+(BudgetsTable[[#This Row],[lead]]&lt;&gt;K159)</f>
        <v>37</v>
      </c>
      <c r="D160" s="77">
        <f>D159*(BudgetsTable[[#This Row],[lead]]=K159)+(BudgetsTable[[#This Row],[prop_id]]&lt;&gt;A159)</f>
        <v>1</v>
      </c>
      <c r="E160" s="78">
        <v>42935.599305555559</v>
      </c>
      <c r="F160" s="79" t="s">
        <v>1430</v>
      </c>
      <c r="G160" s="79" t="s">
        <v>477</v>
      </c>
      <c r="H160" s="79" t="s">
        <v>582</v>
      </c>
      <c r="I160" s="77" t="s">
        <v>611</v>
      </c>
      <c r="J160" s="77" t="s">
        <v>1560</v>
      </c>
      <c r="K160" s="79" t="s">
        <v>944</v>
      </c>
      <c r="L160" s="7" t="str">
        <f>IF(BudgetsTable[[#This Row],[pi_last_name]]=" ","",HYPERLINK("https://www.ejacket.nsf.gov/ej/showProposal.do?Continue=Y&amp;ID="&amp;BudgetsTable[[#This Row],[prop_id]],BudgetsTable[[#This Row],[prop_id]]))</f>
        <v>1750640</v>
      </c>
      <c r="M160" s="15" t="e">
        <f>IF(BudgetsTable[[#This Row],[pi_last_name]]=" ","",HYPERLINK("https://www.ejacket.nsf.gov/ej/processReviewAnalysis.do?dispatch=add&amp;uniqId="&amp;BudgetsTable[[#This Row],[prop_id]]&amp;PO_id,"&gt;ra"))</f>
        <v>#REF!</v>
      </c>
      <c r="N160" s="79" t="s">
        <v>945</v>
      </c>
      <c r="O160" s="7" t="str">
        <f>IF(BudgetsTable[[#This Row],[pi_last_name]]=" ","",HYPERLINK("mailto:"&amp;BudgetsTable[[#This Row],[pi_email]]&amp;"&amp;subject=Your NSF Proposal:  "&amp;BudgetsTable[[#This Row],[prop_id]],BudgetsTable[[#This Row],[pi_email]]))</f>
        <v>jullman@ccs.neu.edu</v>
      </c>
      <c r="P160" s="79" t="s">
        <v>502</v>
      </c>
      <c r="Q160" s="79"/>
      <c r="R160" s="79"/>
      <c r="S160" s="80"/>
      <c r="T160" s="80"/>
      <c r="U160" s="80"/>
      <c r="V160" s="81"/>
      <c r="W160" s="79">
        <v>0</v>
      </c>
      <c r="X160" s="79"/>
      <c r="Y160" s="11" t="str">
        <f ca="1">IF(ISBLANK(BudgetsTable[[#This Row],[budg_seq_yr]]),"FY"&amp;fiscalyear,"FY"&amp;fiscalyear-1+BudgetsTable[[#This Row],[budg_seq_yr]])</f>
        <v>FY18</v>
      </c>
      <c r="Z160" s="80">
        <v>545883</v>
      </c>
      <c r="AA160" s="79" t="s">
        <v>477</v>
      </c>
      <c r="AB160" s="79" t="s">
        <v>582</v>
      </c>
      <c r="AC160" s="77" t="s">
        <v>94</v>
      </c>
      <c r="AD160" s="79" t="s">
        <v>1432</v>
      </c>
    </row>
    <row r="161" spans="1:30" x14ac:dyDescent="0.4">
      <c r="A161" s="10" t="s">
        <v>944</v>
      </c>
      <c r="B161" s="77" t="s">
        <v>95</v>
      </c>
      <c r="C161" s="77">
        <f>C160+(BudgetsTable[[#This Row],[lead]]&lt;&gt;K160)</f>
        <v>37</v>
      </c>
      <c r="D161" s="77">
        <f>D160*(BudgetsTable[[#This Row],[lead]]=K160)+(BudgetsTable[[#This Row],[prop_id]]&lt;&gt;A160)</f>
        <v>1</v>
      </c>
      <c r="E161" s="78">
        <v>42935.599305555559</v>
      </c>
      <c r="F161" s="79" t="s">
        <v>1430</v>
      </c>
      <c r="G161" s="79" t="s">
        <v>477</v>
      </c>
      <c r="H161" s="79" t="s">
        <v>582</v>
      </c>
      <c r="I161" s="77" t="s">
        <v>611</v>
      </c>
      <c r="J161" s="77" t="s">
        <v>13</v>
      </c>
      <c r="K161" s="79" t="s">
        <v>944</v>
      </c>
      <c r="L161" s="7" t="str">
        <f>IF(BudgetsTable[[#This Row],[pi_last_name]]=" ","",HYPERLINK("https://www.ejacket.nsf.gov/ej/showProposal.do?Continue=Y&amp;ID="&amp;BudgetsTable[[#This Row],[prop_id]],BudgetsTable[[#This Row],[prop_id]]))</f>
        <v/>
      </c>
      <c r="M161" s="15" t="str">
        <f>IF(BudgetsTable[[#This Row],[pi_last_name]]=" ","",HYPERLINK("https://www.ejacket.nsf.gov/ej/processReviewAnalysis.do?dispatch=add&amp;uniqId="&amp;BudgetsTable[[#This Row],[prop_id]]&amp;PO_id,"&gt;ra"))</f>
        <v/>
      </c>
      <c r="N161" s="79" t="s">
        <v>13</v>
      </c>
      <c r="O161" s="7" t="str">
        <f>IF(BudgetsTable[[#This Row],[pi_last_name]]=" ","",HYPERLINK("mailto:"&amp;BudgetsTable[[#This Row],[pi_email]]&amp;"&amp;subject=Your NSF Proposal:  "&amp;BudgetsTable[[#This Row],[prop_id]],BudgetsTable[[#This Row],[pi_email]]))</f>
        <v/>
      </c>
      <c r="P161" s="79" t="s">
        <v>13</v>
      </c>
      <c r="Q161" s="79">
        <v>1</v>
      </c>
      <c r="R161" s="79">
        <v>1</v>
      </c>
      <c r="S161" s="80">
        <v>0</v>
      </c>
      <c r="T161" s="80">
        <v>3000</v>
      </c>
      <c r="U161" s="80">
        <v>0</v>
      </c>
      <c r="V161" s="81">
        <v>102820</v>
      </c>
      <c r="W161" s="79">
        <v>0</v>
      </c>
      <c r="X161" s="79">
        <v>1</v>
      </c>
      <c r="Y161" s="11" t="str">
        <f ca="1">IF(ISBLANK(BudgetsTable[[#This Row],[budg_seq_yr]]),"FY"&amp;fiscalyear,"FY"&amp;fiscalyear-1+BudgetsTable[[#This Row],[budg_seq_yr]])</f>
        <v>FY18</v>
      </c>
      <c r="Z161" s="80">
        <v>102820</v>
      </c>
      <c r="AA161" s="79" t="s">
        <v>477</v>
      </c>
      <c r="AB161" s="79" t="s">
        <v>582</v>
      </c>
      <c r="AC161" s="77" t="s">
        <v>94</v>
      </c>
      <c r="AD161" s="79" t="s">
        <v>1432</v>
      </c>
    </row>
    <row r="162" spans="1:30" x14ac:dyDescent="0.4">
      <c r="A162" s="10" t="s">
        <v>944</v>
      </c>
      <c r="B162" s="77" t="s">
        <v>95</v>
      </c>
      <c r="C162" s="77">
        <f>C161+(BudgetsTable[[#This Row],[lead]]&lt;&gt;K161)</f>
        <v>37</v>
      </c>
      <c r="D162" s="77">
        <f>D161*(BudgetsTable[[#This Row],[lead]]=K161)+(BudgetsTable[[#This Row],[prop_id]]&lt;&gt;A161)</f>
        <v>1</v>
      </c>
      <c r="E162" s="78">
        <v>42935.599305555559</v>
      </c>
      <c r="F162" s="79" t="s">
        <v>1430</v>
      </c>
      <c r="G162" s="79" t="s">
        <v>477</v>
      </c>
      <c r="H162" s="79" t="s">
        <v>582</v>
      </c>
      <c r="I162" s="77" t="s">
        <v>611</v>
      </c>
      <c r="J162" s="77" t="s">
        <v>13</v>
      </c>
      <c r="K162" s="79" t="s">
        <v>944</v>
      </c>
      <c r="L162" s="7" t="str">
        <f>IF(BudgetsTable[[#This Row],[pi_last_name]]=" ","",HYPERLINK("https://www.ejacket.nsf.gov/ej/showProposal.do?Continue=Y&amp;ID="&amp;BudgetsTable[[#This Row],[prop_id]],BudgetsTable[[#This Row],[prop_id]]))</f>
        <v/>
      </c>
      <c r="M162" s="15" t="str">
        <f>IF(BudgetsTable[[#This Row],[pi_last_name]]=" ","",HYPERLINK("https://www.ejacket.nsf.gov/ej/processReviewAnalysis.do?dispatch=add&amp;uniqId="&amp;BudgetsTable[[#This Row],[prop_id]]&amp;PO_id,"&gt;ra"))</f>
        <v/>
      </c>
      <c r="N162" s="79" t="s">
        <v>13</v>
      </c>
      <c r="O162" s="7" t="str">
        <f>IF(BudgetsTable[[#This Row],[pi_last_name]]=" ","",HYPERLINK("mailto:"&amp;BudgetsTable[[#This Row],[pi_email]]&amp;"&amp;subject=Your NSF Proposal:  "&amp;BudgetsTable[[#This Row],[prop_id]],BudgetsTable[[#This Row],[pi_email]]))</f>
        <v/>
      </c>
      <c r="P162" s="79" t="s">
        <v>13</v>
      </c>
      <c r="Q162" s="79">
        <v>1</v>
      </c>
      <c r="R162" s="79">
        <v>1</v>
      </c>
      <c r="S162" s="80">
        <v>0</v>
      </c>
      <c r="T162" s="80">
        <v>3090</v>
      </c>
      <c r="U162" s="80">
        <v>0</v>
      </c>
      <c r="V162" s="81">
        <v>105903</v>
      </c>
      <c r="W162" s="79">
        <v>0</v>
      </c>
      <c r="X162" s="79">
        <v>2</v>
      </c>
      <c r="Y162" s="11" t="str">
        <f ca="1">IF(ISBLANK(BudgetsTable[[#This Row],[budg_seq_yr]]),"FY"&amp;fiscalyear,"FY"&amp;fiscalyear-1+BudgetsTable[[#This Row],[budg_seq_yr]])</f>
        <v>FY19</v>
      </c>
      <c r="Z162" s="80">
        <v>105903</v>
      </c>
      <c r="AA162" s="79" t="s">
        <v>477</v>
      </c>
      <c r="AB162" s="79" t="s">
        <v>582</v>
      </c>
      <c r="AC162" s="77" t="s">
        <v>94</v>
      </c>
      <c r="AD162" s="79" t="s">
        <v>1432</v>
      </c>
    </row>
    <row r="163" spans="1:30" x14ac:dyDescent="0.4">
      <c r="A163" s="10" t="s">
        <v>944</v>
      </c>
      <c r="B163" s="77" t="s">
        <v>95</v>
      </c>
      <c r="C163" s="77">
        <f>C162+(BudgetsTable[[#This Row],[lead]]&lt;&gt;K162)</f>
        <v>37</v>
      </c>
      <c r="D163" s="77">
        <f>D162*(BudgetsTable[[#This Row],[lead]]=K162)+(BudgetsTable[[#This Row],[prop_id]]&lt;&gt;A162)</f>
        <v>1</v>
      </c>
      <c r="E163" s="78">
        <v>42935.599305555559</v>
      </c>
      <c r="F163" s="79" t="s">
        <v>1430</v>
      </c>
      <c r="G163" s="79" t="s">
        <v>477</v>
      </c>
      <c r="H163" s="79" t="s">
        <v>582</v>
      </c>
      <c r="I163" s="77" t="s">
        <v>611</v>
      </c>
      <c r="J163" s="77" t="s">
        <v>13</v>
      </c>
      <c r="K163" s="79" t="s">
        <v>944</v>
      </c>
      <c r="L163" s="7" t="str">
        <f>IF(BudgetsTable[[#This Row],[pi_last_name]]=" ","",HYPERLINK("https://www.ejacket.nsf.gov/ej/showProposal.do?Continue=Y&amp;ID="&amp;BudgetsTable[[#This Row],[prop_id]],BudgetsTable[[#This Row],[prop_id]]))</f>
        <v/>
      </c>
      <c r="M163" s="15" t="str">
        <f>IF(BudgetsTable[[#This Row],[pi_last_name]]=" ","",HYPERLINK("https://www.ejacket.nsf.gov/ej/processReviewAnalysis.do?dispatch=add&amp;uniqId="&amp;BudgetsTable[[#This Row],[prop_id]]&amp;PO_id,"&gt;ra"))</f>
        <v/>
      </c>
      <c r="N163" s="79" t="s">
        <v>13</v>
      </c>
      <c r="O163" s="7" t="str">
        <f>IF(BudgetsTable[[#This Row],[pi_last_name]]=" ","",HYPERLINK("mailto:"&amp;BudgetsTable[[#This Row],[pi_email]]&amp;"&amp;subject=Your NSF Proposal:  "&amp;BudgetsTable[[#This Row],[prop_id]],BudgetsTable[[#This Row],[pi_email]]))</f>
        <v/>
      </c>
      <c r="P163" s="79" t="s">
        <v>13</v>
      </c>
      <c r="Q163" s="79">
        <v>1</v>
      </c>
      <c r="R163" s="79">
        <v>1</v>
      </c>
      <c r="S163" s="80">
        <v>0</v>
      </c>
      <c r="T163" s="80">
        <v>3183</v>
      </c>
      <c r="U163" s="80">
        <v>0</v>
      </c>
      <c r="V163" s="81">
        <v>109082</v>
      </c>
      <c r="W163" s="79">
        <v>0</v>
      </c>
      <c r="X163" s="79">
        <v>3</v>
      </c>
      <c r="Y163" s="11" t="str">
        <f ca="1">IF(ISBLANK(BudgetsTable[[#This Row],[budg_seq_yr]]),"FY"&amp;fiscalyear,"FY"&amp;fiscalyear-1+BudgetsTable[[#This Row],[budg_seq_yr]])</f>
        <v>FY20</v>
      </c>
      <c r="Z163" s="80">
        <v>109082</v>
      </c>
      <c r="AA163" s="79" t="s">
        <v>477</v>
      </c>
      <c r="AB163" s="79" t="s">
        <v>582</v>
      </c>
      <c r="AC163" s="77" t="s">
        <v>94</v>
      </c>
      <c r="AD163" s="79" t="s">
        <v>1432</v>
      </c>
    </row>
    <row r="164" spans="1:30" x14ac:dyDescent="0.4">
      <c r="A164" s="10" t="s">
        <v>944</v>
      </c>
      <c r="B164" s="77" t="s">
        <v>95</v>
      </c>
      <c r="C164" s="77">
        <f>C163+(BudgetsTable[[#This Row],[lead]]&lt;&gt;K163)</f>
        <v>37</v>
      </c>
      <c r="D164" s="77">
        <f>D163*(BudgetsTable[[#This Row],[lead]]=K163)+(BudgetsTable[[#This Row],[prop_id]]&lt;&gt;A163)</f>
        <v>1</v>
      </c>
      <c r="E164" s="78">
        <v>42935.599305555559</v>
      </c>
      <c r="F164" s="79" t="s">
        <v>1430</v>
      </c>
      <c r="G164" s="79" t="s">
        <v>477</v>
      </c>
      <c r="H164" s="79" t="s">
        <v>582</v>
      </c>
      <c r="I164" s="77" t="s">
        <v>611</v>
      </c>
      <c r="J164" s="77" t="s">
        <v>13</v>
      </c>
      <c r="K164" s="79" t="s">
        <v>944</v>
      </c>
      <c r="L164" s="7" t="str">
        <f>IF(BudgetsTable[[#This Row],[pi_last_name]]=" ","",HYPERLINK("https://www.ejacket.nsf.gov/ej/showProposal.do?Continue=Y&amp;ID="&amp;BudgetsTable[[#This Row],[prop_id]],BudgetsTable[[#This Row],[prop_id]]))</f>
        <v/>
      </c>
      <c r="M164" s="15" t="str">
        <f>IF(BudgetsTable[[#This Row],[pi_last_name]]=" ","",HYPERLINK("https://www.ejacket.nsf.gov/ej/processReviewAnalysis.do?dispatch=add&amp;uniqId="&amp;BudgetsTable[[#This Row],[prop_id]]&amp;PO_id,"&gt;ra"))</f>
        <v/>
      </c>
      <c r="N164" s="79" t="s">
        <v>13</v>
      </c>
      <c r="O164" s="7" t="str">
        <f>IF(BudgetsTable[[#This Row],[pi_last_name]]=" ","",HYPERLINK("mailto:"&amp;BudgetsTable[[#This Row],[pi_email]]&amp;"&amp;subject=Your NSF Proposal:  "&amp;BudgetsTable[[#This Row],[prop_id]],BudgetsTable[[#This Row],[pi_email]]))</f>
        <v/>
      </c>
      <c r="P164" s="79" t="s">
        <v>13</v>
      </c>
      <c r="Q164" s="79">
        <v>1</v>
      </c>
      <c r="R164" s="79">
        <v>1</v>
      </c>
      <c r="S164" s="80">
        <v>0</v>
      </c>
      <c r="T164" s="80">
        <v>3278</v>
      </c>
      <c r="U164" s="80">
        <v>0</v>
      </c>
      <c r="V164" s="81">
        <v>112353</v>
      </c>
      <c r="W164" s="79">
        <v>0</v>
      </c>
      <c r="X164" s="79">
        <v>4</v>
      </c>
      <c r="Y164" s="11" t="str">
        <f ca="1">IF(ISBLANK(BudgetsTable[[#This Row],[budg_seq_yr]]),"FY"&amp;fiscalyear,"FY"&amp;fiscalyear-1+BudgetsTable[[#This Row],[budg_seq_yr]])</f>
        <v>FY21</v>
      </c>
      <c r="Z164" s="80">
        <v>112353</v>
      </c>
      <c r="AA164" s="79" t="s">
        <v>477</v>
      </c>
      <c r="AB164" s="79" t="s">
        <v>582</v>
      </c>
      <c r="AC164" s="77" t="s">
        <v>94</v>
      </c>
      <c r="AD164" s="79" t="s">
        <v>1432</v>
      </c>
    </row>
    <row r="165" spans="1:30" x14ac:dyDescent="0.4">
      <c r="A165" s="10" t="s">
        <v>944</v>
      </c>
      <c r="B165" s="77" t="s">
        <v>95</v>
      </c>
      <c r="C165" s="77">
        <f>C164+(BudgetsTable[[#This Row],[lead]]&lt;&gt;K164)</f>
        <v>37</v>
      </c>
      <c r="D165" s="77">
        <f>D164*(BudgetsTable[[#This Row],[lead]]=K164)+(BudgetsTable[[#This Row],[prop_id]]&lt;&gt;A164)</f>
        <v>1</v>
      </c>
      <c r="E165" s="78">
        <v>42935.599305555559</v>
      </c>
      <c r="F165" s="79" t="s">
        <v>1430</v>
      </c>
      <c r="G165" s="79" t="s">
        <v>477</v>
      </c>
      <c r="H165" s="79" t="s">
        <v>582</v>
      </c>
      <c r="I165" s="77" t="s">
        <v>611</v>
      </c>
      <c r="J165" s="77" t="s">
        <v>13</v>
      </c>
      <c r="K165" s="79" t="s">
        <v>944</v>
      </c>
      <c r="L165" s="7" t="str">
        <f>IF(BudgetsTable[[#This Row],[pi_last_name]]=" ","",HYPERLINK("https://www.ejacket.nsf.gov/ej/showProposal.do?Continue=Y&amp;ID="&amp;BudgetsTable[[#This Row],[prop_id]],BudgetsTable[[#This Row],[prop_id]]))</f>
        <v/>
      </c>
      <c r="M165" s="15" t="str">
        <f>IF(BudgetsTable[[#This Row],[pi_last_name]]=" ","",HYPERLINK("https://www.ejacket.nsf.gov/ej/processReviewAnalysis.do?dispatch=add&amp;uniqId="&amp;BudgetsTable[[#This Row],[prop_id]]&amp;PO_id,"&gt;ra"))</f>
        <v/>
      </c>
      <c r="N165" s="79" t="s">
        <v>13</v>
      </c>
      <c r="O165" s="7" t="str">
        <f>IF(BudgetsTable[[#This Row],[pi_last_name]]=" ","",HYPERLINK("mailto:"&amp;BudgetsTable[[#This Row],[pi_email]]&amp;"&amp;subject=Your NSF Proposal:  "&amp;BudgetsTable[[#This Row],[prop_id]],BudgetsTable[[#This Row],[pi_email]]))</f>
        <v/>
      </c>
      <c r="P165" s="79" t="s">
        <v>13</v>
      </c>
      <c r="Q165" s="79">
        <v>1</v>
      </c>
      <c r="R165" s="79">
        <v>1</v>
      </c>
      <c r="S165" s="80">
        <v>0</v>
      </c>
      <c r="T165" s="80">
        <v>3377</v>
      </c>
      <c r="U165" s="80">
        <v>0</v>
      </c>
      <c r="V165" s="81">
        <v>115725</v>
      </c>
      <c r="W165" s="79">
        <v>0</v>
      </c>
      <c r="X165" s="79">
        <v>5</v>
      </c>
      <c r="Y165" s="11" t="str">
        <f ca="1">IF(ISBLANK(BudgetsTable[[#This Row],[budg_seq_yr]]),"FY"&amp;fiscalyear,"FY"&amp;fiscalyear-1+BudgetsTable[[#This Row],[budg_seq_yr]])</f>
        <v>FY22</v>
      </c>
      <c r="Z165" s="80">
        <v>115725</v>
      </c>
      <c r="AA165" s="79" t="s">
        <v>477</v>
      </c>
      <c r="AB165" s="79" t="s">
        <v>582</v>
      </c>
      <c r="AC165" s="77" t="s">
        <v>94</v>
      </c>
      <c r="AD165" s="79" t="s">
        <v>1432</v>
      </c>
    </row>
    <row r="166" spans="1:30" x14ac:dyDescent="0.4">
      <c r="A166" s="10" t="s">
        <v>952</v>
      </c>
      <c r="B166" s="77" t="s">
        <v>95</v>
      </c>
      <c r="C166" s="77">
        <f>C165+(BudgetsTable[[#This Row],[lead]]&lt;&gt;K165)</f>
        <v>38</v>
      </c>
      <c r="D166" s="77">
        <f>D165*(BudgetsTable[[#This Row],[lead]]=K165)+(BudgetsTable[[#This Row],[prop_id]]&lt;&gt;A165)</f>
        <v>1</v>
      </c>
      <c r="E166" s="78">
        <v>42935.603472222225</v>
      </c>
      <c r="F166" s="79" t="s">
        <v>1430</v>
      </c>
      <c r="G166" s="79" t="s">
        <v>477</v>
      </c>
      <c r="H166" s="79" t="s">
        <v>582</v>
      </c>
      <c r="I166" s="77" t="s">
        <v>611</v>
      </c>
      <c r="J166" s="77" t="s">
        <v>1565</v>
      </c>
      <c r="K166" s="79" t="s">
        <v>952</v>
      </c>
      <c r="L166" s="7" t="str">
        <f>IF(BudgetsTable[[#This Row],[pi_last_name]]=" ","",HYPERLINK("https://www.ejacket.nsf.gov/ej/showProposal.do?Continue=Y&amp;ID="&amp;BudgetsTable[[#This Row],[prop_id]],BudgetsTable[[#This Row],[prop_id]]))</f>
        <v>1750651</v>
      </c>
      <c r="M166" s="15" t="e">
        <f>IF(BudgetsTable[[#This Row],[pi_last_name]]=" ","",HYPERLINK("https://www.ejacket.nsf.gov/ej/processReviewAnalysis.do?dispatch=add&amp;uniqId="&amp;BudgetsTable[[#This Row],[prop_id]]&amp;PO_id,"&gt;ra"))</f>
        <v>#REF!</v>
      </c>
      <c r="N166" s="79" t="s">
        <v>953</v>
      </c>
      <c r="O166" s="7" t="str">
        <f>IF(BudgetsTable[[#This Row],[pi_last_name]]=" ","",HYPERLINK("mailto:"&amp;BudgetsTable[[#This Row],[pi_email]]&amp;"&amp;subject=Your NSF Proposal:  "&amp;BudgetsTable[[#This Row],[prop_id]],BudgetsTable[[#This Row],[pi_email]]))</f>
        <v>pranjal.iitm@gmail.com</v>
      </c>
      <c r="P166" s="79" t="s">
        <v>1562</v>
      </c>
      <c r="Q166" s="79"/>
      <c r="R166" s="79"/>
      <c r="S166" s="80"/>
      <c r="T166" s="80"/>
      <c r="U166" s="80"/>
      <c r="V166" s="81"/>
      <c r="W166" s="79">
        <v>0</v>
      </c>
      <c r="X166" s="79"/>
      <c r="Y166" s="11" t="str">
        <f ca="1">IF(ISBLANK(BudgetsTable[[#This Row],[budg_seq_yr]]),"FY"&amp;fiscalyear,"FY"&amp;fiscalyear-1+BudgetsTable[[#This Row],[budg_seq_yr]])</f>
        <v>FY18</v>
      </c>
      <c r="Z166" s="80">
        <v>695874</v>
      </c>
      <c r="AA166" s="79" t="s">
        <v>477</v>
      </c>
      <c r="AB166" s="79" t="s">
        <v>582</v>
      </c>
      <c r="AC166" s="77" t="s">
        <v>94</v>
      </c>
      <c r="AD166" s="79" t="s">
        <v>1432</v>
      </c>
    </row>
    <row r="167" spans="1:30" x14ac:dyDescent="0.4">
      <c r="A167" s="10" t="s">
        <v>952</v>
      </c>
      <c r="B167" s="77" t="s">
        <v>95</v>
      </c>
      <c r="C167" s="77">
        <f>C166+(BudgetsTable[[#This Row],[lead]]&lt;&gt;K166)</f>
        <v>38</v>
      </c>
      <c r="D167" s="77">
        <f>D166*(BudgetsTable[[#This Row],[lead]]=K166)+(BudgetsTable[[#This Row],[prop_id]]&lt;&gt;A166)</f>
        <v>1</v>
      </c>
      <c r="E167" s="78">
        <v>42935.603472222225</v>
      </c>
      <c r="F167" s="79" t="s">
        <v>1430</v>
      </c>
      <c r="G167" s="79" t="s">
        <v>477</v>
      </c>
      <c r="H167" s="79" t="s">
        <v>582</v>
      </c>
      <c r="I167" s="77" t="s">
        <v>611</v>
      </c>
      <c r="J167" s="77" t="s">
        <v>13</v>
      </c>
      <c r="K167" s="79" t="s">
        <v>952</v>
      </c>
      <c r="L167" s="7" t="str">
        <f>IF(BudgetsTable[[#This Row],[pi_last_name]]=" ","",HYPERLINK("https://www.ejacket.nsf.gov/ej/showProposal.do?Continue=Y&amp;ID="&amp;BudgetsTable[[#This Row],[prop_id]],BudgetsTable[[#This Row],[prop_id]]))</f>
        <v/>
      </c>
      <c r="M167" s="15" t="str">
        <f>IF(BudgetsTable[[#This Row],[pi_last_name]]=" ","",HYPERLINK("https://www.ejacket.nsf.gov/ej/processReviewAnalysis.do?dispatch=add&amp;uniqId="&amp;BudgetsTable[[#This Row],[prop_id]]&amp;PO_id,"&gt;ra"))</f>
        <v/>
      </c>
      <c r="N167" s="79" t="s">
        <v>13</v>
      </c>
      <c r="O167" s="7" t="str">
        <f>IF(BudgetsTable[[#This Row],[pi_last_name]]=" ","",HYPERLINK("mailto:"&amp;BudgetsTable[[#This Row],[pi_email]]&amp;"&amp;subject=Your NSF Proposal:  "&amp;BudgetsTable[[#This Row],[prop_id]],BudgetsTable[[#This Row],[pi_email]]))</f>
        <v/>
      </c>
      <c r="P167" s="79" t="s">
        <v>13</v>
      </c>
      <c r="Q167" s="79">
        <v>1</v>
      </c>
      <c r="R167" s="79">
        <v>1</v>
      </c>
      <c r="S167" s="80">
        <v>0</v>
      </c>
      <c r="T167" s="80">
        <v>2575</v>
      </c>
      <c r="U167" s="80">
        <v>0</v>
      </c>
      <c r="V167" s="81">
        <v>130621</v>
      </c>
      <c r="W167" s="79">
        <v>0</v>
      </c>
      <c r="X167" s="79">
        <v>1</v>
      </c>
      <c r="Y167" s="11" t="str">
        <f ca="1">IF(ISBLANK(BudgetsTable[[#This Row],[budg_seq_yr]]),"FY"&amp;fiscalyear,"FY"&amp;fiscalyear-1+BudgetsTable[[#This Row],[budg_seq_yr]])</f>
        <v>FY18</v>
      </c>
      <c r="Z167" s="80">
        <v>130621</v>
      </c>
      <c r="AA167" s="79" t="s">
        <v>477</v>
      </c>
      <c r="AB167" s="79" t="s">
        <v>582</v>
      </c>
      <c r="AC167" s="77" t="s">
        <v>94</v>
      </c>
      <c r="AD167" s="79" t="s">
        <v>1432</v>
      </c>
    </row>
    <row r="168" spans="1:30" x14ac:dyDescent="0.4">
      <c r="A168" s="10" t="s">
        <v>952</v>
      </c>
      <c r="B168" s="77" t="s">
        <v>95</v>
      </c>
      <c r="C168" s="77">
        <f>C167+(BudgetsTable[[#This Row],[lead]]&lt;&gt;K167)</f>
        <v>38</v>
      </c>
      <c r="D168" s="77">
        <f>D167*(BudgetsTable[[#This Row],[lead]]=K167)+(BudgetsTable[[#This Row],[prop_id]]&lt;&gt;A167)</f>
        <v>1</v>
      </c>
      <c r="E168" s="78">
        <v>42935.603472222225</v>
      </c>
      <c r="F168" s="79" t="s">
        <v>1430</v>
      </c>
      <c r="G168" s="79" t="s">
        <v>477</v>
      </c>
      <c r="H168" s="79" t="s">
        <v>582</v>
      </c>
      <c r="I168" s="77" t="s">
        <v>611</v>
      </c>
      <c r="J168" s="77" t="s">
        <v>13</v>
      </c>
      <c r="K168" s="79" t="s">
        <v>952</v>
      </c>
      <c r="L168" s="7" t="str">
        <f>IF(BudgetsTable[[#This Row],[pi_last_name]]=" ","",HYPERLINK("https://www.ejacket.nsf.gov/ej/showProposal.do?Continue=Y&amp;ID="&amp;BudgetsTable[[#This Row],[prop_id]],BudgetsTable[[#This Row],[prop_id]]))</f>
        <v/>
      </c>
      <c r="M168" s="15" t="str">
        <f>IF(BudgetsTable[[#This Row],[pi_last_name]]=" ","",HYPERLINK("https://www.ejacket.nsf.gov/ej/processReviewAnalysis.do?dispatch=add&amp;uniqId="&amp;BudgetsTable[[#This Row],[prop_id]]&amp;PO_id,"&gt;ra"))</f>
        <v/>
      </c>
      <c r="N168" s="79" t="s">
        <v>13</v>
      </c>
      <c r="O168" s="7" t="str">
        <f>IF(BudgetsTable[[#This Row],[pi_last_name]]=" ","",HYPERLINK("mailto:"&amp;BudgetsTable[[#This Row],[pi_email]]&amp;"&amp;subject=Your NSF Proposal:  "&amp;BudgetsTable[[#This Row],[prop_id]],BudgetsTable[[#This Row],[pi_email]]))</f>
        <v/>
      </c>
      <c r="P168" s="79" t="s">
        <v>13</v>
      </c>
      <c r="Q168" s="79">
        <v>1</v>
      </c>
      <c r="R168" s="79">
        <v>1</v>
      </c>
      <c r="S168" s="80">
        <v>0</v>
      </c>
      <c r="T168" s="80">
        <v>2575</v>
      </c>
      <c r="U168" s="80">
        <v>0</v>
      </c>
      <c r="V168" s="81">
        <v>136088</v>
      </c>
      <c r="W168" s="79">
        <v>0</v>
      </c>
      <c r="X168" s="79">
        <v>2</v>
      </c>
      <c r="Y168" s="11" t="str">
        <f ca="1">IF(ISBLANK(BudgetsTable[[#This Row],[budg_seq_yr]]),"FY"&amp;fiscalyear,"FY"&amp;fiscalyear-1+BudgetsTable[[#This Row],[budg_seq_yr]])</f>
        <v>FY19</v>
      </c>
      <c r="Z168" s="80">
        <v>136088</v>
      </c>
      <c r="AA168" s="79" t="s">
        <v>477</v>
      </c>
      <c r="AB168" s="79" t="s">
        <v>582</v>
      </c>
      <c r="AC168" s="77" t="s">
        <v>94</v>
      </c>
      <c r="AD168" s="79" t="s">
        <v>1432</v>
      </c>
    </row>
    <row r="169" spans="1:30" x14ac:dyDescent="0.4">
      <c r="A169" s="10" t="s">
        <v>952</v>
      </c>
      <c r="B169" s="77" t="s">
        <v>95</v>
      </c>
      <c r="C169" s="77">
        <f>C168+(BudgetsTable[[#This Row],[lead]]&lt;&gt;K168)</f>
        <v>38</v>
      </c>
      <c r="D169" s="77">
        <f>D168*(BudgetsTable[[#This Row],[lead]]=K168)+(BudgetsTable[[#This Row],[prop_id]]&lt;&gt;A168)</f>
        <v>1</v>
      </c>
      <c r="E169" s="78">
        <v>42935.603472222225</v>
      </c>
      <c r="F169" s="79" t="s">
        <v>1430</v>
      </c>
      <c r="G169" s="79" t="s">
        <v>477</v>
      </c>
      <c r="H169" s="79" t="s">
        <v>582</v>
      </c>
      <c r="I169" s="77" t="s">
        <v>611</v>
      </c>
      <c r="J169" s="77" t="s">
        <v>13</v>
      </c>
      <c r="K169" s="79" t="s">
        <v>952</v>
      </c>
      <c r="L169" s="7" t="str">
        <f>IF(BudgetsTable[[#This Row],[pi_last_name]]=" ","",HYPERLINK("https://www.ejacket.nsf.gov/ej/showProposal.do?Continue=Y&amp;ID="&amp;BudgetsTable[[#This Row],[prop_id]],BudgetsTable[[#This Row],[prop_id]]))</f>
        <v/>
      </c>
      <c r="M169" s="15" t="str">
        <f>IF(BudgetsTable[[#This Row],[pi_last_name]]=" ","",HYPERLINK("https://www.ejacket.nsf.gov/ej/processReviewAnalysis.do?dispatch=add&amp;uniqId="&amp;BudgetsTable[[#This Row],[prop_id]]&amp;PO_id,"&gt;ra"))</f>
        <v/>
      </c>
      <c r="N169" s="79" t="s">
        <v>13</v>
      </c>
      <c r="O169" s="7" t="str">
        <f>IF(BudgetsTable[[#This Row],[pi_last_name]]=" ","",HYPERLINK("mailto:"&amp;BudgetsTable[[#This Row],[pi_email]]&amp;"&amp;subject=Your NSF Proposal:  "&amp;BudgetsTable[[#This Row],[prop_id]],BudgetsTable[[#This Row],[pi_email]]))</f>
        <v/>
      </c>
      <c r="P169" s="79" t="s">
        <v>13</v>
      </c>
      <c r="Q169" s="79">
        <v>1</v>
      </c>
      <c r="R169" s="79">
        <v>1</v>
      </c>
      <c r="S169" s="80">
        <v>0</v>
      </c>
      <c r="T169" s="80">
        <v>2575</v>
      </c>
      <c r="U169" s="80">
        <v>0</v>
      </c>
      <c r="V169" s="81">
        <v>139503</v>
      </c>
      <c r="W169" s="79">
        <v>0</v>
      </c>
      <c r="X169" s="79">
        <v>3</v>
      </c>
      <c r="Y169" s="11" t="str">
        <f ca="1">IF(ISBLANK(BudgetsTable[[#This Row],[budg_seq_yr]]),"FY"&amp;fiscalyear,"FY"&amp;fiscalyear-1+BudgetsTable[[#This Row],[budg_seq_yr]])</f>
        <v>FY20</v>
      </c>
      <c r="Z169" s="80">
        <v>139503</v>
      </c>
      <c r="AA169" s="79" t="s">
        <v>477</v>
      </c>
      <c r="AB169" s="79" t="s">
        <v>582</v>
      </c>
      <c r="AC169" s="77" t="s">
        <v>94</v>
      </c>
      <c r="AD169" s="79" t="s">
        <v>1432</v>
      </c>
    </row>
    <row r="170" spans="1:30" x14ac:dyDescent="0.4">
      <c r="A170" s="10" t="s">
        <v>952</v>
      </c>
      <c r="B170" s="77" t="s">
        <v>95</v>
      </c>
      <c r="C170" s="77">
        <f>C169+(BudgetsTable[[#This Row],[lead]]&lt;&gt;K169)</f>
        <v>38</v>
      </c>
      <c r="D170" s="77">
        <f>D169*(BudgetsTable[[#This Row],[lead]]=K169)+(BudgetsTable[[#This Row],[prop_id]]&lt;&gt;A169)</f>
        <v>1</v>
      </c>
      <c r="E170" s="78">
        <v>42935.603472222225</v>
      </c>
      <c r="F170" s="79" t="s">
        <v>1430</v>
      </c>
      <c r="G170" s="79" t="s">
        <v>477</v>
      </c>
      <c r="H170" s="79" t="s">
        <v>582</v>
      </c>
      <c r="I170" s="77" t="s">
        <v>611</v>
      </c>
      <c r="J170" s="77" t="s">
        <v>13</v>
      </c>
      <c r="K170" s="79" t="s">
        <v>952</v>
      </c>
      <c r="L170" s="7" t="str">
        <f>IF(BudgetsTable[[#This Row],[pi_last_name]]=" ","",HYPERLINK("https://www.ejacket.nsf.gov/ej/showProposal.do?Continue=Y&amp;ID="&amp;BudgetsTable[[#This Row],[prop_id]],BudgetsTable[[#This Row],[prop_id]]))</f>
        <v/>
      </c>
      <c r="M170" s="15" t="str">
        <f>IF(BudgetsTable[[#This Row],[pi_last_name]]=" ","",HYPERLINK("https://www.ejacket.nsf.gov/ej/processReviewAnalysis.do?dispatch=add&amp;uniqId="&amp;BudgetsTable[[#This Row],[prop_id]]&amp;PO_id,"&gt;ra"))</f>
        <v/>
      </c>
      <c r="N170" s="79" t="s">
        <v>13</v>
      </c>
      <c r="O170" s="7" t="str">
        <f>IF(BudgetsTable[[#This Row],[pi_last_name]]=" ","",HYPERLINK("mailto:"&amp;BudgetsTable[[#This Row],[pi_email]]&amp;"&amp;subject=Your NSF Proposal:  "&amp;BudgetsTable[[#This Row],[prop_id]],BudgetsTable[[#This Row],[pi_email]]))</f>
        <v/>
      </c>
      <c r="P170" s="79" t="s">
        <v>13</v>
      </c>
      <c r="Q170" s="79">
        <v>1</v>
      </c>
      <c r="R170" s="79">
        <v>1</v>
      </c>
      <c r="S170" s="80">
        <v>0</v>
      </c>
      <c r="T170" s="80">
        <v>2575</v>
      </c>
      <c r="U170" s="80">
        <v>0</v>
      </c>
      <c r="V170" s="81">
        <v>143019</v>
      </c>
      <c r="W170" s="79">
        <v>0</v>
      </c>
      <c r="X170" s="79">
        <v>4</v>
      </c>
      <c r="Y170" s="11" t="str">
        <f ca="1">IF(ISBLANK(BudgetsTable[[#This Row],[budg_seq_yr]]),"FY"&amp;fiscalyear,"FY"&amp;fiscalyear-1+BudgetsTable[[#This Row],[budg_seq_yr]])</f>
        <v>FY21</v>
      </c>
      <c r="Z170" s="80">
        <v>143019</v>
      </c>
      <c r="AA170" s="79" t="s">
        <v>477</v>
      </c>
      <c r="AB170" s="79" t="s">
        <v>582</v>
      </c>
      <c r="AC170" s="77" t="s">
        <v>94</v>
      </c>
      <c r="AD170" s="79" t="s">
        <v>1432</v>
      </c>
    </row>
    <row r="171" spans="1:30" x14ac:dyDescent="0.4">
      <c r="A171" s="10" t="s">
        <v>952</v>
      </c>
      <c r="B171" s="77" t="s">
        <v>95</v>
      </c>
      <c r="C171" s="77">
        <f>C170+(BudgetsTable[[#This Row],[lead]]&lt;&gt;K170)</f>
        <v>38</v>
      </c>
      <c r="D171" s="77">
        <f>D170*(BudgetsTable[[#This Row],[lead]]=K170)+(BudgetsTable[[#This Row],[prop_id]]&lt;&gt;A170)</f>
        <v>1</v>
      </c>
      <c r="E171" s="78">
        <v>42935.603472222225</v>
      </c>
      <c r="F171" s="79" t="s">
        <v>1430</v>
      </c>
      <c r="G171" s="79" t="s">
        <v>477</v>
      </c>
      <c r="H171" s="79" t="s">
        <v>582</v>
      </c>
      <c r="I171" s="77" t="s">
        <v>611</v>
      </c>
      <c r="J171" s="77" t="s">
        <v>13</v>
      </c>
      <c r="K171" s="79" t="s">
        <v>952</v>
      </c>
      <c r="L171" s="7" t="str">
        <f>IF(BudgetsTable[[#This Row],[pi_last_name]]=" ","",HYPERLINK("https://www.ejacket.nsf.gov/ej/showProposal.do?Continue=Y&amp;ID="&amp;BudgetsTable[[#This Row],[prop_id]],BudgetsTable[[#This Row],[prop_id]]))</f>
        <v/>
      </c>
      <c r="M171" s="15" t="str">
        <f>IF(BudgetsTable[[#This Row],[pi_last_name]]=" ","",HYPERLINK("https://www.ejacket.nsf.gov/ej/processReviewAnalysis.do?dispatch=add&amp;uniqId="&amp;BudgetsTable[[#This Row],[prop_id]]&amp;PO_id,"&gt;ra"))</f>
        <v/>
      </c>
      <c r="N171" s="79" t="s">
        <v>13</v>
      </c>
      <c r="O171" s="7" t="str">
        <f>IF(BudgetsTable[[#This Row],[pi_last_name]]=" ","",HYPERLINK("mailto:"&amp;BudgetsTable[[#This Row],[pi_email]]&amp;"&amp;subject=Your NSF Proposal:  "&amp;BudgetsTable[[#This Row],[prop_id]],BudgetsTable[[#This Row],[pi_email]]))</f>
        <v/>
      </c>
      <c r="P171" s="79" t="s">
        <v>13</v>
      </c>
      <c r="Q171" s="79">
        <v>1</v>
      </c>
      <c r="R171" s="79">
        <v>1</v>
      </c>
      <c r="S171" s="80">
        <v>0</v>
      </c>
      <c r="T171" s="80">
        <v>2575</v>
      </c>
      <c r="U171" s="80">
        <v>0</v>
      </c>
      <c r="V171" s="81">
        <v>146643</v>
      </c>
      <c r="W171" s="79">
        <v>0</v>
      </c>
      <c r="X171" s="79">
        <v>5</v>
      </c>
      <c r="Y171" s="11" t="str">
        <f ca="1">IF(ISBLANK(BudgetsTable[[#This Row],[budg_seq_yr]]),"FY"&amp;fiscalyear,"FY"&amp;fiscalyear-1+BudgetsTable[[#This Row],[budg_seq_yr]])</f>
        <v>FY22</v>
      </c>
      <c r="Z171" s="80">
        <v>146643</v>
      </c>
      <c r="AA171" s="79" t="s">
        <v>477</v>
      </c>
      <c r="AB171" s="79" t="s">
        <v>582</v>
      </c>
      <c r="AC171" s="77" t="s">
        <v>94</v>
      </c>
      <c r="AD171" s="79" t="s">
        <v>1432</v>
      </c>
    </row>
    <row r="172" spans="1:30" x14ac:dyDescent="0.4">
      <c r="A172" s="10" t="s">
        <v>961</v>
      </c>
      <c r="B172" s="77" t="s">
        <v>95</v>
      </c>
      <c r="C172" s="77">
        <f>C171+(BudgetsTable[[#This Row],[lead]]&lt;&gt;K171)</f>
        <v>39</v>
      </c>
      <c r="D172" s="77">
        <f>D171*(BudgetsTable[[#This Row],[lead]]=K171)+(BudgetsTable[[#This Row],[prop_id]]&lt;&gt;A171)</f>
        <v>1</v>
      </c>
      <c r="E172" s="78">
        <v>42935.620138888888</v>
      </c>
      <c r="F172" s="79" t="s">
        <v>1430</v>
      </c>
      <c r="G172" s="79" t="s">
        <v>477</v>
      </c>
      <c r="H172" s="79" t="s">
        <v>582</v>
      </c>
      <c r="I172" s="77" t="s">
        <v>654</v>
      </c>
      <c r="J172" s="77" t="s">
        <v>1569</v>
      </c>
      <c r="K172" s="79" t="s">
        <v>961</v>
      </c>
      <c r="L172" s="7" t="str">
        <f>IF(BudgetsTable[[#This Row],[pi_last_name]]=" ","",HYPERLINK("https://www.ejacket.nsf.gov/ej/showProposal.do?Continue=Y&amp;ID="&amp;BudgetsTable[[#This Row],[prop_id]],BudgetsTable[[#This Row],[prop_id]]))</f>
        <v>1750716</v>
      </c>
      <c r="M172" s="15" t="e">
        <f>IF(BudgetsTable[[#This Row],[pi_last_name]]=" ","",HYPERLINK("https://www.ejacket.nsf.gov/ej/processReviewAnalysis.do?dispatch=add&amp;uniqId="&amp;BudgetsTable[[#This Row],[prop_id]]&amp;PO_id,"&gt;ra"))</f>
        <v>#REF!</v>
      </c>
      <c r="N172" s="79" t="s">
        <v>489</v>
      </c>
      <c r="O172" s="7" t="str">
        <f>IF(BudgetsTable[[#This Row],[pi_last_name]]=" ","",HYPERLINK("mailto:"&amp;BudgetsTable[[#This Row],[pi_email]]&amp;"&amp;subject=Your NSF Proposal:  "&amp;BudgetsTable[[#This Row],[prop_id]],BudgetsTable[[#This Row],[pi_email]]))</f>
        <v>hu.nguyen@neu.edu</v>
      </c>
      <c r="P172" s="79" t="s">
        <v>502</v>
      </c>
      <c r="Q172" s="79"/>
      <c r="R172" s="79"/>
      <c r="S172" s="80"/>
      <c r="T172" s="80"/>
      <c r="U172" s="80"/>
      <c r="V172" s="81"/>
      <c r="W172" s="79">
        <v>0</v>
      </c>
      <c r="X172" s="79"/>
      <c r="Y172" s="11" t="str">
        <f ca="1">IF(ISBLANK(BudgetsTable[[#This Row],[budg_seq_yr]]),"FY"&amp;fiscalyear,"FY"&amp;fiscalyear-1+BudgetsTable[[#This Row],[budg_seq_yr]])</f>
        <v>FY18</v>
      </c>
      <c r="Z172" s="80">
        <v>551453</v>
      </c>
      <c r="AA172" s="79" t="s">
        <v>477</v>
      </c>
      <c r="AB172" s="79" t="s">
        <v>582</v>
      </c>
      <c r="AC172" s="77" t="s">
        <v>94</v>
      </c>
      <c r="AD172" s="79" t="s">
        <v>1432</v>
      </c>
    </row>
    <row r="173" spans="1:30" x14ac:dyDescent="0.4">
      <c r="A173" s="10" t="s">
        <v>961</v>
      </c>
      <c r="B173" s="77" t="s">
        <v>95</v>
      </c>
      <c r="C173" s="77">
        <f>C172+(BudgetsTable[[#This Row],[lead]]&lt;&gt;K172)</f>
        <v>39</v>
      </c>
      <c r="D173" s="77">
        <f>D172*(BudgetsTable[[#This Row],[lead]]=K172)+(BudgetsTable[[#This Row],[prop_id]]&lt;&gt;A172)</f>
        <v>1</v>
      </c>
      <c r="E173" s="78">
        <v>42935.620138888888</v>
      </c>
      <c r="F173" s="79" t="s">
        <v>1430</v>
      </c>
      <c r="G173" s="79" t="s">
        <v>477</v>
      </c>
      <c r="H173" s="79" t="s">
        <v>582</v>
      </c>
      <c r="I173" s="77" t="s">
        <v>654</v>
      </c>
      <c r="J173" s="77" t="s">
        <v>13</v>
      </c>
      <c r="K173" s="79" t="s">
        <v>961</v>
      </c>
      <c r="L173" s="7" t="str">
        <f>IF(BudgetsTable[[#This Row],[pi_last_name]]=" ","",HYPERLINK("https://www.ejacket.nsf.gov/ej/showProposal.do?Continue=Y&amp;ID="&amp;BudgetsTable[[#This Row],[prop_id]],BudgetsTable[[#This Row],[prop_id]]))</f>
        <v/>
      </c>
      <c r="M173" s="15" t="str">
        <f>IF(BudgetsTable[[#This Row],[pi_last_name]]=" ","",HYPERLINK("https://www.ejacket.nsf.gov/ej/processReviewAnalysis.do?dispatch=add&amp;uniqId="&amp;BudgetsTable[[#This Row],[prop_id]]&amp;PO_id,"&gt;ra"))</f>
        <v/>
      </c>
      <c r="N173" s="79" t="s">
        <v>13</v>
      </c>
      <c r="O173" s="7" t="str">
        <f>IF(BudgetsTable[[#This Row],[pi_last_name]]=" ","",HYPERLINK("mailto:"&amp;BudgetsTable[[#This Row],[pi_email]]&amp;"&amp;subject=Your NSF Proposal:  "&amp;BudgetsTable[[#This Row],[prop_id]],BudgetsTable[[#This Row],[pi_email]]))</f>
        <v/>
      </c>
      <c r="P173" s="79" t="s">
        <v>13</v>
      </c>
      <c r="Q173" s="79">
        <v>1</v>
      </c>
      <c r="R173" s="79">
        <v>1</v>
      </c>
      <c r="S173" s="80">
        <v>0</v>
      </c>
      <c r="T173" s="80">
        <v>2500</v>
      </c>
      <c r="U173" s="80">
        <v>0</v>
      </c>
      <c r="V173" s="81">
        <v>103869</v>
      </c>
      <c r="W173" s="79">
        <v>0</v>
      </c>
      <c r="X173" s="79">
        <v>1</v>
      </c>
      <c r="Y173" s="11" t="str">
        <f ca="1">IF(ISBLANK(BudgetsTable[[#This Row],[budg_seq_yr]]),"FY"&amp;fiscalyear,"FY"&amp;fiscalyear-1+BudgetsTable[[#This Row],[budg_seq_yr]])</f>
        <v>FY18</v>
      </c>
      <c r="Z173" s="80">
        <v>103869</v>
      </c>
      <c r="AA173" s="79" t="s">
        <v>477</v>
      </c>
      <c r="AB173" s="79" t="s">
        <v>582</v>
      </c>
      <c r="AC173" s="77" t="s">
        <v>94</v>
      </c>
      <c r="AD173" s="79" t="s">
        <v>1432</v>
      </c>
    </row>
    <row r="174" spans="1:30" x14ac:dyDescent="0.4">
      <c r="A174" s="10" t="s">
        <v>961</v>
      </c>
      <c r="B174" s="77" t="s">
        <v>95</v>
      </c>
      <c r="C174" s="77">
        <f>C173+(BudgetsTable[[#This Row],[lead]]&lt;&gt;K173)</f>
        <v>39</v>
      </c>
      <c r="D174" s="77">
        <f>D173*(BudgetsTable[[#This Row],[lead]]=K173)+(BudgetsTable[[#This Row],[prop_id]]&lt;&gt;A173)</f>
        <v>1</v>
      </c>
      <c r="E174" s="78">
        <v>42935.620138888888</v>
      </c>
      <c r="F174" s="79" t="s">
        <v>1430</v>
      </c>
      <c r="G174" s="79" t="s">
        <v>477</v>
      </c>
      <c r="H174" s="79" t="s">
        <v>582</v>
      </c>
      <c r="I174" s="77" t="s">
        <v>654</v>
      </c>
      <c r="J174" s="77" t="s">
        <v>13</v>
      </c>
      <c r="K174" s="79" t="s">
        <v>961</v>
      </c>
      <c r="L174" s="7" t="str">
        <f>IF(BudgetsTable[[#This Row],[pi_last_name]]=" ","",HYPERLINK("https://www.ejacket.nsf.gov/ej/showProposal.do?Continue=Y&amp;ID="&amp;BudgetsTable[[#This Row],[prop_id]],BudgetsTable[[#This Row],[prop_id]]))</f>
        <v/>
      </c>
      <c r="M174" s="15" t="str">
        <f>IF(BudgetsTable[[#This Row],[pi_last_name]]=" ","",HYPERLINK("https://www.ejacket.nsf.gov/ej/processReviewAnalysis.do?dispatch=add&amp;uniqId="&amp;BudgetsTable[[#This Row],[prop_id]]&amp;PO_id,"&gt;ra"))</f>
        <v/>
      </c>
      <c r="N174" s="79" t="s">
        <v>13</v>
      </c>
      <c r="O174" s="7" t="str">
        <f>IF(BudgetsTable[[#This Row],[pi_last_name]]=" ","",HYPERLINK("mailto:"&amp;BudgetsTable[[#This Row],[pi_email]]&amp;"&amp;subject=Your NSF Proposal:  "&amp;BudgetsTable[[#This Row],[prop_id]],BudgetsTable[[#This Row],[pi_email]]))</f>
        <v/>
      </c>
      <c r="P174" s="79" t="s">
        <v>13</v>
      </c>
      <c r="Q174" s="79">
        <v>1</v>
      </c>
      <c r="R174" s="79">
        <v>1</v>
      </c>
      <c r="S174" s="80">
        <v>0</v>
      </c>
      <c r="T174" s="80">
        <v>2575</v>
      </c>
      <c r="U174" s="80">
        <v>0</v>
      </c>
      <c r="V174" s="81">
        <v>106984</v>
      </c>
      <c r="W174" s="79">
        <v>0</v>
      </c>
      <c r="X174" s="79">
        <v>2</v>
      </c>
      <c r="Y174" s="11" t="str">
        <f ca="1">IF(ISBLANK(BudgetsTable[[#This Row],[budg_seq_yr]]),"FY"&amp;fiscalyear,"FY"&amp;fiscalyear-1+BudgetsTable[[#This Row],[budg_seq_yr]])</f>
        <v>FY19</v>
      </c>
      <c r="Z174" s="80">
        <v>106984</v>
      </c>
      <c r="AA174" s="79" t="s">
        <v>477</v>
      </c>
      <c r="AB174" s="79" t="s">
        <v>582</v>
      </c>
      <c r="AC174" s="77" t="s">
        <v>94</v>
      </c>
      <c r="AD174" s="79" t="s">
        <v>1432</v>
      </c>
    </row>
    <row r="175" spans="1:30" x14ac:dyDescent="0.4">
      <c r="A175" s="10" t="s">
        <v>961</v>
      </c>
      <c r="B175" s="77" t="s">
        <v>95</v>
      </c>
      <c r="C175" s="77">
        <f>C174+(BudgetsTable[[#This Row],[lead]]&lt;&gt;K174)</f>
        <v>39</v>
      </c>
      <c r="D175" s="77">
        <f>D174*(BudgetsTable[[#This Row],[lead]]=K174)+(BudgetsTable[[#This Row],[prop_id]]&lt;&gt;A174)</f>
        <v>1</v>
      </c>
      <c r="E175" s="78">
        <v>42935.620138888888</v>
      </c>
      <c r="F175" s="79" t="s">
        <v>1430</v>
      </c>
      <c r="G175" s="79" t="s">
        <v>477</v>
      </c>
      <c r="H175" s="79" t="s">
        <v>582</v>
      </c>
      <c r="I175" s="77" t="s">
        <v>654</v>
      </c>
      <c r="J175" s="77" t="s">
        <v>13</v>
      </c>
      <c r="K175" s="79" t="s">
        <v>961</v>
      </c>
      <c r="L175" s="7" t="str">
        <f>IF(BudgetsTable[[#This Row],[pi_last_name]]=" ","",HYPERLINK("https://www.ejacket.nsf.gov/ej/showProposal.do?Continue=Y&amp;ID="&amp;BudgetsTable[[#This Row],[prop_id]],BudgetsTable[[#This Row],[prop_id]]))</f>
        <v/>
      </c>
      <c r="M175" s="15" t="str">
        <f>IF(BudgetsTable[[#This Row],[pi_last_name]]=" ","",HYPERLINK("https://www.ejacket.nsf.gov/ej/processReviewAnalysis.do?dispatch=add&amp;uniqId="&amp;BudgetsTable[[#This Row],[prop_id]]&amp;PO_id,"&gt;ra"))</f>
        <v/>
      </c>
      <c r="N175" s="79" t="s">
        <v>13</v>
      </c>
      <c r="O175" s="7" t="str">
        <f>IF(BudgetsTable[[#This Row],[pi_last_name]]=" ","",HYPERLINK("mailto:"&amp;BudgetsTable[[#This Row],[pi_email]]&amp;"&amp;subject=Your NSF Proposal:  "&amp;BudgetsTable[[#This Row],[prop_id]],BudgetsTable[[#This Row],[pi_email]]))</f>
        <v/>
      </c>
      <c r="P175" s="79" t="s">
        <v>13</v>
      </c>
      <c r="Q175" s="79">
        <v>1</v>
      </c>
      <c r="R175" s="79">
        <v>1</v>
      </c>
      <c r="S175" s="80">
        <v>0</v>
      </c>
      <c r="T175" s="80">
        <v>2652</v>
      </c>
      <c r="U175" s="80">
        <v>0</v>
      </c>
      <c r="V175" s="81">
        <v>110195</v>
      </c>
      <c r="W175" s="79">
        <v>0</v>
      </c>
      <c r="X175" s="79">
        <v>3</v>
      </c>
      <c r="Y175" s="11" t="str">
        <f ca="1">IF(ISBLANK(BudgetsTable[[#This Row],[budg_seq_yr]]),"FY"&amp;fiscalyear,"FY"&amp;fiscalyear-1+BudgetsTable[[#This Row],[budg_seq_yr]])</f>
        <v>FY20</v>
      </c>
      <c r="Z175" s="80">
        <v>110195</v>
      </c>
      <c r="AA175" s="79" t="s">
        <v>477</v>
      </c>
      <c r="AB175" s="79" t="s">
        <v>582</v>
      </c>
      <c r="AC175" s="77" t="s">
        <v>94</v>
      </c>
      <c r="AD175" s="79" t="s">
        <v>1432</v>
      </c>
    </row>
    <row r="176" spans="1:30" x14ac:dyDescent="0.4">
      <c r="A176" s="10" t="s">
        <v>961</v>
      </c>
      <c r="B176" s="77" t="s">
        <v>95</v>
      </c>
      <c r="C176" s="77">
        <f>C175+(BudgetsTable[[#This Row],[lead]]&lt;&gt;K175)</f>
        <v>39</v>
      </c>
      <c r="D176" s="77">
        <f>D175*(BudgetsTable[[#This Row],[lead]]=K175)+(BudgetsTable[[#This Row],[prop_id]]&lt;&gt;A175)</f>
        <v>1</v>
      </c>
      <c r="E176" s="78">
        <v>42935.620138888888</v>
      </c>
      <c r="F176" s="79" t="s">
        <v>1430</v>
      </c>
      <c r="G176" s="79" t="s">
        <v>477</v>
      </c>
      <c r="H176" s="79" t="s">
        <v>582</v>
      </c>
      <c r="I176" s="77" t="s">
        <v>654</v>
      </c>
      <c r="J176" s="77" t="s">
        <v>13</v>
      </c>
      <c r="K176" s="79" t="s">
        <v>961</v>
      </c>
      <c r="L176" s="7" t="str">
        <f>IF(BudgetsTable[[#This Row],[pi_last_name]]=" ","",HYPERLINK("https://www.ejacket.nsf.gov/ej/showProposal.do?Continue=Y&amp;ID="&amp;BudgetsTable[[#This Row],[prop_id]],BudgetsTable[[#This Row],[prop_id]]))</f>
        <v/>
      </c>
      <c r="M176" s="15" t="str">
        <f>IF(BudgetsTable[[#This Row],[pi_last_name]]=" ","",HYPERLINK("https://www.ejacket.nsf.gov/ej/processReviewAnalysis.do?dispatch=add&amp;uniqId="&amp;BudgetsTable[[#This Row],[prop_id]]&amp;PO_id,"&gt;ra"))</f>
        <v/>
      </c>
      <c r="N176" s="79" t="s">
        <v>13</v>
      </c>
      <c r="O176" s="7" t="str">
        <f>IF(BudgetsTable[[#This Row],[pi_last_name]]=" ","",HYPERLINK("mailto:"&amp;BudgetsTable[[#This Row],[pi_email]]&amp;"&amp;subject=Your NSF Proposal:  "&amp;BudgetsTable[[#This Row],[prop_id]],BudgetsTable[[#This Row],[pi_email]]))</f>
        <v/>
      </c>
      <c r="P176" s="79" t="s">
        <v>13</v>
      </c>
      <c r="Q176" s="79">
        <v>1</v>
      </c>
      <c r="R176" s="79">
        <v>1</v>
      </c>
      <c r="S176" s="80">
        <v>0</v>
      </c>
      <c r="T176" s="80">
        <v>2732</v>
      </c>
      <c r="U176" s="80">
        <v>0</v>
      </c>
      <c r="V176" s="81">
        <v>113499</v>
      </c>
      <c r="W176" s="79">
        <v>0</v>
      </c>
      <c r="X176" s="79">
        <v>4</v>
      </c>
      <c r="Y176" s="11" t="str">
        <f ca="1">IF(ISBLANK(BudgetsTable[[#This Row],[budg_seq_yr]]),"FY"&amp;fiscalyear,"FY"&amp;fiscalyear-1+BudgetsTable[[#This Row],[budg_seq_yr]])</f>
        <v>FY21</v>
      </c>
      <c r="Z176" s="80">
        <v>113499</v>
      </c>
      <c r="AA176" s="79" t="s">
        <v>477</v>
      </c>
      <c r="AB176" s="79" t="s">
        <v>582</v>
      </c>
      <c r="AC176" s="77" t="s">
        <v>94</v>
      </c>
      <c r="AD176" s="79" t="s">
        <v>1432</v>
      </c>
    </row>
    <row r="177" spans="1:30" x14ac:dyDescent="0.4">
      <c r="A177" s="10" t="s">
        <v>961</v>
      </c>
      <c r="B177" s="77" t="s">
        <v>95</v>
      </c>
      <c r="C177" s="77">
        <f>C176+(BudgetsTable[[#This Row],[lead]]&lt;&gt;K176)</f>
        <v>39</v>
      </c>
      <c r="D177" s="77">
        <f>D176*(BudgetsTable[[#This Row],[lead]]=K176)+(BudgetsTable[[#This Row],[prop_id]]&lt;&gt;A176)</f>
        <v>1</v>
      </c>
      <c r="E177" s="78">
        <v>42935.620138888888</v>
      </c>
      <c r="F177" s="79" t="s">
        <v>1430</v>
      </c>
      <c r="G177" s="79" t="s">
        <v>477</v>
      </c>
      <c r="H177" s="79" t="s">
        <v>582</v>
      </c>
      <c r="I177" s="77" t="s">
        <v>654</v>
      </c>
      <c r="J177" s="77" t="s">
        <v>13</v>
      </c>
      <c r="K177" s="79" t="s">
        <v>961</v>
      </c>
      <c r="L177" s="7" t="str">
        <f>IF(BudgetsTable[[#This Row],[pi_last_name]]=" ","",HYPERLINK("https://www.ejacket.nsf.gov/ej/showProposal.do?Continue=Y&amp;ID="&amp;BudgetsTable[[#This Row],[prop_id]],BudgetsTable[[#This Row],[prop_id]]))</f>
        <v/>
      </c>
      <c r="M177" s="15" t="str">
        <f>IF(BudgetsTable[[#This Row],[pi_last_name]]=" ","",HYPERLINK("https://www.ejacket.nsf.gov/ej/processReviewAnalysis.do?dispatch=add&amp;uniqId="&amp;BudgetsTable[[#This Row],[prop_id]]&amp;PO_id,"&gt;ra"))</f>
        <v/>
      </c>
      <c r="N177" s="79" t="s">
        <v>13</v>
      </c>
      <c r="O177" s="7" t="str">
        <f>IF(BudgetsTable[[#This Row],[pi_last_name]]=" ","",HYPERLINK("mailto:"&amp;BudgetsTable[[#This Row],[pi_email]]&amp;"&amp;subject=Your NSF Proposal:  "&amp;BudgetsTable[[#This Row],[prop_id]],BudgetsTable[[#This Row],[pi_email]]))</f>
        <v/>
      </c>
      <c r="P177" s="79" t="s">
        <v>13</v>
      </c>
      <c r="Q177" s="79">
        <v>1</v>
      </c>
      <c r="R177" s="79">
        <v>1</v>
      </c>
      <c r="S177" s="80">
        <v>0</v>
      </c>
      <c r="T177" s="80">
        <v>2814</v>
      </c>
      <c r="U177" s="80">
        <v>0</v>
      </c>
      <c r="V177" s="81">
        <v>116906</v>
      </c>
      <c r="W177" s="79">
        <v>0</v>
      </c>
      <c r="X177" s="79">
        <v>5</v>
      </c>
      <c r="Y177" s="11" t="str">
        <f ca="1">IF(ISBLANK(BudgetsTable[[#This Row],[budg_seq_yr]]),"FY"&amp;fiscalyear,"FY"&amp;fiscalyear-1+BudgetsTable[[#This Row],[budg_seq_yr]])</f>
        <v>FY22</v>
      </c>
      <c r="Z177" s="80">
        <v>116906</v>
      </c>
      <c r="AA177" s="79" t="s">
        <v>477</v>
      </c>
      <c r="AB177" s="79" t="s">
        <v>582</v>
      </c>
      <c r="AC177" s="77" t="s">
        <v>94</v>
      </c>
      <c r="AD177" s="79" t="s">
        <v>1432</v>
      </c>
    </row>
    <row r="178" spans="1:30" x14ac:dyDescent="0.4">
      <c r="A178" s="10" t="s">
        <v>971</v>
      </c>
      <c r="B178" s="77" t="s">
        <v>95</v>
      </c>
      <c r="C178" s="77">
        <f>C177+(BudgetsTable[[#This Row],[lead]]&lt;&gt;K177)</f>
        <v>40</v>
      </c>
      <c r="D178" s="77">
        <f>D177*(BudgetsTable[[#This Row],[lead]]=K177)+(BudgetsTable[[#This Row],[prop_id]]&lt;&gt;A177)</f>
        <v>1</v>
      </c>
      <c r="E178" s="78">
        <v>42935.633333333331</v>
      </c>
      <c r="F178" s="79" t="s">
        <v>1430</v>
      </c>
      <c r="G178" s="79" t="s">
        <v>477</v>
      </c>
      <c r="H178" s="79" t="s">
        <v>582</v>
      </c>
      <c r="I178" s="77" t="s">
        <v>604</v>
      </c>
      <c r="J178" s="77" t="s">
        <v>1572</v>
      </c>
      <c r="K178" s="79" t="s">
        <v>971</v>
      </c>
      <c r="L178" s="7" t="str">
        <f>IF(BudgetsTable[[#This Row],[pi_last_name]]=" ","",HYPERLINK("https://www.ejacket.nsf.gov/ej/showProposal.do?Continue=Y&amp;ID="&amp;BudgetsTable[[#This Row],[prop_id]],BudgetsTable[[#This Row],[prop_id]]))</f>
        <v>1750780</v>
      </c>
      <c r="M178" s="15" t="e">
        <f>IF(BudgetsTable[[#This Row],[pi_last_name]]=" ","",HYPERLINK("https://www.ejacket.nsf.gov/ej/processReviewAnalysis.do?dispatch=add&amp;uniqId="&amp;BudgetsTable[[#This Row],[prop_id]]&amp;PO_id,"&gt;ra"))</f>
        <v>#REF!</v>
      </c>
      <c r="N178" s="79" t="s">
        <v>972</v>
      </c>
      <c r="O178" s="7" t="str">
        <f>IF(BudgetsTable[[#This Row],[pi_last_name]]=" ","",HYPERLINK("mailto:"&amp;BudgetsTable[[#This Row],[pi_email]]&amp;"&amp;subject=Your NSF Proposal:  "&amp;BudgetsTable[[#This Row],[prop_id]],BudgetsTable[[#This Row],[pi_email]]))</f>
        <v>Benjamin.Raichel@utdallas.edu</v>
      </c>
      <c r="P178" s="79" t="s">
        <v>1570</v>
      </c>
      <c r="Q178" s="79"/>
      <c r="R178" s="79"/>
      <c r="S178" s="80"/>
      <c r="T178" s="80"/>
      <c r="U178" s="80"/>
      <c r="V178" s="81"/>
      <c r="W178" s="79">
        <v>0</v>
      </c>
      <c r="X178" s="79"/>
      <c r="Y178" s="11" t="str">
        <f ca="1">IF(ISBLANK(BudgetsTable[[#This Row],[budg_seq_yr]]),"FY"&amp;fiscalyear,"FY"&amp;fiscalyear-1+BudgetsTable[[#This Row],[budg_seq_yr]])</f>
        <v>FY18</v>
      </c>
      <c r="Z178" s="80">
        <v>582785</v>
      </c>
      <c r="AA178" s="79" t="s">
        <v>477</v>
      </c>
      <c r="AB178" s="79" t="s">
        <v>582</v>
      </c>
      <c r="AC178" s="77" t="s">
        <v>94</v>
      </c>
      <c r="AD178" s="79" t="s">
        <v>1439</v>
      </c>
    </row>
    <row r="179" spans="1:30" x14ac:dyDescent="0.4">
      <c r="A179" s="10" t="s">
        <v>971</v>
      </c>
      <c r="B179" s="77" t="s">
        <v>95</v>
      </c>
      <c r="C179" s="77">
        <f>C178+(BudgetsTable[[#This Row],[lead]]&lt;&gt;K178)</f>
        <v>40</v>
      </c>
      <c r="D179" s="77">
        <f>D178*(BudgetsTable[[#This Row],[lead]]=K178)+(BudgetsTable[[#This Row],[prop_id]]&lt;&gt;A178)</f>
        <v>1</v>
      </c>
      <c r="E179" s="78">
        <v>42935.633333333331</v>
      </c>
      <c r="F179" s="79" t="s">
        <v>1430</v>
      </c>
      <c r="G179" s="79" t="s">
        <v>477</v>
      </c>
      <c r="H179" s="79" t="s">
        <v>582</v>
      </c>
      <c r="I179" s="77" t="s">
        <v>604</v>
      </c>
      <c r="J179" s="77" t="s">
        <v>13</v>
      </c>
      <c r="K179" s="79" t="s">
        <v>971</v>
      </c>
      <c r="L179" s="7" t="str">
        <f>IF(BudgetsTable[[#This Row],[pi_last_name]]=" ","",HYPERLINK("https://www.ejacket.nsf.gov/ej/showProposal.do?Continue=Y&amp;ID="&amp;BudgetsTable[[#This Row],[prop_id]],BudgetsTable[[#This Row],[prop_id]]))</f>
        <v/>
      </c>
      <c r="M179" s="15" t="str">
        <f>IF(BudgetsTable[[#This Row],[pi_last_name]]=" ","",HYPERLINK("https://www.ejacket.nsf.gov/ej/processReviewAnalysis.do?dispatch=add&amp;uniqId="&amp;BudgetsTable[[#This Row],[prop_id]]&amp;PO_id,"&gt;ra"))</f>
        <v/>
      </c>
      <c r="N179" s="79" t="s">
        <v>13</v>
      </c>
      <c r="O179" s="7" t="str">
        <f>IF(BudgetsTable[[#This Row],[pi_last_name]]=" ","",HYPERLINK("mailto:"&amp;BudgetsTable[[#This Row],[pi_email]]&amp;"&amp;subject=Your NSF Proposal:  "&amp;BudgetsTable[[#This Row],[prop_id]],BudgetsTable[[#This Row],[pi_email]]))</f>
        <v/>
      </c>
      <c r="P179" s="79" t="s">
        <v>13</v>
      </c>
      <c r="Q179" s="79">
        <v>1</v>
      </c>
      <c r="R179" s="79">
        <v>1</v>
      </c>
      <c r="S179" s="80">
        <v>0</v>
      </c>
      <c r="T179" s="80">
        <v>2500</v>
      </c>
      <c r="U179" s="80">
        <v>0</v>
      </c>
      <c r="V179" s="81">
        <v>113134</v>
      </c>
      <c r="W179" s="79">
        <v>0</v>
      </c>
      <c r="X179" s="79">
        <v>1</v>
      </c>
      <c r="Y179" s="11" t="str">
        <f ca="1">IF(ISBLANK(BudgetsTable[[#This Row],[budg_seq_yr]]),"FY"&amp;fiscalyear,"FY"&amp;fiscalyear-1+BudgetsTable[[#This Row],[budg_seq_yr]])</f>
        <v>FY18</v>
      </c>
      <c r="Z179" s="80">
        <v>113134</v>
      </c>
      <c r="AA179" s="79" t="s">
        <v>477</v>
      </c>
      <c r="AB179" s="79" t="s">
        <v>582</v>
      </c>
      <c r="AC179" s="77" t="s">
        <v>94</v>
      </c>
      <c r="AD179" s="79" t="s">
        <v>1439</v>
      </c>
    </row>
    <row r="180" spans="1:30" x14ac:dyDescent="0.4">
      <c r="A180" s="10" t="s">
        <v>971</v>
      </c>
      <c r="B180" s="77" t="s">
        <v>95</v>
      </c>
      <c r="C180" s="77">
        <f>C179+(BudgetsTable[[#This Row],[lead]]&lt;&gt;K179)</f>
        <v>40</v>
      </c>
      <c r="D180" s="77">
        <f>D179*(BudgetsTable[[#This Row],[lead]]=K179)+(BudgetsTable[[#This Row],[prop_id]]&lt;&gt;A179)</f>
        <v>1</v>
      </c>
      <c r="E180" s="78">
        <v>42935.633333333331</v>
      </c>
      <c r="F180" s="79" t="s">
        <v>1430</v>
      </c>
      <c r="G180" s="79" t="s">
        <v>477</v>
      </c>
      <c r="H180" s="79" t="s">
        <v>582</v>
      </c>
      <c r="I180" s="77" t="s">
        <v>604</v>
      </c>
      <c r="J180" s="77" t="s">
        <v>13</v>
      </c>
      <c r="K180" s="79" t="s">
        <v>971</v>
      </c>
      <c r="L180" s="7" t="str">
        <f>IF(BudgetsTable[[#This Row],[pi_last_name]]=" ","",HYPERLINK("https://www.ejacket.nsf.gov/ej/showProposal.do?Continue=Y&amp;ID="&amp;BudgetsTable[[#This Row],[prop_id]],BudgetsTable[[#This Row],[prop_id]]))</f>
        <v/>
      </c>
      <c r="M180" s="15" t="str">
        <f>IF(BudgetsTable[[#This Row],[pi_last_name]]=" ","",HYPERLINK("https://www.ejacket.nsf.gov/ej/processReviewAnalysis.do?dispatch=add&amp;uniqId="&amp;BudgetsTable[[#This Row],[prop_id]]&amp;PO_id,"&gt;ra"))</f>
        <v/>
      </c>
      <c r="N180" s="79" t="s">
        <v>13</v>
      </c>
      <c r="O180" s="7" t="str">
        <f>IF(BudgetsTable[[#This Row],[pi_last_name]]=" ","",HYPERLINK("mailto:"&amp;BudgetsTable[[#This Row],[pi_email]]&amp;"&amp;subject=Your NSF Proposal:  "&amp;BudgetsTable[[#This Row],[prop_id]],BudgetsTable[[#This Row],[pi_email]]))</f>
        <v/>
      </c>
      <c r="P180" s="79" t="s">
        <v>13</v>
      </c>
      <c r="Q180" s="79">
        <v>1</v>
      </c>
      <c r="R180" s="79">
        <v>1</v>
      </c>
      <c r="S180" s="80">
        <v>0</v>
      </c>
      <c r="T180" s="80">
        <v>0</v>
      </c>
      <c r="U180" s="80">
        <v>0</v>
      </c>
      <c r="V180" s="81">
        <v>113214</v>
      </c>
      <c r="W180" s="79">
        <v>0</v>
      </c>
      <c r="X180" s="79">
        <v>2</v>
      </c>
      <c r="Y180" s="11" t="str">
        <f ca="1">IF(ISBLANK(BudgetsTable[[#This Row],[budg_seq_yr]]),"FY"&amp;fiscalyear,"FY"&amp;fiscalyear-1+BudgetsTable[[#This Row],[budg_seq_yr]])</f>
        <v>FY19</v>
      </c>
      <c r="Z180" s="80">
        <v>113214</v>
      </c>
      <c r="AA180" s="79" t="s">
        <v>477</v>
      </c>
      <c r="AB180" s="79" t="s">
        <v>582</v>
      </c>
      <c r="AC180" s="77" t="s">
        <v>94</v>
      </c>
      <c r="AD180" s="79" t="s">
        <v>1439</v>
      </c>
    </row>
    <row r="181" spans="1:30" x14ac:dyDescent="0.4">
      <c r="A181" s="10" t="s">
        <v>971</v>
      </c>
      <c r="B181" s="77" t="s">
        <v>95</v>
      </c>
      <c r="C181" s="77">
        <f>C180+(BudgetsTable[[#This Row],[lead]]&lt;&gt;K180)</f>
        <v>40</v>
      </c>
      <c r="D181" s="77">
        <f>D180*(BudgetsTable[[#This Row],[lead]]=K180)+(BudgetsTable[[#This Row],[prop_id]]&lt;&gt;A180)</f>
        <v>1</v>
      </c>
      <c r="E181" s="78">
        <v>42935.633333333331</v>
      </c>
      <c r="F181" s="79" t="s">
        <v>1430</v>
      </c>
      <c r="G181" s="79" t="s">
        <v>477</v>
      </c>
      <c r="H181" s="79" t="s">
        <v>582</v>
      </c>
      <c r="I181" s="77" t="s">
        <v>604</v>
      </c>
      <c r="J181" s="77" t="s">
        <v>13</v>
      </c>
      <c r="K181" s="79" t="s">
        <v>971</v>
      </c>
      <c r="L181" s="7" t="str">
        <f>IF(BudgetsTable[[#This Row],[pi_last_name]]=" ","",HYPERLINK("https://www.ejacket.nsf.gov/ej/showProposal.do?Continue=Y&amp;ID="&amp;BudgetsTable[[#This Row],[prop_id]],BudgetsTable[[#This Row],[prop_id]]))</f>
        <v/>
      </c>
      <c r="M181" s="15" t="str">
        <f>IF(BudgetsTable[[#This Row],[pi_last_name]]=" ","",HYPERLINK("https://www.ejacket.nsf.gov/ej/processReviewAnalysis.do?dispatch=add&amp;uniqId="&amp;BudgetsTable[[#This Row],[prop_id]]&amp;PO_id,"&gt;ra"))</f>
        <v/>
      </c>
      <c r="N181" s="79" t="s">
        <v>13</v>
      </c>
      <c r="O181" s="7" t="str">
        <f>IF(BudgetsTable[[#This Row],[pi_last_name]]=" ","",HYPERLINK("mailto:"&amp;BudgetsTable[[#This Row],[pi_email]]&amp;"&amp;subject=Your NSF Proposal:  "&amp;BudgetsTable[[#This Row],[prop_id]],BudgetsTable[[#This Row],[pi_email]]))</f>
        <v/>
      </c>
      <c r="P181" s="79" t="s">
        <v>13</v>
      </c>
      <c r="Q181" s="79">
        <v>1</v>
      </c>
      <c r="R181" s="79">
        <v>1</v>
      </c>
      <c r="S181" s="80">
        <v>0</v>
      </c>
      <c r="T181" s="80">
        <v>2500</v>
      </c>
      <c r="U181" s="80">
        <v>0</v>
      </c>
      <c r="V181" s="81">
        <v>117310</v>
      </c>
      <c r="W181" s="79">
        <v>0</v>
      </c>
      <c r="X181" s="79">
        <v>3</v>
      </c>
      <c r="Y181" s="11" t="str">
        <f ca="1">IF(ISBLANK(BudgetsTable[[#This Row],[budg_seq_yr]]),"FY"&amp;fiscalyear,"FY"&amp;fiscalyear-1+BudgetsTable[[#This Row],[budg_seq_yr]])</f>
        <v>FY20</v>
      </c>
      <c r="Z181" s="80">
        <v>117310</v>
      </c>
      <c r="AA181" s="79" t="s">
        <v>477</v>
      </c>
      <c r="AB181" s="79" t="s">
        <v>582</v>
      </c>
      <c r="AC181" s="77" t="s">
        <v>94</v>
      </c>
      <c r="AD181" s="79" t="s">
        <v>1439</v>
      </c>
    </row>
    <row r="182" spans="1:30" x14ac:dyDescent="0.4">
      <c r="A182" s="10" t="s">
        <v>971</v>
      </c>
      <c r="B182" s="77" t="s">
        <v>95</v>
      </c>
      <c r="C182" s="77">
        <f>C181+(BudgetsTable[[#This Row],[lead]]&lt;&gt;K181)</f>
        <v>40</v>
      </c>
      <c r="D182" s="77">
        <f>D181*(BudgetsTable[[#This Row],[lead]]=K181)+(BudgetsTable[[#This Row],[prop_id]]&lt;&gt;A181)</f>
        <v>1</v>
      </c>
      <c r="E182" s="78">
        <v>42935.633333333331</v>
      </c>
      <c r="F182" s="79" t="s">
        <v>1430</v>
      </c>
      <c r="G182" s="79" t="s">
        <v>477</v>
      </c>
      <c r="H182" s="79" t="s">
        <v>582</v>
      </c>
      <c r="I182" s="77" t="s">
        <v>604</v>
      </c>
      <c r="J182" s="77" t="s">
        <v>13</v>
      </c>
      <c r="K182" s="79" t="s">
        <v>971</v>
      </c>
      <c r="L182" s="7" t="str">
        <f>IF(BudgetsTable[[#This Row],[pi_last_name]]=" ","",HYPERLINK("https://www.ejacket.nsf.gov/ej/showProposal.do?Continue=Y&amp;ID="&amp;BudgetsTable[[#This Row],[prop_id]],BudgetsTable[[#This Row],[prop_id]]))</f>
        <v/>
      </c>
      <c r="M182" s="15" t="str">
        <f>IF(BudgetsTable[[#This Row],[pi_last_name]]=" ","",HYPERLINK("https://www.ejacket.nsf.gov/ej/processReviewAnalysis.do?dispatch=add&amp;uniqId="&amp;BudgetsTable[[#This Row],[prop_id]]&amp;PO_id,"&gt;ra"))</f>
        <v/>
      </c>
      <c r="N182" s="79" t="s">
        <v>13</v>
      </c>
      <c r="O182" s="7" t="str">
        <f>IF(BudgetsTable[[#This Row],[pi_last_name]]=" ","",HYPERLINK("mailto:"&amp;BudgetsTable[[#This Row],[pi_email]]&amp;"&amp;subject=Your NSF Proposal:  "&amp;BudgetsTable[[#This Row],[prop_id]],BudgetsTable[[#This Row],[pi_email]]))</f>
        <v/>
      </c>
      <c r="P182" s="79" t="s">
        <v>13</v>
      </c>
      <c r="Q182" s="79">
        <v>1</v>
      </c>
      <c r="R182" s="79">
        <v>1</v>
      </c>
      <c r="S182" s="80">
        <v>0</v>
      </c>
      <c r="T182" s="80">
        <v>0</v>
      </c>
      <c r="U182" s="80">
        <v>0</v>
      </c>
      <c r="V182" s="81">
        <v>117472</v>
      </c>
      <c r="W182" s="79">
        <v>0</v>
      </c>
      <c r="X182" s="79">
        <v>4</v>
      </c>
      <c r="Y182" s="11" t="str">
        <f ca="1">IF(ISBLANK(BudgetsTable[[#This Row],[budg_seq_yr]]),"FY"&amp;fiscalyear,"FY"&amp;fiscalyear-1+BudgetsTable[[#This Row],[budg_seq_yr]])</f>
        <v>FY21</v>
      </c>
      <c r="Z182" s="80">
        <v>117472</v>
      </c>
      <c r="AA182" s="79" t="s">
        <v>477</v>
      </c>
      <c r="AB182" s="79" t="s">
        <v>582</v>
      </c>
      <c r="AC182" s="77" t="s">
        <v>94</v>
      </c>
      <c r="AD182" s="79" t="s">
        <v>1439</v>
      </c>
    </row>
    <row r="183" spans="1:30" x14ac:dyDescent="0.4">
      <c r="A183" s="10" t="s">
        <v>971</v>
      </c>
      <c r="B183" s="77" t="s">
        <v>95</v>
      </c>
      <c r="C183" s="77">
        <f>C182+(BudgetsTable[[#This Row],[lead]]&lt;&gt;K182)</f>
        <v>40</v>
      </c>
      <c r="D183" s="77">
        <f>D182*(BudgetsTable[[#This Row],[lead]]=K182)+(BudgetsTable[[#This Row],[prop_id]]&lt;&gt;A182)</f>
        <v>1</v>
      </c>
      <c r="E183" s="78">
        <v>42935.633333333331</v>
      </c>
      <c r="F183" s="79" t="s">
        <v>1430</v>
      </c>
      <c r="G183" s="79" t="s">
        <v>477</v>
      </c>
      <c r="H183" s="79" t="s">
        <v>582</v>
      </c>
      <c r="I183" s="77" t="s">
        <v>604</v>
      </c>
      <c r="J183" s="77" t="s">
        <v>13</v>
      </c>
      <c r="K183" s="79" t="s">
        <v>971</v>
      </c>
      <c r="L183" s="7" t="str">
        <f>IF(BudgetsTable[[#This Row],[pi_last_name]]=" ","",HYPERLINK("https://www.ejacket.nsf.gov/ej/showProposal.do?Continue=Y&amp;ID="&amp;BudgetsTable[[#This Row],[prop_id]],BudgetsTable[[#This Row],[prop_id]]))</f>
        <v/>
      </c>
      <c r="M183" s="15" t="str">
        <f>IF(BudgetsTable[[#This Row],[pi_last_name]]=" ","",HYPERLINK("https://www.ejacket.nsf.gov/ej/processReviewAnalysis.do?dispatch=add&amp;uniqId="&amp;BudgetsTable[[#This Row],[prop_id]]&amp;PO_id,"&gt;ra"))</f>
        <v/>
      </c>
      <c r="N183" s="79" t="s">
        <v>13</v>
      </c>
      <c r="O183" s="7" t="str">
        <f>IF(BudgetsTable[[#This Row],[pi_last_name]]=" ","",HYPERLINK("mailto:"&amp;BudgetsTable[[#This Row],[pi_email]]&amp;"&amp;subject=Your NSF Proposal:  "&amp;BudgetsTable[[#This Row],[prop_id]],BudgetsTable[[#This Row],[pi_email]]))</f>
        <v/>
      </c>
      <c r="P183" s="79" t="s">
        <v>13</v>
      </c>
      <c r="Q183" s="79">
        <v>1</v>
      </c>
      <c r="R183" s="79">
        <v>1</v>
      </c>
      <c r="S183" s="80">
        <v>0</v>
      </c>
      <c r="T183" s="80">
        <v>2500</v>
      </c>
      <c r="U183" s="80">
        <v>0</v>
      </c>
      <c r="V183" s="81">
        <v>121655</v>
      </c>
      <c r="W183" s="79">
        <v>0</v>
      </c>
      <c r="X183" s="79">
        <v>5</v>
      </c>
      <c r="Y183" s="11" t="str">
        <f ca="1">IF(ISBLANK(BudgetsTable[[#This Row],[budg_seq_yr]]),"FY"&amp;fiscalyear,"FY"&amp;fiscalyear-1+BudgetsTable[[#This Row],[budg_seq_yr]])</f>
        <v>FY22</v>
      </c>
      <c r="Z183" s="80">
        <v>121655</v>
      </c>
      <c r="AA183" s="79" t="s">
        <v>477</v>
      </c>
      <c r="AB183" s="79" t="s">
        <v>582</v>
      </c>
      <c r="AC183" s="77" t="s">
        <v>94</v>
      </c>
      <c r="AD183" s="79" t="s">
        <v>1439</v>
      </c>
    </row>
    <row r="184" spans="1:30" x14ac:dyDescent="0.4">
      <c r="A184" s="10" t="s">
        <v>979</v>
      </c>
      <c r="B184" s="77" t="s">
        <v>95</v>
      </c>
      <c r="C184" s="77">
        <f>C183+(BudgetsTable[[#This Row],[lead]]&lt;&gt;K183)</f>
        <v>41</v>
      </c>
      <c r="D184" s="77">
        <f>D183*(BudgetsTable[[#This Row],[lead]]=K183)+(BudgetsTable[[#This Row],[prop_id]]&lt;&gt;A183)</f>
        <v>1</v>
      </c>
      <c r="E184" s="78">
        <v>42935.638888888891</v>
      </c>
      <c r="F184" s="79" t="s">
        <v>1430</v>
      </c>
      <c r="G184" s="79" t="s">
        <v>477</v>
      </c>
      <c r="H184" s="79" t="s">
        <v>582</v>
      </c>
      <c r="I184" s="77" t="s">
        <v>654</v>
      </c>
      <c r="J184" s="77" t="s">
        <v>1576</v>
      </c>
      <c r="K184" s="79" t="s">
        <v>979</v>
      </c>
      <c r="L184" s="7" t="str">
        <f>IF(BudgetsTable[[#This Row],[pi_last_name]]=" ","",HYPERLINK("https://www.ejacket.nsf.gov/ej/showProposal.do?Continue=Y&amp;ID="&amp;BudgetsTable[[#This Row],[prop_id]],BudgetsTable[[#This Row],[prop_id]]))</f>
        <v>1750808</v>
      </c>
      <c r="M184" s="15" t="e">
        <f>IF(BudgetsTable[[#This Row],[pi_last_name]]=" ","",HYPERLINK("https://www.ejacket.nsf.gov/ej/processReviewAnalysis.do?dispatch=add&amp;uniqId="&amp;BudgetsTable[[#This Row],[prop_id]]&amp;PO_id,"&gt;ra"))</f>
        <v>#REF!</v>
      </c>
      <c r="N184" s="79" t="s">
        <v>980</v>
      </c>
      <c r="O184" s="7" t="str">
        <f>IF(BudgetsTable[[#This Row],[pi_last_name]]=" ","",HYPERLINK("mailto:"&amp;BudgetsTable[[#This Row],[pi_email]]&amp;"&amp;subject=Your NSF Proposal:  "&amp;BudgetsTable[[#This Row],[prop_id]],BudgetsTable[[#This Row],[pi_email]]))</f>
        <v>haeupler@cs.cmu.edu</v>
      </c>
      <c r="P184" s="79" t="s">
        <v>497</v>
      </c>
      <c r="Q184" s="79"/>
      <c r="R184" s="79"/>
      <c r="S184" s="80"/>
      <c r="T184" s="80"/>
      <c r="U184" s="80"/>
      <c r="V184" s="81"/>
      <c r="W184" s="79">
        <v>0</v>
      </c>
      <c r="X184" s="79"/>
      <c r="Y184" s="11" t="str">
        <f ca="1">IF(ISBLANK(BudgetsTable[[#This Row],[budg_seq_yr]]),"FY"&amp;fiscalyear,"FY"&amp;fiscalyear-1+BudgetsTable[[#This Row],[budg_seq_yr]])</f>
        <v>FY18</v>
      </c>
      <c r="Z184" s="80">
        <v>613868</v>
      </c>
      <c r="AA184" s="79" t="s">
        <v>477</v>
      </c>
      <c r="AB184" s="79" t="s">
        <v>582</v>
      </c>
      <c r="AC184" s="77" t="s">
        <v>94</v>
      </c>
      <c r="AD184" s="79" t="s">
        <v>1444</v>
      </c>
    </row>
    <row r="185" spans="1:30" x14ac:dyDescent="0.4">
      <c r="A185" s="10" t="s">
        <v>979</v>
      </c>
      <c r="B185" s="77" t="s">
        <v>95</v>
      </c>
      <c r="C185" s="77">
        <f>C184+(BudgetsTable[[#This Row],[lead]]&lt;&gt;K184)</f>
        <v>41</v>
      </c>
      <c r="D185" s="77">
        <f>D184*(BudgetsTable[[#This Row],[lead]]=K184)+(BudgetsTable[[#This Row],[prop_id]]&lt;&gt;A184)</f>
        <v>1</v>
      </c>
      <c r="E185" s="78">
        <v>42935.638888888891</v>
      </c>
      <c r="F185" s="79" t="s">
        <v>1430</v>
      </c>
      <c r="G185" s="79" t="s">
        <v>477</v>
      </c>
      <c r="H185" s="79" t="s">
        <v>582</v>
      </c>
      <c r="I185" s="77" t="s">
        <v>654</v>
      </c>
      <c r="J185" s="77" t="s">
        <v>13</v>
      </c>
      <c r="K185" s="79" t="s">
        <v>979</v>
      </c>
      <c r="L185" s="7" t="str">
        <f>IF(BudgetsTable[[#This Row],[pi_last_name]]=" ","",HYPERLINK("https://www.ejacket.nsf.gov/ej/showProposal.do?Continue=Y&amp;ID="&amp;BudgetsTable[[#This Row],[prop_id]],BudgetsTable[[#This Row],[prop_id]]))</f>
        <v/>
      </c>
      <c r="M185" s="15" t="str">
        <f>IF(BudgetsTable[[#This Row],[pi_last_name]]=" ","",HYPERLINK("https://www.ejacket.nsf.gov/ej/processReviewAnalysis.do?dispatch=add&amp;uniqId="&amp;BudgetsTable[[#This Row],[prop_id]]&amp;PO_id,"&gt;ra"))</f>
        <v/>
      </c>
      <c r="N185" s="79" t="s">
        <v>13</v>
      </c>
      <c r="O185" s="7" t="str">
        <f>IF(BudgetsTable[[#This Row],[pi_last_name]]=" ","",HYPERLINK("mailto:"&amp;BudgetsTable[[#This Row],[pi_email]]&amp;"&amp;subject=Your NSF Proposal:  "&amp;BudgetsTable[[#This Row],[prop_id]],BudgetsTable[[#This Row],[pi_email]]))</f>
        <v/>
      </c>
      <c r="P185" s="79" t="s">
        <v>13</v>
      </c>
      <c r="Q185" s="79">
        <v>1</v>
      </c>
      <c r="R185" s="79">
        <v>0.25</v>
      </c>
      <c r="S185" s="80">
        <v>0</v>
      </c>
      <c r="T185" s="80">
        <v>0</v>
      </c>
      <c r="U185" s="80">
        <v>0</v>
      </c>
      <c r="V185" s="81">
        <v>115623</v>
      </c>
      <c r="W185" s="79">
        <v>0</v>
      </c>
      <c r="X185" s="79">
        <v>1</v>
      </c>
      <c r="Y185" s="11" t="str">
        <f ca="1">IF(ISBLANK(BudgetsTable[[#This Row],[budg_seq_yr]]),"FY"&amp;fiscalyear,"FY"&amp;fiscalyear-1+BudgetsTable[[#This Row],[budg_seq_yr]])</f>
        <v>FY18</v>
      </c>
      <c r="Z185" s="80">
        <v>115623</v>
      </c>
      <c r="AA185" s="79" t="s">
        <v>477</v>
      </c>
      <c r="AB185" s="79" t="s">
        <v>582</v>
      </c>
      <c r="AC185" s="77" t="s">
        <v>94</v>
      </c>
      <c r="AD185" s="79" t="s">
        <v>1444</v>
      </c>
    </row>
    <row r="186" spans="1:30" x14ac:dyDescent="0.4">
      <c r="A186" s="10" t="s">
        <v>979</v>
      </c>
      <c r="B186" s="77" t="s">
        <v>95</v>
      </c>
      <c r="C186" s="77">
        <f>C185+(BudgetsTable[[#This Row],[lead]]&lt;&gt;K185)</f>
        <v>41</v>
      </c>
      <c r="D186" s="77">
        <f>D185*(BudgetsTable[[#This Row],[lead]]=K185)+(BudgetsTable[[#This Row],[prop_id]]&lt;&gt;A185)</f>
        <v>1</v>
      </c>
      <c r="E186" s="78">
        <v>42935.638888888891</v>
      </c>
      <c r="F186" s="79" t="s">
        <v>1430</v>
      </c>
      <c r="G186" s="79" t="s">
        <v>477</v>
      </c>
      <c r="H186" s="79" t="s">
        <v>582</v>
      </c>
      <c r="I186" s="77" t="s">
        <v>654</v>
      </c>
      <c r="J186" s="77" t="s">
        <v>13</v>
      </c>
      <c r="K186" s="79" t="s">
        <v>979</v>
      </c>
      <c r="L186" s="7" t="str">
        <f>IF(BudgetsTable[[#This Row],[pi_last_name]]=" ","",HYPERLINK("https://www.ejacket.nsf.gov/ej/showProposal.do?Continue=Y&amp;ID="&amp;BudgetsTable[[#This Row],[prop_id]],BudgetsTable[[#This Row],[prop_id]]))</f>
        <v/>
      </c>
      <c r="M186" s="15" t="str">
        <f>IF(BudgetsTable[[#This Row],[pi_last_name]]=" ","",HYPERLINK("https://www.ejacket.nsf.gov/ej/processReviewAnalysis.do?dispatch=add&amp;uniqId="&amp;BudgetsTable[[#This Row],[prop_id]]&amp;PO_id,"&gt;ra"))</f>
        <v/>
      </c>
      <c r="N186" s="79" t="s">
        <v>13</v>
      </c>
      <c r="O186" s="7" t="str">
        <f>IF(BudgetsTable[[#This Row],[pi_last_name]]=" ","",HYPERLINK("mailto:"&amp;BudgetsTable[[#This Row],[pi_email]]&amp;"&amp;subject=Your NSF Proposal:  "&amp;BudgetsTable[[#This Row],[prop_id]],BudgetsTable[[#This Row],[pi_email]]))</f>
        <v/>
      </c>
      <c r="P186" s="79" t="s">
        <v>13</v>
      </c>
      <c r="Q186" s="79">
        <v>1</v>
      </c>
      <c r="R186" s="79">
        <v>0.25</v>
      </c>
      <c r="S186" s="80">
        <v>0</v>
      </c>
      <c r="T186" s="80">
        <v>0</v>
      </c>
      <c r="U186" s="80">
        <v>0</v>
      </c>
      <c r="V186" s="81">
        <v>119088</v>
      </c>
      <c r="W186" s="79">
        <v>0</v>
      </c>
      <c r="X186" s="79">
        <v>2</v>
      </c>
      <c r="Y186" s="11" t="str">
        <f ca="1">IF(ISBLANK(BudgetsTable[[#This Row],[budg_seq_yr]]),"FY"&amp;fiscalyear,"FY"&amp;fiscalyear-1+BudgetsTable[[#This Row],[budg_seq_yr]])</f>
        <v>FY19</v>
      </c>
      <c r="Z186" s="80">
        <v>119088</v>
      </c>
      <c r="AA186" s="79" t="s">
        <v>477</v>
      </c>
      <c r="AB186" s="79" t="s">
        <v>582</v>
      </c>
      <c r="AC186" s="77" t="s">
        <v>94</v>
      </c>
      <c r="AD186" s="79" t="s">
        <v>1444</v>
      </c>
    </row>
    <row r="187" spans="1:30" x14ac:dyDescent="0.4">
      <c r="A187" s="10" t="s">
        <v>979</v>
      </c>
      <c r="B187" s="77" t="s">
        <v>95</v>
      </c>
      <c r="C187" s="77">
        <f>C186+(BudgetsTable[[#This Row],[lead]]&lt;&gt;K186)</f>
        <v>41</v>
      </c>
      <c r="D187" s="77">
        <f>D186*(BudgetsTable[[#This Row],[lead]]=K186)+(BudgetsTable[[#This Row],[prop_id]]&lt;&gt;A186)</f>
        <v>1</v>
      </c>
      <c r="E187" s="78">
        <v>42935.638888888891</v>
      </c>
      <c r="F187" s="79" t="s">
        <v>1430</v>
      </c>
      <c r="G187" s="79" t="s">
        <v>477</v>
      </c>
      <c r="H187" s="79" t="s">
        <v>582</v>
      </c>
      <c r="I187" s="77" t="s">
        <v>654</v>
      </c>
      <c r="J187" s="77" t="s">
        <v>13</v>
      </c>
      <c r="K187" s="79" t="s">
        <v>979</v>
      </c>
      <c r="L187" s="7" t="str">
        <f>IF(BudgetsTable[[#This Row],[pi_last_name]]=" ","",HYPERLINK("https://www.ejacket.nsf.gov/ej/showProposal.do?Continue=Y&amp;ID="&amp;BudgetsTable[[#This Row],[prop_id]],BudgetsTable[[#This Row],[prop_id]]))</f>
        <v/>
      </c>
      <c r="M187" s="15" t="str">
        <f>IF(BudgetsTable[[#This Row],[pi_last_name]]=" ","",HYPERLINK("https://www.ejacket.nsf.gov/ej/processReviewAnalysis.do?dispatch=add&amp;uniqId="&amp;BudgetsTable[[#This Row],[prop_id]]&amp;PO_id,"&gt;ra"))</f>
        <v/>
      </c>
      <c r="N187" s="79" t="s">
        <v>13</v>
      </c>
      <c r="O187" s="7" t="str">
        <f>IF(BudgetsTable[[#This Row],[pi_last_name]]=" ","",HYPERLINK("mailto:"&amp;BudgetsTable[[#This Row],[pi_email]]&amp;"&amp;subject=Your NSF Proposal:  "&amp;BudgetsTable[[#This Row],[prop_id]],BudgetsTable[[#This Row],[pi_email]]))</f>
        <v/>
      </c>
      <c r="P187" s="79" t="s">
        <v>13</v>
      </c>
      <c r="Q187" s="79">
        <v>1</v>
      </c>
      <c r="R187" s="79">
        <v>0.25</v>
      </c>
      <c r="S187" s="80">
        <v>0</v>
      </c>
      <c r="T187" s="80">
        <v>0</v>
      </c>
      <c r="U187" s="80">
        <v>0</v>
      </c>
      <c r="V187" s="81">
        <v>122665</v>
      </c>
      <c r="W187" s="79">
        <v>0</v>
      </c>
      <c r="X187" s="79">
        <v>3</v>
      </c>
      <c r="Y187" s="11" t="str">
        <f ca="1">IF(ISBLANK(BudgetsTable[[#This Row],[budg_seq_yr]]),"FY"&amp;fiscalyear,"FY"&amp;fiscalyear-1+BudgetsTable[[#This Row],[budg_seq_yr]])</f>
        <v>FY20</v>
      </c>
      <c r="Z187" s="80">
        <v>122665</v>
      </c>
      <c r="AA187" s="79" t="s">
        <v>477</v>
      </c>
      <c r="AB187" s="79" t="s">
        <v>582</v>
      </c>
      <c r="AC187" s="77" t="s">
        <v>94</v>
      </c>
      <c r="AD187" s="79" t="s">
        <v>1444</v>
      </c>
    </row>
    <row r="188" spans="1:30" x14ac:dyDescent="0.4">
      <c r="A188" s="10" t="s">
        <v>979</v>
      </c>
      <c r="B188" s="77" t="s">
        <v>95</v>
      </c>
      <c r="C188" s="77">
        <f>C187+(BudgetsTable[[#This Row],[lead]]&lt;&gt;K187)</f>
        <v>41</v>
      </c>
      <c r="D188" s="77">
        <f>D187*(BudgetsTable[[#This Row],[lead]]=K187)+(BudgetsTable[[#This Row],[prop_id]]&lt;&gt;A187)</f>
        <v>1</v>
      </c>
      <c r="E188" s="78">
        <v>42935.638888888891</v>
      </c>
      <c r="F188" s="79" t="s">
        <v>1430</v>
      </c>
      <c r="G188" s="79" t="s">
        <v>477</v>
      </c>
      <c r="H188" s="79" t="s">
        <v>582</v>
      </c>
      <c r="I188" s="77" t="s">
        <v>654</v>
      </c>
      <c r="J188" s="77" t="s">
        <v>13</v>
      </c>
      <c r="K188" s="79" t="s">
        <v>979</v>
      </c>
      <c r="L188" s="7" t="str">
        <f>IF(BudgetsTable[[#This Row],[pi_last_name]]=" ","",HYPERLINK("https://www.ejacket.nsf.gov/ej/showProposal.do?Continue=Y&amp;ID="&amp;BudgetsTable[[#This Row],[prop_id]],BudgetsTable[[#This Row],[prop_id]]))</f>
        <v/>
      </c>
      <c r="M188" s="15" t="str">
        <f>IF(BudgetsTable[[#This Row],[pi_last_name]]=" ","",HYPERLINK("https://www.ejacket.nsf.gov/ej/processReviewAnalysis.do?dispatch=add&amp;uniqId="&amp;BudgetsTable[[#This Row],[prop_id]]&amp;PO_id,"&gt;ra"))</f>
        <v/>
      </c>
      <c r="N188" s="79" t="s">
        <v>13</v>
      </c>
      <c r="O188" s="7" t="str">
        <f>IF(BudgetsTable[[#This Row],[pi_last_name]]=" ","",HYPERLINK("mailto:"&amp;BudgetsTable[[#This Row],[pi_email]]&amp;"&amp;subject=Your NSF Proposal:  "&amp;BudgetsTable[[#This Row],[prop_id]],BudgetsTable[[#This Row],[pi_email]]))</f>
        <v/>
      </c>
      <c r="P188" s="79" t="s">
        <v>13</v>
      </c>
      <c r="Q188" s="79">
        <v>1</v>
      </c>
      <c r="R188" s="79">
        <v>0.25</v>
      </c>
      <c r="S188" s="80">
        <v>0</v>
      </c>
      <c r="T188" s="80">
        <v>0</v>
      </c>
      <c r="U188" s="80">
        <v>0</v>
      </c>
      <c r="V188" s="81">
        <v>126351</v>
      </c>
      <c r="W188" s="79">
        <v>0</v>
      </c>
      <c r="X188" s="79">
        <v>4</v>
      </c>
      <c r="Y188" s="11" t="str">
        <f ca="1">IF(ISBLANK(BudgetsTable[[#This Row],[budg_seq_yr]]),"FY"&amp;fiscalyear,"FY"&amp;fiscalyear-1+BudgetsTable[[#This Row],[budg_seq_yr]])</f>
        <v>FY21</v>
      </c>
      <c r="Z188" s="80">
        <v>126351</v>
      </c>
      <c r="AA188" s="79" t="s">
        <v>477</v>
      </c>
      <c r="AB188" s="79" t="s">
        <v>582</v>
      </c>
      <c r="AC188" s="77" t="s">
        <v>94</v>
      </c>
      <c r="AD188" s="79" t="s">
        <v>1444</v>
      </c>
    </row>
    <row r="189" spans="1:30" x14ac:dyDescent="0.4">
      <c r="A189" s="10" t="s">
        <v>979</v>
      </c>
      <c r="B189" s="77" t="s">
        <v>95</v>
      </c>
      <c r="C189" s="77">
        <f>C188+(BudgetsTable[[#This Row],[lead]]&lt;&gt;K188)</f>
        <v>41</v>
      </c>
      <c r="D189" s="77">
        <f>D188*(BudgetsTable[[#This Row],[lead]]=K188)+(BudgetsTable[[#This Row],[prop_id]]&lt;&gt;A188)</f>
        <v>1</v>
      </c>
      <c r="E189" s="78">
        <v>42935.638888888891</v>
      </c>
      <c r="F189" s="79" t="s">
        <v>1430</v>
      </c>
      <c r="G189" s="79" t="s">
        <v>477</v>
      </c>
      <c r="H189" s="79" t="s">
        <v>582</v>
      </c>
      <c r="I189" s="77" t="s">
        <v>654</v>
      </c>
      <c r="J189" s="77" t="s">
        <v>13</v>
      </c>
      <c r="K189" s="79" t="s">
        <v>979</v>
      </c>
      <c r="L189" s="7" t="str">
        <f>IF(BudgetsTable[[#This Row],[pi_last_name]]=" ","",HYPERLINK("https://www.ejacket.nsf.gov/ej/showProposal.do?Continue=Y&amp;ID="&amp;BudgetsTable[[#This Row],[prop_id]],BudgetsTable[[#This Row],[prop_id]]))</f>
        <v/>
      </c>
      <c r="M189" s="15" t="str">
        <f>IF(BudgetsTable[[#This Row],[pi_last_name]]=" ","",HYPERLINK("https://www.ejacket.nsf.gov/ej/processReviewAnalysis.do?dispatch=add&amp;uniqId="&amp;BudgetsTable[[#This Row],[prop_id]]&amp;PO_id,"&gt;ra"))</f>
        <v/>
      </c>
      <c r="N189" s="79" t="s">
        <v>13</v>
      </c>
      <c r="O189" s="7" t="str">
        <f>IF(BudgetsTable[[#This Row],[pi_last_name]]=" ","",HYPERLINK("mailto:"&amp;BudgetsTable[[#This Row],[pi_email]]&amp;"&amp;subject=Your NSF Proposal:  "&amp;BudgetsTable[[#This Row],[prop_id]],BudgetsTable[[#This Row],[pi_email]]))</f>
        <v/>
      </c>
      <c r="P189" s="79" t="s">
        <v>13</v>
      </c>
      <c r="Q189" s="79">
        <v>1</v>
      </c>
      <c r="R189" s="79">
        <v>0.25</v>
      </c>
      <c r="S189" s="80">
        <v>0</v>
      </c>
      <c r="T189" s="80">
        <v>0</v>
      </c>
      <c r="U189" s="80">
        <v>0</v>
      </c>
      <c r="V189" s="81">
        <v>130141</v>
      </c>
      <c r="W189" s="79">
        <v>0</v>
      </c>
      <c r="X189" s="79">
        <v>5</v>
      </c>
      <c r="Y189" s="11" t="str">
        <f ca="1">IF(ISBLANK(BudgetsTable[[#This Row],[budg_seq_yr]]),"FY"&amp;fiscalyear,"FY"&amp;fiscalyear-1+BudgetsTable[[#This Row],[budg_seq_yr]])</f>
        <v>FY22</v>
      </c>
      <c r="Z189" s="80">
        <v>130141</v>
      </c>
      <c r="AA189" s="79" t="s">
        <v>477</v>
      </c>
      <c r="AB189" s="79" t="s">
        <v>582</v>
      </c>
      <c r="AC189" s="77" t="s">
        <v>94</v>
      </c>
      <c r="AD189" s="79" t="s">
        <v>1444</v>
      </c>
    </row>
    <row r="190" spans="1:30" x14ac:dyDescent="0.4">
      <c r="A190" s="10" t="s">
        <v>992</v>
      </c>
      <c r="B190" s="77" t="s">
        <v>95</v>
      </c>
      <c r="C190" s="77">
        <f>C189+(BudgetsTable[[#This Row],[lead]]&lt;&gt;K189)</f>
        <v>42</v>
      </c>
      <c r="D190" s="77">
        <f>D189*(BudgetsTable[[#This Row],[lead]]=K189)+(BudgetsTable[[#This Row],[prop_id]]&lt;&gt;A189)</f>
        <v>1</v>
      </c>
      <c r="E190" s="78">
        <v>42935.654166666667</v>
      </c>
      <c r="F190" s="79" t="s">
        <v>1430</v>
      </c>
      <c r="G190" s="79" t="s">
        <v>477</v>
      </c>
      <c r="H190" s="79" t="s">
        <v>582</v>
      </c>
      <c r="I190" s="77" t="s">
        <v>611</v>
      </c>
      <c r="J190" s="77" t="s">
        <v>1581</v>
      </c>
      <c r="K190" s="79" t="s">
        <v>992</v>
      </c>
      <c r="L190" s="7" t="str">
        <f>IF(BudgetsTable[[#This Row],[pi_last_name]]=" ","",HYPERLINK("https://www.ejacket.nsf.gov/ej/showProposal.do?Continue=Y&amp;ID="&amp;BudgetsTable[[#This Row],[prop_id]],BudgetsTable[[#This Row],[prop_id]]))</f>
        <v>1750893</v>
      </c>
      <c r="M190" s="15" t="e">
        <f>IF(BudgetsTable[[#This Row],[pi_last_name]]=" ","",HYPERLINK("https://www.ejacket.nsf.gov/ej/processReviewAnalysis.do?dispatch=add&amp;uniqId="&amp;BudgetsTable[[#This Row],[prop_id]]&amp;PO_id,"&gt;ra"))</f>
        <v>#REF!</v>
      </c>
      <c r="N190" s="79" t="s">
        <v>993</v>
      </c>
      <c r="O190" s="7" t="str">
        <f>IF(BudgetsTable[[#This Row],[pi_last_name]]=" ","",HYPERLINK("mailto:"&amp;BudgetsTable[[#This Row],[pi_email]]&amp;"&amp;subject=Your NSF Proposal:  "&amp;BudgetsTable[[#This Row],[prop_id]],BudgetsTable[[#This Row],[pi_email]]))</f>
        <v>nxie@cs.fiu.edu</v>
      </c>
      <c r="P190" s="79" t="s">
        <v>1578</v>
      </c>
      <c r="Q190" s="79"/>
      <c r="R190" s="79"/>
      <c r="S190" s="80"/>
      <c r="T190" s="80"/>
      <c r="U190" s="80"/>
      <c r="V190" s="81"/>
      <c r="W190" s="79">
        <v>0</v>
      </c>
      <c r="X190" s="79"/>
      <c r="Y190" s="11" t="str">
        <f ca="1">IF(ISBLANK(BudgetsTable[[#This Row],[budg_seq_yr]]),"FY"&amp;fiscalyear,"FY"&amp;fiscalyear-1+BudgetsTable[[#This Row],[budg_seq_yr]])</f>
        <v>FY18</v>
      </c>
      <c r="Z190" s="80">
        <v>520820</v>
      </c>
      <c r="AA190" s="79" t="s">
        <v>477</v>
      </c>
      <c r="AB190" s="79" t="s">
        <v>582</v>
      </c>
      <c r="AC190" s="77" t="s">
        <v>94</v>
      </c>
      <c r="AD190" s="79" t="s">
        <v>1469</v>
      </c>
    </row>
    <row r="191" spans="1:30" x14ac:dyDescent="0.4">
      <c r="A191" s="10" t="s">
        <v>992</v>
      </c>
      <c r="B191" s="77" t="s">
        <v>95</v>
      </c>
      <c r="C191" s="77">
        <f>C190+(BudgetsTable[[#This Row],[lead]]&lt;&gt;K190)</f>
        <v>42</v>
      </c>
      <c r="D191" s="77">
        <f>D190*(BudgetsTable[[#This Row],[lead]]=K190)+(BudgetsTable[[#This Row],[prop_id]]&lt;&gt;A190)</f>
        <v>1</v>
      </c>
      <c r="E191" s="78">
        <v>42935.654166666667</v>
      </c>
      <c r="F191" s="79" t="s">
        <v>1430</v>
      </c>
      <c r="G191" s="79" t="s">
        <v>477</v>
      </c>
      <c r="H191" s="79" t="s">
        <v>582</v>
      </c>
      <c r="I191" s="77" t="s">
        <v>611</v>
      </c>
      <c r="J191" s="77" t="s">
        <v>13</v>
      </c>
      <c r="K191" s="79" t="s">
        <v>992</v>
      </c>
      <c r="L191" s="7" t="str">
        <f>IF(BudgetsTable[[#This Row],[pi_last_name]]=" ","",HYPERLINK("https://www.ejacket.nsf.gov/ej/showProposal.do?Continue=Y&amp;ID="&amp;BudgetsTable[[#This Row],[prop_id]],BudgetsTable[[#This Row],[prop_id]]))</f>
        <v/>
      </c>
      <c r="M191" s="15" t="str">
        <f>IF(BudgetsTable[[#This Row],[pi_last_name]]=" ","",HYPERLINK("https://www.ejacket.nsf.gov/ej/processReviewAnalysis.do?dispatch=add&amp;uniqId="&amp;BudgetsTable[[#This Row],[prop_id]]&amp;PO_id,"&gt;ra"))</f>
        <v/>
      </c>
      <c r="N191" s="79" t="s">
        <v>13</v>
      </c>
      <c r="O191" s="7" t="str">
        <f>IF(BudgetsTable[[#This Row],[pi_last_name]]=" ","",HYPERLINK("mailto:"&amp;BudgetsTable[[#This Row],[pi_email]]&amp;"&amp;subject=Your NSF Proposal:  "&amp;BudgetsTable[[#This Row],[prop_id]],BudgetsTable[[#This Row],[pi_email]]))</f>
        <v/>
      </c>
      <c r="P191" s="79" t="s">
        <v>13</v>
      </c>
      <c r="Q191" s="79">
        <v>1</v>
      </c>
      <c r="R191" s="79">
        <v>1.5</v>
      </c>
      <c r="S191" s="80">
        <v>0</v>
      </c>
      <c r="T191" s="80">
        <v>3000</v>
      </c>
      <c r="U191" s="80">
        <v>0</v>
      </c>
      <c r="V191" s="81">
        <v>98632</v>
      </c>
      <c r="W191" s="79">
        <v>0</v>
      </c>
      <c r="X191" s="79">
        <v>1</v>
      </c>
      <c r="Y191" s="11" t="str">
        <f ca="1">IF(ISBLANK(BudgetsTable[[#This Row],[budg_seq_yr]]),"FY"&amp;fiscalyear,"FY"&amp;fiscalyear-1+BudgetsTable[[#This Row],[budg_seq_yr]])</f>
        <v>FY18</v>
      </c>
      <c r="Z191" s="80">
        <v>98632</v>
      </c>
      <c r="AA191" s="79" t="s">
        <v>477</v>
      </c>
      <c r="AB191" s="79" t="s">
        <v>582</v>
      </c>
      <c r="AC191" s="77" t="s">
        <v>94</v>
      </c>
      <c r="AD191" s="79" t="s">
        <v>1469</v>
      </c>
    </row>
    <row r="192" spans="1:30" x14ac:dyDescent="0.4">
      <c r="A192" s="10" t="s">
        <v>992</v>
      </c>
      <c r="B192" s="77" t="s">
        <v>95</v>
      </c>
      <c r="C192" s="77">
        <f>C191+(BudgetsTable[[#This Row],[lead]]&lt;&gt;K191)</f>
        <v>42</v>
      </c>
      <c r="D192" s="77">
        <f>D191*(BudgetsTable[[#This Row],[lead]]=K191)+(BudgetsTable[[#This Row],[prop_id]]&lt;&gt;A191)</f>
        <v>1</v>
      </c>
      <c r="E192" s="78">
        <v>42935.654166666667</v>
      </c>
      <c r="F192" s="79" t="s">
        <v>1430</v>
      </c>
      <c r="G192" s="79" t="s">
        <v>477</v>
      </c>
      <c r="H192" s="79" t="s">
        <v>582</v>
      </c>
      <c r="I192" s="77" t="s">
        <v>611</v>
      </c>
      <c r="J192" s="77" t="s">
        <v>13</v>
      </c>
      <c r="K192" s="79" t="s">
        <v>992</v>
      </c>
      <c r="L192" s="7" t="str">
        <f>IF(BudgetsTable[[#This Row],[pi_last_name]]=" ","",HYPERLINK("https://www.ejacket.nsf.gov/ej/showProposal.do?Continue=Y&amp;ID="&amp;BudgetsTable[[#This Row],[prop_id]],BudgetsTable[[#This Row],[prop_id]]))</f>
        <v/>
      </c>
      <c r="M192" s="15" t="str">
        <f>IF(BudgetsTable[[#This Row],[pi_last_name]]=" ","",HYPERLINK("https://www.ejacket.nsf.gov/ej/processReviewAnalysis.do?dispatch=add&amp;uniqId="&amp;BudgetsTable[[#This Row],[prop_id]]&amp;PO_id,"&gt;ra"))</f>
        <v/>
      </c>
      <c r="N192" s="79" t="s">
        <v>13</v>
      </c>
      <c r="O192" s="7" t="str">
        <f>IF(BudgetsTable[[#This Row],[pi_last_name]]=" ","",HYPERLINK("mailto:"&amp;BudgetsTable[[#This Row],[pi_email]]&amp;"&amp;subject=Your NSF Proposal:  "&amp;BudgetsTable[[#This Row],[prop_id]],BudgetsTable[[#This Row],[pi_email]]))</f>
        <v/>
      </c>
      <c r="P192" s="79" t="s">
        <v>13</v>
      </c>
      <c r="Q192" s="79">
        <v>1</v>
      </c>
      <c r="R192" s="79">
        <v>1.5</v>
      </c>
      <c r="S192" s="80">
        <v>0</v>
      </c>
      <c r="T192" s="80">
        <v>3000</v>
      </c>
      <c r="U192" s="80">
        <v>0</v>
      </c>
      <c r="V192" s="81">
        <v>101305</v>
      </c>
      <c r="W192" s="79">
        <v>0</v>
      </c>
      <c r="X192" s="79">
        <v>2</v>
      </c>
      <c r="Y192" s="11" t="str">
        <f ca="1">IF(ISBLANK(BudgetsTable[[#This Row],[budg_seq_yr]]),"FY"&amp;fiscalyear,"FY"&amp;fiscalyear-1+BudgetsTable[[#This Row],[budg_seq_yr]])</f>
        <v>FY19</v>
      </c>
      <c r="Z192" s="80">
        <v>101305</v>
      </c>
      <c r="AA192" s="79" t="s">
        <v>477</v>
      </c>
      <c r="AB192" s="79" t="s">
        <v>582</v>
      </c>
      <c r="AC192" s="77" t="s">
        <v>94</v>
      </c>
      <c r="AD192" s="79" t="s">
        <v>1469</v>
      </c>
    </row>
    <row r="193" spans="1:30" x14ac:dyDescent="0.4">
      <c r="A193" s="10" t="s">
        <v>992</v>
      </c>
      <c r="B193" s="77" t="s">
        <v>95</v>
      </c>
      <c r="C193" s="77">
        <f>C192+(BudgetsTable[[#This Row],[lead]]&lt;&gt;K192)</f>
        <v>42</v>
      </c>
      <c r="D193" s="77">
        <f>D192*(BudgetsTable[[#This Row],[lead]]=K192)+(BudgetsTable[[#This Row],[prop_id]]&lt;&gt;A192)</f>
        <v>1</v>
      </c>
      <c r="E193" s="78">
        <v>42935.654166666667</v>
      </c>
      <c r="F193" s="79" t="s">
        <v>1430</v>
      </c>
      <c r="G193" s="79" t="s">
        <v>477</v>
      </c>
      <c r="H193" s="79" t="s">
        <v>582</v>
      </c>
      <c r="I193" s="77" t="s">
        <v>611</v>
      </c>
      <c r="J193" s="77" t="s">
        <v>13</v>
      </c>
      <c r="K193" s="79" t="s">
        <v>992</v>
      </c>
      <c r="L193" s="7" t="str">
        <f>IF(BudgetsTable[[#This Row],[pi_last_name]]=" ","",HYPERLINK("https://www.ejacket.nsf.gov/ej/showProposal.do?Continue=Y&amp;ID="&amp;BudgetsTable[[#This Row],[prop_id]],BudgetsTable[[#This Row],[prop_id]]))</f>
        <v/>
      </c>
      <c r="M193" s="15" t="str">
        <f>IF(BudgetsTable[[#This Row],[pi_last_name]]=" ","",HYPERLINK("https://www.ejacket.nsf.gov/ej/processReviewAnalysis.do?dispatch=add&amp;uniqId="&amp;BudgetsTable[[#This Row],[prop_id]]&amp;PO_id,"&gt;ra"))</f>
        <v/>
      </c>
      <c r="N193" s="79" t="s">
        <v>13</v>
      </c>
      <c r="O193" s="7" t="str">
        <f>IF(BudgetsTable[[#This Row],[pi_last_name]]=" ","",HYPERLINK("mailto:"&amp;BudgetsTable[[#This Row],[pi_email]]&amp;"&amp;subject=Your NSF Proposal:  "&amp;BudgetsTable[[#This Row],[prop_id]],BudgetsTable[[#This Row],[pi_email]]))</f>
        <v/>
      </c>
      <c r="P193" s="79" t="s">
        <v>13</v>
      </c>
      <c r="Q193" s="79">
        <v>1</v>
      </c>
      <c r="R193" s="79">
        <v>1.5</v>
      </c>
      <c r="S193" s="80">
        <v>0</v>
      </c>
      <c r="T193" s="80">
        <v>3000</v>
      </c>
      <c r="U193" s="80">
        <v>0</v>
      </c>
      <c r="V193" s="81">
        <v>104071</v>
      </c>
      <c r="W193" s="79">
        <v>0</v>
      </c>
      <c r="X193" s="79">
        <v>3</v>
      </c>
      <c r="Y193" s="11" t="str">
        <f ca="1">IF(ISBLANK(BudgetsTable[[#This Row],[budg_seq_yr]]),"FY"&amp;fiscalyear,"FY"&amp;fiscalyear-1+BudgetsTable[[#This Row],[budg_seq_yr]])</f>
        <v>FY20</v>
      </c>
      <c r="Z193" s="80">
        <v>104071</v>
      </c>
      <c r="AA193" s="79" t="s">
        <v>477</v>
      </c>
      <c r="AB193" s="79" t="s">
        <v>582</v>
      </c>
      <c r="AC193" s="77" t="s">
        <v>94</v>
      </c>
      <c r="AD193" s="79" t="s">
        <v>1469</v>
      </c>
    </row>
    <row r="194" spans="1:30" x14ac:dyDescent="0.4">
      <c r="A194" s="10" t="s">
        <v>992</v>
      </c>
      <c r="B194" s="77" t="s">
        <v>95</v>
      </c>
      <c r="C194" s="77">
        <f>C193+(BudgetsTable[[#This Row],[lead]]&lt;&gt;K193)</f>
        <v>42</v>
      </c>
      <c r="D194" s="77">
        <f>D193*(BudgetsTable[[#This Row],[lead]]=K193)+(BudgetsTable[[#This Row],[prop_id]]&lt;&gt;A193)</f>
        <v>1</v>
      </c>
      <c r="E194" s="78">
        <v>42935.654166666667</v>
      </c>
      <c r="F194" s="79" t="s">
        <v>1430</v>
      </c>
      <c r="G194" s="79" t="s">
        <v>477</v>
      </c>
      <c r="H194" s="79" t="s">
        <v>582</v>
      </c>
      <c r="I194" s="77" t="s">
        <v>611</v>
      </c>
      <c r="J194" s="77" t="s">
        <v>13</v>
      </c>
      <c r="K194" s="79" t="s">
        <v>992</v>
      </c>
      <c r="L194" s="7" t="str">
        <f>IF(BudgetsTable[[#This Row],[pi_last_name]]=" ","",HYPERLINK("https://www.ejacket.nsf.gov/ej/showProposal.do?Continue=Y&amp;ID="&amp;BudgetsTable[[#This Row],[prop_id]],BudgetsTable[[#This Row],[prop_id]]))</f>
        <v/>
      </c>
      <c r="M194" s="15" t="str">
        <f>IF(BudgetsTable[[#This Row],[pi_last_name]]=" ","",HYPERLINK("https://www.ejacket.nsf.gov/ej/processReviewAnalysis.do?dispatch=add&amp;uniqId="&amp;BudgetsTable[[#This Row],[prop_id]]&amp;PO_id,"&gt;ra"))</f>
        <v/>
      </c>
      <c r="N194" s="79" t="s">
        <v>13</v>
      </c>
      <c r="O194" s="7" t="str">
        <f>IF(BudgetsTable[[#This Row],[pi_last_name]]=" ","",HYPERLINK("mailto:"&amp;BudgetsTable[[#This Row],[pi_email]]&amp;"&amp;subject=Your NSF Proposal:  "&amp;BudgetsTable[[#This Row],[prop_id]],BudgetsTable[[#This Row],[pi_email]]))</f>
        <v/>
      </c>
      <c r="P194" s="79" t="s">
        <v>13</v>
      </c>
      <c r="Q194" s="79">
        <v>1</v>
      </c>
      <c r="R194" s="79">
        <v>1.5</v>
      </c>
      <c r="S194" s="80">
        <v>0</v>
      </c>
      <c r="T194" s="80">
        <v>3000</v>
      </c>
      <c r="U194" s="80">
        <v>0</v>
      </c>
      <c r="V194" s="81">
        <v>106929</v>
      </c>
      <c r="W194" s="79">
        <v>0</v>
      </c>
      <c r="X194" s="79">
        <v>4</v>
      </c>
      <c r="Y194" s="11" t="str">
        <f ca="1">IF(ISBLANK(BudgetsTable[[#This Row],[budg_seq_yr]]),"FY"&amp;fiscalyear,"FY"&amp;fiscalyear-1+BudgetsTable[[#This Row],[budg_seq_yr]])</f>
        <v>FY21</v>
      </c>
      <c r="Z194" s="80">
        <v>106929</v>
      </c>
      <c r="AA194" s="79" t="s">
        <v>477</v>
      </c>
      <c r="AB194" s="79" t="s">
        <v>582</v>
      </c>
      <c r="AC194" s="77" t="s">
        <v>94</v>
      </c>
      <c r="AD194" s="79" t="s">
        <v>1469</v>
      </c>
    </row>
    <row r="195" spans="1:30" x14ac:dyDescent="0.4">
      <c r="A195" s="10" t="s">
        <v>992</v>
      </c>
      <c r="B195" s="77" t="s">
        <v>95</v>
      </c>
      <c r="C195" s="77">
        <f>C194+(BudgetsTable[[#This Row],[lead]]&lt;&gt;K194)</f>
        <v>42</v>
      </c>
      <c r="D195" s="77">
        <f>D194*(BudgetsTable[[#This Row],[lead]]=K194)+(BudgetsTable[[#This Row],[prop_id]]&lt;&gt;A194)</f>
        <v>1</v>
      </c>
      <c r="E195" s="78">
        <v>42935.654166666667</v>
      </c>
      <c r="F195" s="79" t="s">
        <v>1430</v>
      </c>
      <c r="G195" s="79" t="s">
        <v>477</v>
      </c>
      <c r="H195" s="79" t="s">
        <v>582</v>
      </c>
      <c r="I195" s="77" t="s">
        <v>611</v>
      </c>
      <c r="J195" s="77" t="s">
        <v>13</v>
      </c>
      <c r="K195" s="79" t="s">
        <v>992</v>
      </c>
      <c r="L195" s="7" t="str">
        <f>IF(BudgetsTable[[#This Row],[pi_last_name]]=" ","",HYPERLINK("https://www.ejacket.nsf.gov/ej/showProposal.do?Continue=Y&amp;ID="&amp;BudgetsTable[[#This Row],[prop_id]],BudgetsTable[[#This Row],[prop_id]]))</f>
        <v/>
      </c>
      <c r="M195" s="15" t="str">
        <f>IF(BudgetsTable[[#This Row],[pi_last_name]]=" ","",HYPERLINK("https://www.ejacket.nsf.gov/ej/processReviewAnalysis.do?dispatch=add&amp;uniqId="&amp;BudgetsTable[[#This Row],[prop_id]]&amp;PO_id,"&gt;ra"))</f>
        <v/>
      </c>
      <c r="N195" s="79" t="s">
        <v>13</v>
      </c>
      <c r="O195" s="7" t="str">
        <f>IF(BudgetsTable[[#This Row],[pi_last_name]]=" ","",HYPERLINK("mailto:"&amp;BudgetsTable[[#This Row],[pi_email]]&amp;"&amp;subject=Your NSF Proposal:  "&amp;BudgetsTable[[#This Row],[prop_id]],BudgetsTable[[#This Row],[pi_email]]))</f>
        <v/>
      </c>
      <c r="P195" s="79" t="s">
        <v>13</v>
      </c>
      <c r="Q195" s="79">
        <v>1</v>
      </c>
      <c r="R195" s="79">
        <v>1.5</v>
      </c>
      <c r="S195" s="80">
        <v>0</v>
      </c>
      <c r="T195" s="80">
        <v>3000</v>
      </c>
      <c r="U195" s="80">
        <v>0</v>
      </c>
      <c r="V195" s="81">
        <v>109883</v>
      </c>
      <c r="W195" s="79">
        <v>0</v>
      </c>
      <c r="X195" s="79">
        <v>5</v>
      </c>
      <c r="Y195" s="11" t="str">
        <f ca="1">IF(ISBLANK(BudgetsTable[[#This Row],[budg_seq_yr]]),"FY"&amp;fiscalyear,"FY"&amp;fiscalyear-1+BudgetsTable[[#This Row],[budg_seq_yr]])</f>
        <v>FY22</v>
      </c>
      <c r="Z195" s="80">
        <v>109883</v>
      </c>
      <c r="AA195" s="79" t="s">
        <v>477</v>
      </c>
      <c r="AB195" s="79" t="s">
        <v>582</v>
      </c>
      <c r="AC195" s="77" t="s">
        <v>94</v>
      </c>
      <c r="AD195" s="79" t="s">
        <v>1469</v>
      </c>
    </row>
    <row r="196" spans="1:30" x14ac:dyDescent="0.4">
      <c r="A196" s="10" t="s">
        <v>1004</v>
      </c>
      <c r="B196" s="77" t="s">
        <v>95</v>
      </c>
      <c r="C196" s="77">
        <f>C195+(BudgetsTable[[#This Row],[lead]]&lt;&gt;K195)</f>
        <v>43</v>
      </c>
      <c r="D196" s="77">
        <f>D195*(BudgetsTable[[#This Row],[lead]]=K195)+(BudgetsTable[[#This Row],[prop_id]]&lt;&gt;A195)</f>
        <v>1</v>
      </c>
      <c r="E196" s="78">
        <v>42935.679166666669</v>
      </c>
      <c r="F196" s="79" t="s">
        <v>1430</v>
      </c>
      <c r="G196" s="79" t="s">
        <v>477</v>
      </c>
      <c r="H196" s="79" t="s">
        <v>582</v>
      </c>
      <c r="I196" s="77" t="s">
        <v>611</v>
      </c>
      <c r="J196" s="77" t="s">
        <v>1584</v>
      </c>
      <c r="K196" s="79" t="s">
        <v>1004</v>
      </c>
      <c r="L196" s="7" t="str">
        <f>IF(BudgetsTable[[#This Row],[pi_last_name]]=" ","",HYPERLINK("https://www.ejacket.nsf.gov/ej/showProposal.do?Continue=Y&amp;ID="&amp;BudgetsTable[[#This Row],[prop_id]],BudgetsTable[[#This Row],[prop_id]]))</f>
        <v>1751040</v>
      </c>
      <c r="M196" s="15" t="e">
        <f>IF(BudgetsTable[[#This Row],[pi_last_name]]=" ","",HYPERLINK("https://www.ejacket.nsf.gov/ej/processReviewAnalysis.do?dispatch=add&amp;uniqId="&amp;BudgetsTable[[#This Row],[prop_id]]&amp;PO_id,"&gt;ra"))</f>
        <v>#REF!</v>
      </c>
      <c r="N196" s="79" t="s">
        <v>1005</v>
      </c>
      <c r="O196" s="7" t="str">
        <f>IF(BudgetsTable[[#This Row],[pi_last_name]]=" ","",HYPERLINK("mailto:"&amp;BudgetsTable[[#This Row],[pi_email]]&amp;"&amp;subject=Your NSF Proposal:  "&amp;BudgetsTable[[#This Row],[prop_id]],BudgetsTable[[#This Row],[pi_email]]))</f>
        <v>ecprice@cs.utexas.edu</v>
      </c>
      <c r="P196" s="79" t="s">
        <v>550</v>
      </c>
      <c r="Q196" s="79"/>
      <c r="R196" s="79"/>
      <c r="S196" s="80"/>
      <c r="T196" s="80"/>
      <c r="U196" s="80"/>
      <c r="V196" s="81"/>
      <c r="W196" s="79">
        <v>0</v>
      </c>
      <c r="X196" s="79"/>
      <c r="Y196" s="11" t="str">
        <f ca="1">IF(ISBLANK(BudgetsTable[[#This Row],[budg_seq_yr]]),"FY"&amp;fiscalyear,"FY"&amp;fiscalyear-1+BudgetsTable[[#This Row],[budg_seq_yr]])</f>
        <v>FY18</v>
      </c>
      <c r="Z196" s="80">
        <v>499575</v>
      </c>
      <c r="AA196" s="79" t="s">
        <v>477</v>
      </c>
      <c r="AB196" s="79" t="s">
        <v>582</v>
      </c>
      <c r="AC196" s="77" t="s">
        <v>94</v>
      </c>
      <c r="AD196" s="79" t="s">
        <v>1432</v>
      </c>
    </row>
    <row r="197" spans="1:30" x14ac:dyDescent="0.4">
      <c r="A197" s="10" t="s">
        <v>1004</v>
      </c>
      <c r="B197" s="77" t="s">
        <v>95</v>
      </c>
      <c r="C197" s="77">
        <f>C196+(BudgetsTable[[#This Row],[lead]]&lt;&gt;K196)</f>
        <v>43</v>
      </c>
      <c r="D197" s="77">
        <f>D196*(BudgetsTable[[#This Row],[lead]]=K196)+(BudgetsTable[[#This Row],[prop_id]]&lt;&gt;A196)</f>
        <v>1</v>
      </c>
      <c r="E197" s="78">
        <v>42935.679166666669</v>
      </c>
      <c r="F197" s="79" t="s">
        <v>1430</v>
      </c>
      <c r="G197" s="79" t="s">
        <v>477</v>
      </c>
      <c r="H197" s="79" t="s">
        <v>582</v>
      </c>
      <c r="I197" s="77" t="s">
        <v>611</v>
      </c>
      <c r="J197" s="77" t="s">
        <v>13</v>
      </c>
      <c r="K197" s="79" t="s">
        <v>1004</v>
      </c>
      <c r="L197" s="7" t="str">
        <f>IF(BudgetsTable[[#This Row],[pi_last_name]]=" ","",HYPERLINK("https://www.ejacket.nsf.gov/ej/showProposal.do?Continue=Y&amp;ID="&amp;BudgetsTable[[#This Row],[prop_id]],BudgetsTable[[#This Row],[prop_id]]))</f>
        <v/>
      </c>
      <c r="M197" s="15" t="str">
        <f>IF(BudgetsTable[[#This Row],[pi_last_name]]=" ","",HYPERLINK("https://www.ejacket.nsf.gov/ej/processReviewAnalysis.do?dispatch=add&amp;uniqId="&amp;BudgetsTable[[#This Row],[prop_id]]&amp;PO_id,"&gt;ra"))</f>
        <v/>
      </c>
      <c r="N197" s="79" t="s">
        <v>13</v>
      </c>
      <c r="O197" s="7" t="str">
        <f>IF(BudgetsTable[[#This Row],[pi_last_name]]=" ","",HYPERLINK("mailto:"&amp;BudgetsTable[[#This Row],[pi_email]]&amp;"&amp;subject=Your NSF Proposal:  "&amp;BudgetsTable[[#This Row],[prop_id]],BudgetsTable[[#This Row],[pi_email]]))</f>
        <v/>
      </c>
      <c r="P197" s="79" t="s">
        <v>13</v>
      </c>
      <c r="Q197" s="79">
        <v>1</v>
      </c>
      <c r="R197" s="79">
        <v>1</v>
      </c>
      <c r="S197" s="80">
        <v>0</v>
      </c>
      <c r="T197" s="80">
        <v>0</v>
      </c>
      <c r="U197" s="80">
        <v>0</v>
      </c>
      <c r="V197" s="81">
        <v>94979</v>
      </c>
      <c r="W197" s="79">
        <v>0</v>
      </c>
      <c r="X197" s="79">
        <v>1</v>
      </c>
      <c r="Y197" s="11" t="str">
        <f ca="1">IF(ISBLANK(BudgetsTable[[#This Row],[budg_seq_yr]]),"FY"&amp;fiscalyear,"FY"&amp;fiscalyear-1+BudgetsTable[[#This Row],[budg_seq_yr]])</f>
        <v>FY18</v>
      </c>
      <c r="Z197" s="80">
        <v>94979</v>
      </c>
      <c r="AA197" s="79" t="s">
        <v>477</v>
      </c>
      <c r="AB197" s="79" t="s">
        <v>582</v>
      </c>
      <c r="AC197" s="77" t="s">
        <v>94</v>
      </c>
      <c r="AD197" s="79" t="s">
        <v>1432</v>
      </c>
    </row>
    <row r="198" spans="1:30" x14ac:dyDescent="0.4">
      <c r="A198" s="10" t="s">
        <v>1004</v>
      </c>
      <c r="B198" s="77" t="s">
        <v>95</v>
      </c>
      <c r="C198" s="77">
        <f>C197+(BudgetsTable[[#This Row],[lead]]&lt;&gt;K197)</f>
        <v>43</v>
      </c>
      <c r="D198" s="77">
        <f>D197*(BudgetsTable[[#This Row],[lead]]=K197)+(BudgetsTable[[#This Row],[prop_id]]&lt;&gt;A197)</f>
        <v>1</v>
      </c>
      <c r="E198" s="78">
        <v>42935.679166666669</v>
      </c>
      <c r="F198" s="79" t="s">
        <v>1430</v>
      </c>
      <c r="G198" s="79" t="s">
        <v>477</v>
      </c>
      <c r="H198" s="79" t="s">
        <v>582</v>
      </c>
      <c r="I198" s="77" t="s">
        <v>611</v>
      </c>
      <c r="J198" s="77" t="s">
        <v>13</v>
      </c>
      <c r="K198" s="79" t="s">
        <v>1004</v>
      </c>
      <c r="L198" s="7" t="str">
        <f>IF(BudgetsTable[[#This Row],[pi_last_name]]=" ","",HYPERLINK("https://www.ejacket.nsf.gov/ej/showProposal.do?Continue=Y&amp;ID="&amp;BudgetsTable[[#This Row],[prop_id]],BudgetsTable[[#This Row],[prop_id]]))</f>
        <v/>
      </c>
      <c r="M198" s="15" t="str">
        <f>IF(BudgetsTable[[#This Row],[pi_last_name]]=" ","",HYPERLINK("https://www.ejacket.nsf.gov/ej/processReviewAnalysis.do?dispatch=add&amp;uniqId="&amp;BudgetsTable[[#This Row],[prop_id]]&amp;PO_id,"&gt;ra"))</f>
        <v/>
      </c>
      <c r="N198" s="79" t="s">
        <v>13</v>
      </c>
      <c r="O198" s="7" t="str">
        <f>IF(BudgetsTable[[#This Row],[pi_last_name]]=" ","",HYPERLINK("mailto:"&amp;BudgetsTable[[#This Row],[pi_email]]&amp;"&amp;subject=Your NSF Proposal:  "&amp;BudgetsTable[[#This Row],[prop_id]],BudgetsTable[[#This Row],[pi_email]]))</f>
        <v/>
      </c>
      <c r="P198" s="79" t="s">
        <v>13</v>
      </c>
      <c r="Q198" s="79">
        <v>1</v>
      </c>
      <c r="R198" s="79">
        <v>1</v>
      </c>
      <c r="S198" s="80">
        <v>0</v>
      </c>
      <c r="T198" s="80">
        <v>0</v>
      </c>
      <c r="U198" s="80">
        <v>0</v>
      </c>
      <c r="V198" s="81">
        <v>97373</v>
      </c>
      <c r="W198" s="79">
        <v>0</v>
      </c>
      <c r="X198" s="79">
        <v>2</v>
      </c>
      <c r="Y198" s="11" t="str">
        <f ca="1">IF(ISBLANK(BudgetsTable[[#This Row],[budg_seq_yr]]),"FY"&amp;fiscalyear,"FY"&amp;fiscalyear-1+BudgetsTable[[#This Row],[budg_seq_yr]])</f>
        <v>FY19</v>
      </c>
      <c r="Z198" s="80">
        <v>97373</v>
      </c>
      <c r="AA198" s="79" t="s">
        <v>477</v>
      </c>
      <c r="AB198" s="79" t="s">
        <v>582</v>
      </c>
      <c r="AC198" s="77" t="s">
        <v>94</v>
      </c>
      <c r="AD198" s="79" t="s">
        <v>1432</v>
      </c>
    </row>
    <row r="199" spans="1:30" x14ac:dyDescent="0.4">
      <c r="A199" s="10" t="s">
        <v>1004</v>
      </c>
      <c r="B199" s="77" t="s">
        <v>95</v>
      </c>
      <c r="C199" s="77">
        <f>C198+(BudgetsTable[[#This Row],[lead]]&lt;&gt;K198)</f>
        <v>43</v>
      </c>
      <c r="D199" s="77">
        <f>D198*(BudgetsTable[[#This Row],[lead]]=K198)+(BudgetsTable[[#This Row],[prop_id]]&lt;&gt;A198)</f>
        <v>1</v>
      </c>
      <c r="E199" s="78">
        <v>42935.679166666669</v>
      </c>
      <c r="F199" s="79" t="s">
        <v>1430</v>
      </c>
      <c r="G199" s="79" t="s">
        <v>477</v>
      </c>
      <c r="H199" s="79" t="s">
        <v>582</v>
      </c>
      <c r="I199" s="77" t="s">
        <v>611</v>
      </c>
      <c r="J199" s="77" t="s">
        <v>13</v>
      </c>
      <c r="K199" s="79" t="s">
        <v>1004</v>
      </c>
      <c r="L199" s="7" t="str">
        <f>IF(BudgetsTable[[#This Row],[pi_last_name]]=" ","",HYPERLINK("https://www.ejacket.nsf.gov/ej/showProposal.do?Continue=Y&amp;ID="&amp;BudgetsTable[[#This Row],[prop_id]],BudgetsTable[[#This Row],[prop_id]]))</f>
        <v/>
      </c>
      <c r="M199" s="15" t="str">
        <f>IF(BudgetsTable[[#This Row],[pi_last_name]]=" ","",HYPERLINK("https://www.ejacket.nsf.gov/ej/processReviewAnalysis.do?dispatch=add&amp;uniqId="&amp;BudgetsTable[[#This Row],[prop_id]]&amp;PO_id,"&gt;ra"))</f>
        <v/>
      </c>
      <c r="N199" s="79" t="s">
        <v>13</v>
      </c>
      <c r="O199" s="7" t="str">
        <f>IF(BudgetsTable[[#This Row],[pi_last_name]]=" ","",HYPERLINK("mailto:"&amp;BudgetsTable[[#This Row],[pi_email]]&amp;"&amp;subject=Your NSF Proposal:  "&amp;BudgetsTable[[#This Row],[prop_id]],BudgetsTable[[#This Row],[pi_email]]))</f>
        <v/>
      </c>
      <c r="P199" s="79" t="s">
        <v>13</v>
      </c>
      <c r="Q199" s="79">
        <v>1</v>
      </c>
      <c r="R199" s="79">
        <v>1</v>
      </c>
      <c r="S199" s="80">
        <v>0</v>
      </c>
      <c r="T199" s="80">
        <v>0</v>
      </c>
      <c r="U199" s="80">
        <v>0</v>
      </c>
      <c r="V199" s="81">
        <v>99840</v>
      </c>
      <c r="W199" s="79">
        <v>0</v>
      </c>
      <c r="X199" s="79">
        <v>3</v>
      </c>
      <c r="Y199" s="11" t="str">
        <f ca="1">IF(ISBLANK(BudgetsTable[[#This Row],[budg_seq_yr]]),"FY"&amp;fiscalyear,"FY"&amp;fiscalyear-1+BudgetsTable[[#This Row],[budg_seq_yr]])</f>
        <v>FY20</v>
      </c>
      <c r="Z199" s="80">
        <v>99840</v>
      </c>
      <c r="AA199" s="79" t="s">
        <v>477</v>
      </c>
      <c r="AB199" s="79" t="s">
        <v>582</v>
      </c>
      <c r="AC199" s="77" t="s">
        <v>94</v>
      </c>
      <c r="AD199" s="79" t="s">
        <v>1432</v>
      </c>
    </row>
    <row r="200" spans="1:30" x14ac:dyDescent="0.4">
      <c r="A200" s="10" t="s">
        <v>1004</v>
      </c>
      <c r="B200" s="77" t="s">
        <v>95</v>
      </c>
      <c r="C200" s="77">
        <f>C199+(BudgetsTable[[#This Row],[lead]]&lt;&gt;K199)</f>
        <v>43</v>
      </c>
      <c r="D200" s="77">
        <f>D199*(BudgetsTable[[#This Row],[lead]]=K199)+(BudgetsTable[[#This Row],[prop_id]]&lt;&gt;A199)</f>
        <v>1</v>
      </c>
      <c r="E200" s="78">
        <v>42935.679166666669</v>
      </c>
      <c r="F200" s="79" t="s">
        <v>1430</v>
      </c>
      <c r="G200" s="79" t="s">
        <v>477</v>
      </c>
      <c r="H200" s="79" t="s">
        <v>582</v>
      </c>
      <c r="I200" s="77" t="s">
        <v>611</v>
      </c>
      <c r="J200" s="77" t="s">
        <v>13</v>
      </c>
      <c r="K200" s="79" t="s">
        <v>1004</v>
      </c>
      <c r="L200" s="7" t="str">
        <f>IF(BudgetsTable[[#This Row],[pi_last_name]]=" ","",HYPERLINK("https://www.ejacket.nsf.gov/ej/showProposal.do?Continue=Y&amp;ID="&amp;BudgetsTable[[#This Row],[prop_id]],BudgetsTable[[#This Row],[prop_id]]))</f>
        <v/>
      </c>
      <c r="M200" s="15" t="str">
        <f>IF(BudgetsTable[[#This Row],[pi_last_name]]=" ","",HYPERLINK("https://www.ejacket.nsf.gov/ej/processReviewAnalysis.do?dispatch=add&amp;uniqId="&amp;BudgetsTable[[#This Row],[prop_id]]&amp;PO_id,"&gt;ra"))</f>
        <v/>
      </c>
      <c r="N200" s="79" t="s">
        <v>13</v>
      </c>
      <c r="O200" s="7" t="str">
        <f>IF(BudgetsTable[[#This Row],[pi_last_name]]=" ","",HYPERLINK("mailto:"&amp;BudgetsTable[[#This Row],[pi_email]]&amp;"&amp;subject=Your NSF Proposal:  "&amp;BudgetsTable[[#This Row],[prop_id]],BudgetsTable[[#This Row],[pi_email]]))</f>
        <v/>
      </c>
      <c r="P200" s="79" t="s">
        <v>13</v>
      </c>
      <c r="Q200" s="79">
        <v>1</v>
      </c>
      <c r="R200" s="79">
        <v>1</v>
      </c>
      <c r="S200" s="80">
        <v>0</v>
      </c>
      <c r="T200" s="80">
        <v>0</v>
      </c>
      <c r="U200" s="80">
        <v>0</v>
      </c>
      <c r="V200" s="81">
        <v>102383</v>
      </c>
      <c r="W200" s="79">
        <v>0</v>
      </c>
      <c r="X200" s="79">
        <v>4</v>
      </c>
      <c r="Y200" s="11" t="str">
        <f ca="1">IF(ISBLANK(BudgetsTable[[#This Row],[budg_seq_yr]]),"FY"&amp;fiscalyear,"FY"&amp;fiscalyear-1+BudgetsTable[[#This Row],[budg_seq_yr]])</f>
        <v>FY21</v>
      </c>
      <c r="Z200" s="80">
        <v>102383</v>
      </c>
      <c r="AA200" s="79" t="s">
        <v>477</v>
      </c>
      <c r="AB200" s="79" t="s">
        <v>582</v>
      </c>
      <c r="AC200" s="77" t="s">
        <v>94</v>
      </c>
      <c r="AD200" s="79" t="s">
        <v>1432</v>
      </c>
    </row>
    <row r="201" spans="1:30" x14ac:dyDescent="0.4">
      <c r="A201" s="10" t="s">
        <v>1004</v>
      </c>
      <c r="B201" s="77" t="s">
        <v>95</v>
      </c>
      <c r="C201" s="77">
        <f>C200+(BudgetsTable[[#This Row],[lead]]&lt;&gt;K200)</f>
        <v>43</v>
      </c>
      <c r="D201" s="77">
        <f>D200*(BudgetsTable[[#This Row],[lead]]=K200)+(BudgetsTable[[#This Row],[prop_id]]&lt;&gt;A200)</f>
        <v>1</v>
      </c>
      <c r="E201" s="78">
        <v>42935.679166666669</v>
      </c>
      <c r="F201" s="79" t="s">
        <v>1430</v>
      </c>
      <c r="G201" s="79" t="s">
        <v>477</v>
      </c>
      <c r="H201" s="79" t="s">
        <v>582</v>
      </c>
      <c r="I201" s="77" t="s">
        <v>611</v>
      </c>
      <c r="J201" s="77" t="s">
        <v>13</v>
      </c>
      <c r="K201" s="79" t="s">
        <v>1004</v>
      </c>
      <c r="L201" s="7" t="str">
        <f>IF(BudgetsTable[[#This Row],[pi_last_name]]=" ","",HYPERLINK("https://www.ejacket.nsf.gov/ej/showProposal.do?Continue=Y&amp;ID="&amp;BudgetsTable[[#This Row],[prop_id]],BudgetsTable[[#This Row],[prop_id]]))</f>
        <v/>
      </c>
      <c r="M201" s="15" t="str">
        <f>IF(BudgetsTable[[#This Row],[pi_last_name]]=" ","",HYPERLINK("https://www.ejacket.nsf.gov/ej/processReviewAnalysis.do?dispatch=add&amp;uniqId="&amp;BudgetsTable[[#This Row],[prop_id]]&amp;PO_id,"&gt;ra"))</f>
        <v/>
      </c>
      <c r="N201" s="79" t="s">
        <v>13</v>
      </c>
      <c r="O201" s="7" t="str">
        <f>IF(BudgetsTable[[#This Row],[pi_last_name]]=" ","",HYPERLINK("mailto:"&amp;BudgetsTable[[#This Row],[pi_email]]&amp;"&amp;subject=Your NSF Proposal:  "&amp;BudgetsTable[[#This Row],[prop_id]],BudgetsTable[[#This Row],[pi_email]]))</f>
        <v/>
      </c>
      <c r="P201" s="79" t="s">
        <v>13</v>
      </c>
      <c r="Q201" s="79">
        <v>1</v>
      </c>
      <c r="R201" s="79">
        <v>1</v>
      </c>
      <c r="S201" s="80">
        <v>0</v>
      </c>
      <c r="T201" s="80">
        <v>0</v>
      </c>
      <c r="U201" s="80">
        <v>0</v>
      </c>
      <c r="V201" s="81">
        <v>105000</v>
      </c>
      <c r="W201" s="79">
        <v>0</v>
      </c>
      <c r="X201" s="79">
        <v>5</v>
      </c>
      <c r="Y201" s="11" t="str">
        <f ca="1">IF(ISBLANK(BudgetsTable[[#This Row],[budg_seq_yr]]),"FY"&amp;fiscalyear,"FY"&amp;fiscalyear-1+BudgetsTable[[#This Row],[budg_seq_yr]])</f>
        <v>FY22</v>
      </c>
      <c r="Z201" s="80">
        <v>105000</v>
      </c>
      <c r="AA201" s="79" t="s">
        <v>477</v>
      </c>
      <c r="AB201" s="79" t="s">
        <v>582</v>
      </c>
      <c r="AC201" s="77" t="s">
        <v>94</v>
      </c>
      <c r="AD201" s="79" t="s">
        <v>1432</v>
      </c>
    </row>
    <row r="202" spans="1:30" x14ac:dyDescent="0.4">
      <c r="A202" s="10" t="s">
        <v>1012</v>
      </c>
      <c r="B202" s="77" t="s">
        <v>95</v>
      </c>
      <c r="C202" s="77">
        <f>C201+(BudgetsTable[[#This Row],[lead]]&lt;&gt;K201)</f>
        <v>44</v>
      </c>
      <c r="D202" s="77">
        <f>D201*(BudgetsTable[[#This Row],[lead]]=K201)+(BudgetsTable[[#This Row],[prop_id]]&lt;&gt;A201)</f>
        <v>1</v>
      </c>
      <c r="E202" s="78">
        <v>42935.680555555555</v>
      </c>
      <c r="F202" s="79" t="s">
        <v>1430</v>
      </c>
      <c r="G202" s="79" t="s">
        <v>477</v>
      </c>
      <c r="H202" s="79" t="s">
        <v>582</v>
      </c>
      <c r="I202" s="77" t="s">
        <v>604</v>
      </c>
      <c r="J202" s="77" t="s">
        <v>1589</v>
      </c>
      <c r="K202" s="79" t="s">
        <v>1012</v>
      </c>
      <c r="L202" s="7" t="str">
        <f>IF(BudgetsTable[[#This Row],[pi_last_name]]=" ","",HYPERLINK("https://www.ejacket.nsf.gov/ej/showProposal.do?Continue=Y&amp;ID="&amp;BudgetsTable[[#This Row],[prop_id]],BudgetsTable[[#This Row],[prop_id]]))</f>
        <v>1751047</v>
      </c>
      <c r="M202" s="15" t="e">
        <f>IF(BudgetsTable[[#This Row],[pi_last_name]]=" ","",HYPERLINK("https://www.ejacket.nsf.gov/ej/processReviewAnalysis.do?dispatch=add&amp;uniqId="&amp;BudgetsTable[[#This Row],[prop_id]]&amp;PO_id,"&gt;ra"))</f>
        <v>#REF!</v>
      </c>
      <c r="N202" s="79" t="s">
        <v>1013</v>
      </c>
      <c r="O202" s="7" t="str">
        <f>IF(BudgetsTable[[#This Row],[pi_last_name]]=" ","",HYPERLINK("mailto:"&amp;BudgetsTable[[#This Row],[pi_email]]&amp;"&amp;subject=Your NSF Proposal:  "&amp;BudgetsTable[[#This Row],[prop_id]],BudgetsTable[[#This Row],[pi_email]]))</f>
        <v>MATTHEW.GIBSON@UTSA.EDU</v>
      </c>
      <c r="P202" s="79" t="s">
        <v>1586</v>
      </c>
      <c r="Q202" s="79"/>
      <c r="R202" s="79"/>
      <c r="S202" s="80"/>
      <c r="T202" s="80"/>
      <c r="U202" s="80"/>
      <c r="V202" s="81"/>
      <c r="W202" s="79">
        <v>0</v>
      </c>
      <c r="X202" s="79"/>
      <c r="Y202" s="11" t="str">
        <f ca="1">IF(ISBLANK(BudgetsTable[[#This Row],[budg_seq_yr]]),"FY"&amp;fiscalyear,"FY"&amp;fiscalyear-1+BudgetsTable[[#This Row],[budg_seq_yr]])</f>
        <v>FY18</v>
      </c>
      <c r="Z202" s="80">
        <v>415497</v>
      </c>
      <c r="AA202" s="79" t="s">
        <v>477</v>
      </c>
      <c r="AB202" s="79" t="s">
        <v>582</v>
      </c>
      <c r="AC202" s="77" t="s">
        <v>94</v>
      </c>
      <c r="AD202" s="79" t="s">
        <v>1439</v>
      </c>
    </row>
    <row r="203" spans="1:30" x14ac:dyDescent="0.4">
      <c r="A203" s="10" t="s">
        <v>1012</v>
      </c>
      <c r="B203" s="77" t="s">
        <v>95</v>
      </c>
      <c r="C203" s="77">
        <f>C202+(BudgetsTable[[#This Row],[lead]]&lt;&gt;K202)</f>
        <v>44</v>
      </c>
      <c r="D203" s="77">
        <f>D202*(BudgetsTable[[#This Row],[lead]]=K202)+(BudgetsTable[[#This Row],[prop_id]]&lt;&gt;A202)</f>
        <v>1</v>
      </c>
      <c r="E203" s="78">
        <v>42935.680555555555</v>
      </c>
      <c r="F203" s="79" t="s">
        <v>1430</v>
      </c>
      <c r="G203" s="79" t="s">
        <v>477</v>
      </c>
      <c r="H203" s="79" t="s">
        <v>582</v>
      </c>
      <c r="I203" s="77" t="s">
        <v>604</v>
      </c>
      <c r="J203" s="77" t="s">
        <v>13</v>
      </c>
      <c r="K203" s="79" t="s">
        <v>1012</v>
      </c>
      <c r="L203" s="7" t="str">
        <f>IF(BudgetsTable[[#This Row],[pi_last_name]]=" ","",HYPERLINK("https://www.ejacket.nsf.gov/ej/showProposal.do?Continue=Y&amp;ID="&amp;BudgetsTable[[#This Row],[prop_id]],BudgetsTable[[#This Row],[prop_id]]))</f>
        <v/>
      </c>
      <c r="M203" s="15" t="str">
        <f>IF(BudgetsTable[[#This Row],[pi_last_name]]=" ","",HYPERLINK("https://www.ejacket.nsf.gov/ej/processReviewAnalysis.do?dispatch=add&amp;uniqId="&amp;BudgetsTable[[#This Row],[prop_id]]&amp;PO_id,"&gt;ra"))</f>
        <v/>
      </c>
      <c r="N203" s="79" t="s">
        <v>13</v>
      </c>
      <c r="O203" s="7" t="str">
        <f>IF(BudgetsTable[[#This Row],[pi_last_name]]=" ","",HYPERLINK("mailto:"&amp;BudgetsTable[[#This Row],[pi_email]]&amp;"&amp;subject=Your NSF Proposal:  "&amp;BudgetsTable[[#This Row],[prop_id]],BudgetsTable[[#This Row],[pi_email]]))</f>
        <v/>
      </c>
      <c r="P203" s="79" t="s">
        <v>13</v>
      </c>
      <c r="Q203" s="79">
        <v>1</v>
      </c>
      <c r="R203" s="79">
        <v>1</v>
      </c>
      <c r="S203" s="80">
        <v>0</v>
      </c>
      <c r="T203" s="80">
        <v>2450</v>
      </c>
      <c r="U203" s="80">
        <v>16000</v>
      </c>
      <c r="V203" s="81">
        <v>92539</v>
      </c>
      <c r="W203" s="79">
        <v>0</v>
      </c>
      <c r="X203" s="79">
        <v>1</v>
      </c>
      <c r="Y203" s="11" t="str">
        <f ca="1">IF(ISBLANK(BudgetsTable[[#This Row],[budg_seq_yr]]),"FY"&amp;fiscalyear,"FY"&amp;fiscalyear-1+BudgetsTable[[#This Row],[budg_seq_yr]])</f>
        <v>FY18</v>
      </c>
      <c r="Z203" s="80">
        <v>92539</v>
      </c>
      <c r="AA203" s="79" t="s">
        <v>477</v>
      </c>
      <c r="AB203" s="79" t="s">
        <v>582</v>
      </c>
      <c r="AC203" s="77" t="s">
        <v>94</v>
      </c>
      <c r="AD203" s="79" t="s">
        <v>1439</v>
      </c>
    </row>
    <row r="204" spans="1:30" x14ac:dyDescent="0.4">
      <c r="A204" s="10" t="s">
        <v>1012</v>
      </c>
      <c r="B204" s="77" t="s">
        <v>95</v>
      </c>
      <c r="C204" s="77">
        <f>C203+(BudgetsTable[[#This Row],[lead]]&lt;&gt;K203)</f>
        <v>44</v>
      </c>
      <c r="D204" s="77">
        <f>D203*(BudgetsTable[[#This Row],[lead]]=K203)+(BudgetsTable[[#This Row],[prop_id]]&lt;&gt;A203)</f>
        <v>1</v>
      </c>
      <c r="E204" s="78">
        <v>42935.680555555555</v>
      </c>
      <c r="F204" s="79" t="s">
        <v>1430</v>
      </c>
      <c r="G204" s="79" t="s">
        <v>477</v>
      </c>
      <c r="H204" s="79" t="s">
        <v>582</v>
      </c>
      <c r="I204" s="77" t="s">
        <v>604</v>
      </c>
      <c r="J204" s="77" t="s">
        <v>13</v>
      </c>
      <c r="K204" s="79" t="s">
        <v>1012</v>
      </c>
      <c r="L204" s="7" t="str">
        <f>IF(BudgetsTable[[#This Row],[pi_last_name]]=" ","",HYPERLINK("https://www.ejacket.nsf.gov/ej/showProposal.do?Continue=Y&amp;ID="&amp;BudgetsTable[[#This Row],[prop_id]],BudgetsTable[[#This Row],[prop_id]]))</f>
        <v/>
      </c>
      <c r="M204" s="15" t="str">
        <f>IF(BudgetsTable[[#This Row],[pi_last_name]]=" ","",HYPERLINK("https://www.ejacket.nsf.gov/ej/processReviewAnalysis.do?dispatch=add&amp;uniqId="&amp;BudgetsTable[[#This Row],[prop_id]]&amp;PO_id,"&gt;ra"))</f>
        <v/>
      </c>
      <c r="N204" s="79" t="s">
        <v>13</v>
      </c>
      <c r="O204" s="7" t="str">
        <f>IF(BudgetsTable[[#This Row],[pi_last_name]]=" ","",HYPERLINK("mailto:"&amp;BudgetsTable[[#This Row],[pi_email]]&amp;"&amp;subject=Your NSF Proposal:  "&amp;BudgetsTable[[#This Row],[prop_id]],BudgetsTable[[#This Row],[pi_email]]))</f>
        <v/>
      </c>
      <c r="P204" s="79" t="s">
        <v>13</v>
      </c>
      <c r="Q204" s="79">
        <v>1</v>
      </c>
      <c r="R204" s="79">
        <v>1</v>
      </c>
      <c r="S204" s="80">
        <v>0</v>
      </c>
      <c r="T204" s="80">
        <v>2450</v>
      </c>
      <c r="U204" s="80">
        <v>0</v>
      </c>
      <c r="V204" s="81">
        <v>78169</v>
      </c>
      <c r="W204" s="79">
        <v>0</v>
      </c>
      <c r="X204" s="79">
        <v>2</v>
      </c>
      <c r="Y204" s="11" t="str">
        <f ca="1">IF(ISBLANK(BudgetsTable[[#This Row],[budg_seq_yr]]),"FY"&amp;fiscalyear,"FY"&amp;fiscalyear-1+BudgetsTable[[#This Row],[budg_seq_yr]])</f>
        <v>FY19</v>
      </c>
      <c r="Z204" s="80">
        <v>78169</v>
      </c>
      <c r="AA204" s="79" t="s">
        <v>477</v>
      </c>
      <c r="AB204" s="79" t="s">
        <v>582</v>
      </c>
      <c r="AC204" s="77" t="s">
        <v>94</v>
      </c>
      <c r="AD204" s="79" t="s">
        <v>1439</v>
      </c>
    </row>
    <row r="205" spans="1:30" x14ac:dyDescent="0.4">
      <c r="A205" s="10" t="s">
        <v>1012</v>
      </c>
      <c r="B205" s="77" t="s">
        <v>95</v>
      </c>
      <c r="C205" s="77">
        <f>C204+(BudgetsTable[[#This Row],[lead]]&lt;&gt;K204)</f>
        <v>44</v>
      </c>
      <c r="D205" s="77">
        <f>D204*(BudgetsTable[[#This Row],[lead]]=K204)+(BudgetsTable[[#This Row],[prop_id]]&lt;&gt;A204)</f>
        <v>1</v>
      </c>
      <c r="E205" s="78">
        <v>42935.680555555555</v>
      </c>
      <c r="F205" s="79" t="s">
        <v>1430</v>
      </c>
      <c r="G205" s="79" t="s">
        <v>477</v>
      </c>
      <c r="H205" s="79" t="s">
        <v>582</v>
      </c>
      <c r="I205" s="77" t="s">
        <v>604</v>
      </c>
      <c r="J205" s="77" t="s">
        <v>13</v>
      </c>
      <c r="K205" s="79" t="s">
        <v>1012</v>
      </c>
      <c r="L205" s="7" t="str">
        <f>IF(BudgetsTable[[#This Row],[pi_last_name]]=" ","",HYPERLINK("https://www.ejacket.nsf.gov/ej/showProposal.do?Continue=Y&amp;ID="&amp;BudgetsTable[[#This Row],[prop_id]],BudgetsTable[[#This Row],[prop_id]]))</f>
        <v/>
      </c>
      <c r="M205" s="15" t="str">
        <f>IF(BudgetsTable[[#This Row],[pi_last_name]]=" ","",HYPERLINK("https://www.ejacket.nsf.gov/ej/processReviewAnalysis.do?dispatch=add&amp;uniqId="&amp;BudgetsTable[[#This Row],[prop_id]]&amp;PO_id,"&gt;ra"))</f>
        <v/>
      </c>
      <c r="N205" s="79" t="s">
        <v>13</v>
      </c>
      <c r="O205" s="7" t="str">
        <f>IF(BudgetsTable[[#This Row],[pi_last_name]]=" ","",HYPERLINK("mailto:"&amp;BudgetsTable[[#This Row],[pi_email]]&amp;"&amp;subject=Your NSF Proposal:  "&amp;BudgetsTable[[#This Row],[prop_id]],BudgetsTable[[#This Row],[pi_email]]))</f>
        <v/>
      </c>
      <c r="P205" s="79" t="s">
        <v>13</v>
      </c>
      <c r="Q205" s="79">
        <v>1</v>
      </c>
      <c r="R205" s="79">
        <v>1</v>
      </c>
      <c r="S205" s="80">
        <v>0</v>
      </c>
      <c r="T205" s="80">
        <v>2450</v>
      </c>
      <c r="U205" s="80">
        <v>0</v>
      </c>
      <c r="V205" s="81">
        <v>79849</v>
      </c>
      <c r="W205" s="79">
        <v>0</v>
      </c>
      <c r="X205" s="79">
        <v>3</v>
      </c>
      <c r="Y205" s="11" t="str">
        <f ca="1">IF(ISBLANK(BudgetsTable[[#This Row],[budg_seq_yr]]),"FY"&amp;fiscalyear,"FY"&amp;fiscalyear-1+BudgetsTable[[#This Row],[budg_seq_yr]])</f>
        <v>FY20</v>
      </c>
      <c r="Z205" s="80">
        <v>79849</v>
      </c>
      <c r="AA205" s="79" t="s">
        <v>477</v>
      </c>
      <c r="AB205" s="79" t="s">
        <v>582</v>
      </c>
      <c r="AC205" s="77" t="s">
        <v>94</v>
      </c>
      <c r="AD205" s="79" t="s">
        <v>1439</v>
      </c>
    </row>
    <row r="206" spans="1:30" x14ac:dyDescent="0.4">
      <c r="A206" s="10" t="s">
        <v>1012</v>
      </c>
      <c r="B206" s="77" t="s">
        <v>95</v>
      </c>
      <c r="C206" s="77">
        <f>C205+(BudgetsTable[[#This Row],[lead]]&lt;&gt;K205)</f>
        <v>44</v>
      </c>
      <c r="D206" s="77">
        <f>D205*(BudgetsTable[[#This Row],[lead]]=K205)+(BudgetsTable[[#This Row],[prop_id]]&lt;&gt;A205)</f>
        <v>1</v>
      </c>
      <c r="E206" s="78">
        <v>42935.680555555555</v>
      </c>
      <c r="F206" s="79" t="s">
        <v>1430</v>
      </c>
      <c r="G206" s="79" t="s">
        <v>477</v>
      </c>
      <c r="H206" s="79" t="s">
        <v>582</v>
      </c>
      <c r="I206" s="77" t="s">
        <v>604</v>
      </c>
      <c r="J206" s="77" t="s">
        <v>13</v>
      </c>
      <c r="K206" s="79" t="s">
        <v>1012</v>
      </c>
      <c r="L206" s="7" t="str">
        <f>IF(BudgetsTable[[#This Row],[pi_last_name]]=" ","",HYPERLINK("https://www.ejacket.nsf.gov/ej/showProposal.do?Continue=Y&amp;ID="&amp;BudgetsTable[[#This Row],[prop_id]],BudgetsTable[[#This Row],[prop_id]]))</f>
        <v/>
      </c>
      <c r="M206" s="15" t="str">
        <f>IF(BudgetsTable[[#This Row],[pi_last_name]]=" ","",HYPERLINK("https://www.ejacket.nsf.gov/ej/processReviewAnalysis.do?dispatch=add&amp;uniqId="&amp;BudgetsTable[[#This Row],[prop_id]]&amp;PO_id,"&gt;ra"))</f>
        <v/>
      </c>
      <c r="N206" s="79" t="s">
        <v>13</v>
      </c>
      <c r="O206" s="7" t="str">
        <f>IF(BudgetsTable[[#This Row],[pi_last_name]]=" ","",HYPERLINK("mailto:"&amp;BudgetsTable[[#This Row],[pi_email]]&amp;"&amp;subject=Your NSF Proposal:  "&amp;BudgetsTable[[#This Row],[prop_id]],BudgetsTable[[#This Row],[pi_email]]))</f>
        <v/>
      </c>
      <c r="P206" s="79" t="s">
        <v>13</v>
      </c>
      <c r="Q206" s="79">
        <v>1</v>
      </c>
      <c r="R206" s="79">
        <v>1</v>
      </c>
      <c r="S206" s="80">
        <v>0</v>
      </c>
      <c r="T206" s="80">
        <v>2450</v>
      </c>
      <c r="U206" s="80">
        <v>0</v>
      </c>
      <c r="V206" s="81">
        <v>81580</v>
      </c>
      <c r="W206" s="79">
        <v>0</v>
      </c>
      <c r="X206" s="79">
        <v>4</v>
      </c>
      <c r="Y206" s="11" t="str">
        <f ca="1">IF(ISBLANK(BudgetsTable[[#This Row],[budg_seq_yr]]),"FY"&amp;fiscalyear,"FY"&amp;fiscalyear-1+BudgetsTable[[#This Row],[budg_seq_yr]])</f>
        <v>FY21</v>
      </c>
      <c r="Z206" s="80">
        <v>81580</v>
      </c>
      <c r="AA206" s="79" t="s">
        <v>477</v>
      </c>
      <c r="AB206" s="79" t="s">
        <v>582</v>
      </c>
      <c r="AC206" s="77" t="s">
        <v>94</v>
      </c>
      <c r="AD206" s="79" t="s">
        <v>1439</v>
      </c>
    </row>
    <row r="207" spans="1:30" x14ac:dyDescent="0.4">
      <c r="A207" s="10" t="s">
        <v>1012</v>
      </c>
      <c r="B207" s="77" t="s">
        <v>95</v>
      </c>
      <c r="C207" s="77">
        <f>C206+(BudgetsTable[[#This Row],[lead]]&lt;&gt;K206)</f>
        <v>44</v>
      </c>
      <c r="D207" s="77">
        <f>D206*(BudgetsTable[[#This Row],[lead]]=K206)+(BudgetsTable[[#This Row],[prop_id]]&lt;&gt;A206)</f>
        <v>1</v>
      </c>
      <c r="E207" s="78">
        <v>42935.680555555555</v>
      </c>
      <c r="F207" s="79" t="s">
        <v>1430</v>
      </c>
      <c r="G207" s="79" t="s">
        <v>477</v>
      </c>
      <c r="H207" s="79" t="s">
        <v>582</v>
      </c>
      <c r="I207" s="77" t="s">
        <v>604</v>
      </c>
      <c r="J207" s="77" t="s">
        <v>13</v>
      </c>
      <c r="K207" s="79" t="s">
        <v>1012</v>
      </c>
      <c r="L207" s="7" t="str">
        <f>IF(BudgetsTable[[#This Row],[pi_last_name]]=" ","",HYPERLINK("https://www.ejacket.nsf.gov/ej/showProposal.do?Continue=Y&amp;ID="&amp;BudgetsTable[[#This Row],[prop_id]],BudgetsTable[[#This Row],[prop_id]]))</f>
        <v/>
      </c>
      <c r="M207" s="15" t="str">
        <f>IF(BudgetsTable[[#This Row],[pi_last_name]]=" ","",HYPERLINK("https://www.ejacket.nsf.gov/ej/processReviewAnalysis.do?dispatch=add&amp;uniqId="&amp;BudgetsTable[[#This Row],[prop_id]]&amp;PO_id,"&gt;ra"))</f>
        <v/>
      </c>
      <c r="N207" s="79" t="s">
        <v>13</v>
      </c>
      <c r="O207" s="7" t="str">
        <f>IF(BudgetsTable[[#This Row],[pi_last_name]]=" ","",HYPERLINK("mailto:"&amp;BudgetsTable[[#This Row],[pi_email]]&amp;"&amp;subject=Your NSF Proposal:  "&amp;BudgetsTable[[#This Row],[prop_id]],BudgetsTable[[#This Row],[pi_email]]))</f>
        <v/>
      </c>
      <c r="P207" s="79" t="s">
        <v>13</v>
      </c>
      <c r="Q207" s="79">
        <v>1</v>
      </c>
      <c r="R207" s="79">
        <v>1</v>
      </c>
      <c r="S207" s="80">
        <v>0</v>
      </c>
      <c r="T207" s="80">
        <v>2450</v>
      </c>
      <c r="U207" s="80">
        <v>0</v>
      </c>
      <c r="V207" s="81">
        <v>83360</v>
      </c>
      <c r="W207" s="79">
        <v>0</v>
      </c>
      <c r="X207" s="79">
        <v>5</v>
      </c>
      <c r="Y207" s="11" t="str">
        <f ca="1">IF(ISBLANK(BudgetsTable[[#This Row],[budg_seq_yr]]),"FY"&amp;fiscalyear,"FY"&amp;fiscalyear-1+BudgetsTable[[#This Row],[budg_seq_yr]])</f>
        <v>FY22</v>
      </c>
      <c r="Z207" s="80">
        <v>83360</v>
      </c>
      <c r="AA207" s="79" t="s">
        <v>477</v>
      </c>
      <c r="AB207" s="79" t="s">
        <v>582</v>
      </c>
      <c r="AC207" s="77" t="s">
        <v>94</v>
      </c>
      <c r="AD207" s="79" t="s">
        <v>1439</v>
      </c>
    </row>
    <row r="208" spans="1:30" x14ac:dyDescent="0.4">
      <c r="A208" s="10" t="s">
        <v>1021</v>
      </c>
      <c r="B208" s="77" t="s">
        <v>95</v>
      </c>
      <c r="C208" s="77">
        <f>C207+(BudgetsTable[[#This Row],[lead]]&lt;&gt;K207)</f>
        <v>45</v>
      </c>
      <c r="D208" s="77">
        <f>D207*(BudgetsTable[[#This Row],[lead]]=K207)+(BudgetsTable[[#This Row],[prop_id]]&lt;&gt;A207)</f>
        <v>1</v>
      </c>
      <c r="E208" s="78">
        <v>42935.680555555555</v>
      </c>
      <c r="F208" s="79" t="s">
        <v>1430</v>
      </c>
      <c r="G208" s="79" t="s">
        <v>477</v>
      </c>
      <c r="H208" s="79" t="s">
        <v>582</v>
      </c>
      <c r="I208" s="77" t="s">
        <v>611</v>
      </c>
      <c r="J208" s="77" t="s">
        <v>1301</v>
      </c>
      <c r="K208" s="79" t="s">
        <v>1021</v>
      </c>
      <c r="L208" s="7" t="str">
        <f>IF(BudgetsTable[[#This Row],[pi_last_name]]=" ","",HYPERLINK("https://www.ejacket.nsf.gov/ej/showProposal.do?Continue=Y&amp;ID="&amp;BudgetsTable[[#This Row],[prop_id]],BudgetsTable[[#This Row],[prop_id]]))</f>
        <v>1751048</v>
      </c>
      <c r="M208" s="15" t="e">
        <f>IF(BudgetsTable[[#This Row],[pi_last_name]]=" ","",HYPERLINK("https://www.ejacket.nsf.gov/ej/processReviewAnalysis.do?dispatch=add&amp;uniqId="&amp;BudgetsTable[[#This Row],[prop_id]]&amp;PO_id,"&gt;ra"))</f>
        <v>#REF!</v>
      </c>
      <c r="N208" s="79" t="s">
        <v>1022</v>
      </c>
      <c r="O208" s="7" t="str">
        <f>IF(BudgetsTable[[#This Row],[pi_last_name]]=" ","",HYPERLINK("mailto:"&amp;BudgetsTable[[#This Row],[pi_email]]&amp;"&amp;subject=Your NSF Proposal:  "&amp;BudgetsTable[[#This Row],[prop_id]],BudgetsTable[[#This Row],[pi_email]]))</f>
        <v>periklis.research@gmail.com</v>
      </c>
      <c r="P208" s="79" t="s">
        <v>1591</v>
      </c>
      <c r="Q208" s="79"/>
      <c r="R208" s="79"/>
      <c r="S208" s="80"/>
      <c r="T208" s="80"/>
      <c r="U208" s="80"/>
      <c r="V208" s="81"/>
      <c r="W208" s="79">
        <v>0</v>
      </c>
      <c r="X208" s="79"/>
      <c r="Y208" s="11" t="str">
        <f ca="1">IF(ISBLANK(BudgetsTable[[#This Row],[budg_seq_yr]]),"FY"&amp;fiscalyear,"FY"&amp;fiscalyear-1+BudgetsTable[[#This Row],[budg_seq_yr]])</f>
        <v>FY18</v>
      </c>
      <c r="Z208" s="80">
        <v>667571</v>
      </c>
      <c r="AA208" s="79" t="s">
        <v>477</v>
      </c>
      <c r="AB208" s="79" t="s">
        <v>582</v>
      </c>
      <c r="AC208" s="77" t="s">
        <v>94</v>
      </c>
      <c r="AD208" s="79" t="s">
        <v>1432</v>
      </c>
    </row>
    <row r="209" spans="1:30" x14ac:dyDescent="0.4">
      <c r="A209" s="10" t="s">
        <v>1021</v>
      </c>
      <c r="B209" s="77" t="s">
        <v>95</v>
      </c>
      <c r="C209" s="77">
        <f>C208+(BudgetsTable[[#This Row],[lead]]&lt;&gt;K208)</f>
        <v>45</v>
      </c>
      <c r="D209" s="77">
        <f>D208*(BudgetsTable[[#This Row],[lead]]=K208)+(BudgetsTable[[#This Row],[prop_id]]&lt;&gt;A208)</f>
        <v>1</v>
      </c>
      <c r="E209" s="78">
        <v>42935.680555555555</v>
      </c>
      <c r="F209" s="79" t="s">
        <v>1430</v>
      </c>
      <c r="G209" s="79" t="s">
        <v>477</v>
      </c>
      <c r="H209" s="79" t="s">
        <v>582</v>
      </c>
      <c r="I209" s="77" t="s">
        <v>611</v>
      </c>
      <c r="J209" s="77" t="s">
        <v>13</v>
      </c>
      <c r="K209" s="79" t="s">
        <v>1021</v>
      </c>
      <c r="L209" s="7" t="str">
        <f>IF(BudgetsTable[[#This Row],[pi_last_name]]=" ","",HYPERLINK("https://www.ejacket.nsf.gov/ej/showProposal.do?Continue=Y&amp;ID="&amp;BudgetsTable[[#This Row],[prop_id]],BudgetsTable[[#This Row],[prop_id]]))</f>
        <v/>
      </c>
      <c r="M209" s="15" t="str">
        <f>IF(BudgetsTable[[#This Row],[pi_last_name]]=" ","",HYPERLINK("https://www.ejacket.nsf.gov/ej/processReviewAnalysis.do?dispatch=add&amp;uniqId="&amp;BudgetsTable[[#This Row],[prop_id]]&amp;PO_id,"&gt;ra"))</f>
        <v/>
      </c>
      <c r="N209" s="79" t="s">
        <v>13</v>
      </c>
      <c r="O209" s="7" t="str">
        <f>IF(BudgetsTable[[#This Row],[pi_last_name]]=" ","",HYPERLINK("mailto:"&amp;BudgetsTable[[#This Row],[pi_email]]&amp;"&amp;subject=Your NSF Proposal:  "&amp;BudgetsTable[[#This Row],[prop_id]],BudgetsTable[[#This Row],[pi_email]]))</f>
        <v/>
      </c>
      <c r="P209" s="79" t="s">
        <v>13</v>
      </c>
      <c r="Q209" s="79">
        <v>1</v>
      </c>
      <c r="R209" s="79">
        <v>1</v>
      </c>
      <c r="S209" s="80">
        <v>0</v>
      </c>
      <c r="T209" s="80">
        <v>5000</v>
      </c>
      <c r="U209" s="80">
        <v>0</v>
      </c>
      <c r="V209" s="81">
        <v>129588</v>
      </c>
      <c r="W209" s="79">
        <v>0</v>
      </c>
      <c r="X209" s="79">
        <v>1</v>
      </c>
      <c r="Y209" s="11" t="str">
        <f ca="1">IF(ISBLANK(BudgetsTable[[#This Row],[budg_seq_yr]]),"FY"&amp;fiscalyear,"FY"&amp;fiscalyear-1+BudgetsTable[[#This Row],[budg_seq_yr]])</f>
        <v>FY18</v>
      </c>
      <c r="Z209" s="80">
        <v>129588</v>
      </c>
      <c r="AA209" s="79" t="s">
        <v>477</v>
      </c>
      <c r="AB209" s="79" t="s">
        <v>582</v>
      </c>
      <c r="AC209" s="77" t="s">
        <v>94</v>
      </c>
      <c r="AD209" s="79" t="s">
        <v>1432</v>
      </c>
    </row>
    <row r="210" spans="1:30" x14ac:dyDescent="0.4">
      <c r="A210" s="10" t="s">
        <v>1021</v>
      </c>
      <c r="B210" s="77" t="s">
        <v>95</v>
      </c>
      <c r="C210" s="77">
        <f>C209+(BudgetsTable[[#This Row],[lead]]&lt;&gt;K209)</f>
        <v>45</v>
      </c>
      <c r="D210" s="77">
        <f>D209*(BudgetsTable[[#This Row],[lead]]=K209)+(BudgetsTable[[#This Row],[prop_id]]&lt;&gt;A209)</f>
        <v>1</v>
      </c>
      <c r="E210" s="78">
        <v>42935.680555555555</v>
      </c>
      <c r="F210" s="79" t="s">
        <v>1430</v>
      </c>
      <c r="G210" s="79" t="s">
        <v>477</v>
      </c>
      <c r="H210" s="79" t="s">
        <v>582</v>
      </c>
      <c r="I210" s="77" t="s">
        <v>611</v>
      </c>
      <c r="J210" s="77" t="s">
        <v>13</v>
      </c>
      <c r="K210" s="79" t="s">
        <v>1021</v>
      </c>
      <c r="L210" s="7" t="str">
        <f>IF(BudgetsTable[[#This Row],[pi_last_name]]=" ","",HYPERLINK("https://www.ejacket.nsf.gov/ej/showProposal.do?Continue=Y&amp;ID="&amp;BudgetsTable[[#This Row],[prop_id]],BudgetsTable[[#This Row],[prop_id]]))</f>
        <v/>
      </c>
      <c r="M210" s="15" t="str">
        <f>IF(BudgetsTable[[#This Row],[pi_last_name]]=" ","",HYPERLINK("https://www.ejacket.nsf.gov/ej/processReviewAnalysis.do?dispatch=add&amp;uniqId="&amp;BudgetsTable[[#This Row],[prop_id]]&amp;PO_id,"&gt;ra"))</f>
        <v/>
      </c>
      <c r="N210" s="79" t="s">
        <v>13</v>
      </c>
      <c r="O210" s="7" t="str">
        <f>IF(BudgetsTable[[#This Row],[pi_last_name]]=" ","",HYPERLINK("mailto:"&amp;BudgetsTable[[#This Row],[pi_email]]&amp;"&amp;subject=Your NSF Proposal:  "&amp;BudgetsTable[[#This Row],[prop_id]],BudgetsTable[[#This Row],[pi_email]]))</f>
        <v/>
      </c>
      <c r="P210" s="79" t="s">
        <v>13</v>
      </c>
      <c r="Q210" s="79">
        <v>1</v>
      </c>
      <c r="R210" s="79">
        <v>1</v>
      </c>
      <c r="S210" s="80">
        <v>0</v>
      </c>
      <c r="T210" s="80">
        <v>5000</v>
      </c>
      <c r="U210" s="80">
        <v>0</v>
      </c>
      <c r="V210" s="81">
        <v>128146</v>
      </c>
      <c r="W210" s="79">
        <v>0</v>
      </c>
      <c r="X210" s="79">
        <v>2</v>
      </c>
      <c r="Y210" s="11" t="str">
        <f ca="1">IF(ISBLANK(BudgetsTable[[#This Row],[budg_seq_yr]]),"FY"&amp;fiscalyear,"FY"&amp;fiscalyear-1+BudgetsTable[[#This Row],[budg_seq_yr]])</f>
        <v>FY19</v>
      </c>
      <c r="Z210" s="80">
        <v>128146</v>
      </c>
      <c r="AA210" s="79" t="s">
        <v>477</v>
      </c>
      <c r="AB210" s="79" t="s">
        <v>582</v>
      </c>
      <c r="AC210" s="77" t="s">
        <v>94</v>
      </c>
      <c r="AD210" s="79" t="s">
        <v>1432</v>
      </c>
    </row>
    <row r="211" spans="1:30" x14ac:dyDescent="0.4">
      <c r="A211" s="10" t="s">
        <v>1021</v>
      </c>
      <c r="B211" s="77" t="s">
        <v>95</v>
      </c>
      <c r="C211" s="77">
        <f>C210+(BudgetsTable[[#This Row],[lead]]&lt;&gt;K210)</f>
        <v>45</v>
      </c>
      <c r="D211" s="77">
        <f>D210*(BudgetsTable[[#This Row],[lead]]=K210)+(BudgetsTable[[#This Row],[prop_id]]&lt;&gt;A210)</f>
        <v>1</v>
      </c>
      <c r="E211" s="78">
        <v>42935.680555555555</v>
      </c>
      <c r="F211" s="79" t="s">
        <v>1430</v>
      </c>
      <c r="G211" s="79" t="s">
        <v>477</v>
      </c>
      <c r="H211" s="79" t="s">
        <v>582</v>
      </c>
      <c r="I211" s="77" t="s">
        <v>611</v>
      </c>
      <c r="J211" s="77" t="s">
        <v>13</v>
      </c>
      <c r="K211" s="79" t="s">
        <v>1021</v>
      </c>
      <c r="L211" s="7" t="str">
        <f>IF(BudgetsTable[[#This Row],[pi_last_name]]=" ","",HYPERLINK("https://www.ejacket.nsf.gov/ej/showProposal.do?Continue=Y&amp;ID="&amp;BudgetsTable[[#This Row],[prop_id]],BudgetsTable[[#This Row],[prop_id]]))</f>
        <v/>
      </c>
      <c r="M211" s="15" t="str">
        <f>IF(BudgetsTable[[#This Row],[pi_last_name]]=" ","",HYPERLINK("https://www.ejacket.nsf.gov/ej/processReviewAnalysis.do?dispatch=add&amp;uniqId="&amp;BudgetsTable[[#This Row],[prop_id]]&amp;PO_id,"&gt;ra"))</f>
        <v/>
      </c>
      <c r="N211" s="79" t="s">
        <v>13</v>
      </c>
      <c r="O211" s="7" t="str">
        <f>IF(BudgetsTable[[#This Row],[pi_last_name]]=" ","",HYPERLINK("mailto:"&amp;BudgetsTable[[#This Row],[pi_email]]&amp;"&amp;subject=Your NSF Proposal:  "&amp;BudgetsTable[[#This Row],[prop_id]],BudgetsTable[[#This Row],[pi_email]]))</f>
        <v/>
      </c>
      <c r="P211" s="79" t="s">
        <v>13</v>
      </c>
      <c r="Q211" s="79">
        <v>1</v>
      </c>
      <c r="R211" s="79">
        <v>1</v>
      </c>
      <c r="S211" s="80">
        <v>0</v>
      </c>
      <c r="T211" s="80">
        <v>5000</v>
      </c>
      <c r="U211" s="80">
        <v>0</v>
      </c>
      <c r="V211" s="81">
        <v>132271</v>
      </c>
      <c r="W211" s="79">
        <v>0</v>
      </c>
      <c r="X211" s="79">
        <v>3</v>
      </c>
      <c r="Y211" s="11" t="str">
        <f ca="1">IF(ISBLANK(BudgetsTable[[#This Row],[budg_seq_yr]]),"FY"&amp;fiscalyear,"FY"&amp;fiscalyear-1+BudgetsTable[[#This Row],[budg_seq_yr]])</f>
        <v>FY20</v>
      </c>
      <c r="Z211" s="80">
        <v>132271</v>
      </c>
      <c r="AA211" s="79" t="s">
        <v>477</v>
      </c>
      <c r="AB211" s="79" t="s">
        <v>582</v>
      </c>
      <c r="AC211" s="77" t="s">
        <v>94</v>
      </c>
      <c r="AD211" s="79" t="s">
        <v>1432</v>
      </c>
    </row>
    <row r="212" spans="1:30" x14ac:dyDescent="0.4">
      <c r="A212" s="10" t="s">
        <v>1021</v>
      </c>
      <c r="B212" s="77" t="s">
        <v>95</v>
      </c>
      <c r="C212" s="77">
        <f>C211+(BudgetsTable[[#This Row],[lead]]&lt;&gt;K211)</f>
        <v>45</v>
      </c>
      <c r="D212" s="77">
        <f>D211*(BudgetsTable[[#This Row],[lead]]=K211)+(BudgetsTable[[#This Row],[prop_id]]&lt;&gt;A211)</f>
        <v>1</v>
      </c>
      <c r="E212" s="78">
        <v>42935.680555555555</v>
      </c>
      <c r="F212" s="79" t="s">
        <v>1430</v>
      </c>
      <c r="G212" s="79" t="s">
        <v>477</v>
      </c>
      <c r="H212" s="79" t="s">
        <v>582</v>
      </c>
      <c r="I212" s="77" t="s">
        <v>611</v>
      </c>
      <c r="J212" s="77" t="s">
        <v>13</v>
      </c>
      <c r="K212" s="79" t="s">
        <v>1021</v>
      </c>
      <c r="L212" s="7" t="str">
        <f>IF(BudgetsTable[[#This Row],[pi_last_name]]=" ","",HYPERLINK("https://www.ejacket.nsf.gov/ej/showProposal.do?Continue=Y&amp;ID="&amp;BudgetsTable[[#This Row],[prop_id]],BudgetsTable[[#This Row],[prop_id]]))</f>
        <v/>
      </c>
      <c r="M212" s="15" t="str">
        <f>IF(BudgetsTable[[#This Row],[pi_last_name]]=" ","",HYPERLINK("https://www.ejacket.nsf.gov/ej/processReviewAnalysis.do?dispatch=add&amp;uniqId="&amp;BudgetsTable[[#This Row],[prop_id]]&amp;PO_id,"&gt;ra"))</f>
        <v/>
      </c>
      <c r="N212" s="79" t="s">
        <v>13</v>
      </c>
      <c r="O212" s="7" t="str">
        <f>IF(BudgetsTable[[#This Row],[pi_last_name]]=" ","",HYPERLINK("mailto:"&amp;BudgetsTable[[#This Row],[pi_email]]&amp;"&amp;subject=Your NSF Proposal:  "&amp;BudgetsTable[[#This Row],[prop_id]],BudgetsTable[[#This Row],[pi_email]]))</f>
        <v/>
      </c>
      <c r="P212" s="79" t="s">
        <v>13</v>
      </c>
      <c r="Q212" s="79">
        <v>1</v>
      </c>
      <c r="R212" s="79">
        <v>1</v>
      </c>
      <c r="S212" s="80">
        <v>0</v>
      </c>
      <c r="T212" s="80">
        <v>5000</v>
      </c>
      <c r="U212" s="80">
        <v>0</v>
      </c>
      <c r="V212" s="81">
        <v>136556</v>
      </c>
      <c r="W212" s="79">
        <v>0</v>
      </c>
      <c r="X212" s="79">
        <v>4</v>
      </c>
      <c r="Y212" s="11" t="str">
        <f ca="1">IF(ISBLANK(BudgetsTable[[#This Row],[budg_seq_yr]]),"FY"&amp;fiscalyear,"FY"&amp;fiscalyear-1+BudgetsTable[[#This Row],[budg_seq_yr]])</f>
        <v>FY21</v>
      </c>
      <c r="Z212" s="80">
        <v>136556</v>
      </c>
      <c r="AA212" s="79" t="s">
        <v>477</v>
      </c>
      <c r="AB212" s="79" t="s">
        <v>582</v>
      </c>
      <c r="AC212" s="77" t="s">
        <v>94</v>
      </c>
      <c r="AD212" s="79" t="s">
        <v>1432</v>
      </c>
    </row>
    <row r="213" spans="1:30" x14ac:dyDescent="0.4">
      <c r="A213" s="10" t="s">
        <v>1021</v>
      </c>
      <c r="B213" s="77" t="s">
        <v>95</v>
      </c>
      <c r="C213" s="77">
        <f>C212+(BudgetsTable[[#This Row],[lead]]&lt;&gt;K212)</f>
        <v>45</v>
      </c>
      <c r="D213" s="77">
        <f>D212*(BudgetsTable[[#This Row],[lead]]=K212)+(BudgetsTable[[#This Row],[prop_id]]&lt;&gt;A212)</f>
        <v>1</v>
      </c>
      <c r="E213" s="78">
        <v>42935.680555555555</v>
      </c>
      <c r="F213" s="79" t="s">
        <v>1430</v>
      </c>
      <c r="G213" s="79" t="s">
        <v>477</v>
      </c>
      <c r="H213" s="79" t="s">
        <v>582</v>
      </c>
      <c r="I213" s="77" t="s">
        <v>611</v>
      </c>
      <c r="J213" s="77" t="s">
        <v>13</v>
      </c>
      <c r="K213" s="79" t="s">
        <v>1021</v>
      </c>
      <c r="L213" s="7" t="str">
        <f>IF(BudgetsTable[[#This Row],[pi_last_name]]=" ","",HYPERLINK("https://www.ejacket.nsf.gov/ej/showProposal.do?Continue=Y&amp;ID="&amp;BudgetsTable[[#This Row],[prop_id]],BudgetsTable[[#This Row],[prop_id]]))</f>
        <v/>
      </c>
      <c r="M213" s="15" t="str">
        <f>IF(BudgetsTable[[#This Row],[pi_last_name]]=" ","",HYPERLINK("https://www.ejacket.nsf.gov/ej/processReviewAnalysis.do?dispatch=add&amp;uniqId="&amp;BudgetsTable[[#This Row],[prop_id]]&amp;PO_id,"&gt;ra"))</f>
        <v/>
      </c>
      <c r="N213" s="79" t="s">
        <v>13</v>
      </c>
      <c r="O213" s="7" t="str">
        <f>IF(BudgetsTable[[#This Row],[pi_last_name]]=" ","",HYPERLINK("mailto:"&amp;BudgetsTable[[#This Row],[pi_email]]&amp;"&amp;subject=Your NSF Proposal:  "&amp;BudgetsTable[[#This Row],[prop_id]],BudgetsTable[[#This Row],[pi_email]]))</f>
        <v/>
      </c>
      <c r="P213" s="79" t="s">
        <v>13</v>
      </c>
      <c r="Q213" s="79">
        <v>1</v>
      </c>
      <c r="R213" s="79">
        <v>1</v>
      </c>
      <c r="S213" s="80">
        <v>0</v>
      </c>
      <c r="T213" s="80">
        <v>5000</v>
      </c>
      <c r="U213" s="80">
        <v>0</v>
      </c>
      <c r="V213" s="81">
        <v>141010</v>
      </c>
      <c r="W213" s="79">
        <v>0</v>
      </c>
      <c r="X213" s="79">
        <v>5</v>
      </c>
      <c r="Y213" s="11" t="str">
        <f ca="1">IF(ISBLANK(BudgetsTable[[#This Row],[budg_seq_yr]]),"FY"&amp;fiscalyear,"FY"&amp;fiscalyear-1+BudgetsTable[[#This Row],[budg_seq_yr]])</f>
        <v>FY22</v>
      </c>
      <c r="Z213" s="80">
        <v>141010</v>
      </c>
      <c r="AA213" s="79" t="s">
        <v>477</v>
      </c>
      <c r="AB213" s="79" t="s">
        <v>582</v>
      </c>
      <c r="AC213" s="77" t="s">
        <v>94</v>
      </c>
      <c r="AD213" s="79" t="s">
        <v>1432</v>
      </c>
    </row>
    <row r="214" spans="1:30" x14ac:dyDescent="0.4">
      <c r="A214" s="10" t="s">
        <v>1030</v>
      </c>
      <c r="B214" s="77" t="s">
        <v>95</v>
      </c>
      <c r="C214" s="77">
        <f>C213+(BudgetsTable[[#This Row],[lead]]&lt;&gt;K213)</f>
        <v>46</v>
      </c>
      <c r="D214" s="77">
        <f>D213*(BudgetsTable[[#This Row],[lead]]=K213)+(BudgetsTable[[#This Row],[prop_id]]&lt;&gt;A213)</f>
        <v>1</v>
      </c>
      <c r="E214" s="78">
        <v>42935.68472222222</v>
      </c>
      <c r="F214" s="79" t="s">
        <v>1430</v>
      </c>
      <c r="G214" s="79" t="s">
        <v>477</v>
      </c>
      <c r="H214" s="79" t="s">
        <v>582</v>
      </c>
      <c r="I214" s="77" t="s">
        <v>611</v>
      </c>
      <c r="J214" s="77" t="s">
        <v>1288</v>
      </c>
      <c r="K214" s="79" t="s">
        <v>1030</v>
      </c>
      <c r="L214" s="7" t="str">
        <f>IF(BudgetsTable[[#This Row],[pi_last_name]]=" ","",HYPERLINK("https://www.ejacket.nsf.gov/ej/showProposal.do?Continue=Y&amp;ID="&amp;BudgetsTable[[#This Row],[prop_id]],BudgetsTable[[#This Row],[prop_id]]))</f>
        <v>1751076</v>
      </c>
      <c r="M214" s="15" t="e">
        <f>IF(BudgetsTable[[#This Row],[pi_last_name]]=" ","",HYPERLINK("https://www.ejacket.nsf.gov/ej/processReviewAnalysis.do?dispatch=add&amp;uniqId="&amp;BudgetsTable[[#This Row],[prop_id]]&amp;PO_id,"&gt;ra"))</f>
        <v>#REF!</v>
      </c>
      <c r="N214" s="79" t="s">
        <v>1031</v>
      </c>
      <c r="O214" s="7" t="str">
        <f>IF(BudgetsTable[[#This Row],[pi_last_name]]=" ","",HYPERLINK("mailto:"&amp;BudgetsTable[[#This Row],[pi_email]]&amp;"&amp;subject=Your NSF Proposal:  "&amp;BudgetsTable[[#This Row],[prop_id]],BudgetsTable[[#This Row],[pi_email]]))</f>
        <v>gkatz@drexel.edu</v>
      </c>
      <c r="P214" s="79" t="s">
        <v>1594</v>
      </c>
      <c r="Q214" s="79"/>
      <c r="R214" s="79"/>
      <c r="S214" s="80"/>
      <c r="T214" s="80"/>
      <c r="U214" s="80"/>
      <c r="V214" s="81"/>
      <c r="W214" s="79">
        <v>0</v>
      </c>
      <c r="X214" s="79"/>
      <c r="Y214" s="11" t="str">
        <f ca="1">IF(ISBLANK(BudgetsTable[[#This Row],[budg_seq_yr]]),"FY"&amp;fiscalyear,"FY"&amp;fiscalyear-1+BudgetsTable[[#This Row],[budg_seq_yr]])</f>
        <v>FY18</v>
      </c>
      <c r="Z214" s="80">
        <v>559983</v>
      </c>
      <c r="AA214" s="79" t="s">
        <v>477</v>
      </c>
      <c r="AB214" s="79" t="s">
        <v>582</v>
      </c>
      <c r="AC214" s="77" t="s">
        <v>94</v>
      </c>
      <c r="AD214" s="79" t="s">
        <v>1539</v>
      </c>
    </row>
    <row r="215" spans="1:30" x14ac:dyDescent="0.4">
      <c r="A215" s="10" t="s">
        <v>1030</v>
      </c>
      <c r="B215" s="77" t="s">
        <v>95</v>
      </c>
      <c r="C215" s="77">
        <f>C214+(BudgetsTable[[#This Row],[lead]]&lt;&gt;K214)</f>
        <v>46</v>
      </c>
      <c r="D215" s="77">
        <f>D214*(BudgetsTable[[#This Row],[lead]]=K214)+(BudgetsTable[[#This Row],[prop_id]]&lt;&gt;A214)</f>
        <v>1</v>
      </c>
      <c r="E215" s="78">
        <v>42935.68472222222</v>
      </c>
      <c r="F215" s="79" t="s">
        <v>1430</v>
      </c>
      <c r="G215" s="79" t="s">
        <v>477</v>
      </c>
      <c r="H215" s="79" t="s">
        <v>582</v>
      </c>
      <c r="I215" s="77" t="s">
        <v>611</v>
      </c>
      <c r="J215" s="77" t="s">
        <v>13</v>
      </c>
      <c r="K215" s="79" t="s">
        <v>1030</v>
      </c>
      <c r="L215" s="7" t="str">
        <f>IF(BudgetsTable[[#This Row],[pi_last_name]]=" ","",HYPERLINK("https://www.ejacket.nsf.gov/ej/showProposal.do?Continue=Y&amp;ID="&amp;BudgetsTable[[#This Row],[prop_id]],BudgetsTable[[#This Row],[prop_id]]))</f>
        <v/>
      </c>
      <c r="M215" s="15" t="str">
        <f>IF(BudgetsTable[[#This Row],[pi_last_name]]=" ","",HYPERLINK("https://www.ejacket.nsf.gov/ej/processReviewAnalysis.do?dispatch=add&amp;uniqId="&amp;BudgetsTable[[#This Row],[prop_id]]&amp;PO_id,"&gt;ra"))</f>
        <v/>
      </c>
      <c r="N215" s="79" t="s">
        <v>13</v>
      </c>
      <c r="O215" s="7" t="str">
        <f>IF(BudgetsTable[[#This Row],[pi_last_name]]=" ","",HYPERLINK("mailto:"&amp;BudgetsTable[[#This Row],[pi_email]]&amp;"&amp;subject=Your NSF Proposal:  "&amp;BudgetsTable[[#This Row],[prop_id]],BudgetsTable[[#This Row],[pi_email]]))</f>
        <v/>
      </c>
      <c r="P215" s="79" t="s">
        <v>13</v>
      </c>
      <c r="Q215" s="79">
        <v>1</v>
      </c>
      <c r="R215" s="79">
        <v>1</v>
      </c>
      <c r="S215" s="80">
        <v>0</v>
      </c>
      <c r="T215" s="80">
        <v>2000</v>
      </c>
      <c r="U215" s="80">
        <v>0</v>
      </c>
      <c r="V215" s="81">
        <v>112409</v>
      </c>
      <c r="W215" s="79">
        <v>0</v>
      </c>
      <c r="X215" s="79">
        <v>1</v>
      </c>
      <c r="Y215" s="11" t="str">
        <f ca="1">IF(ISBLANK(BudgetsTable[[#This Row],[budg_seq_yr]]),"FY"&amp;fiscalyear,"FY"&amp;fiscalyear-1+BudgetsTable[[#This Row],[budg_seq_yr]])</f>
        <v>FY18</v>
      </c>
      <c r="Z215" s="80">
        <v>112409</v>
      </c>
      <c r="AA215" s="79" t="s">
        <v>477</v>
      </c>
      <c r="AB215" s="79" t="s">
        <v>582</v>
      </c>
      <c r="AC215" s="77" t="s">
        <v>94</v>
      </c>
      <c r="AD215" s="79" t="s">
        <v>1539</v>
      </c>
    </row>
    <row r="216" spans="1:30" x14ac:dyDescent="0.4">
      <c r="A216" s="10" t="s">
        <v>1030</v>
      </c>
      <c r="B216" s="77" t="s">
        <v>95</v>
      </c>
      <c r="C216" s="77">
        <f>C215+(BudgetsTable[[#This Row],[lead]]&lt;&gt;K215)</f>
        <v>46</v>
      </c>
      <c r="D216" s="77">
        <f>D215*(BudgetsTable[[#This Row],[lead]]=K215)+(BudgetsTable[[#This Row],[prop_id]]&lt;&gt;A215)</f>
        <v>1</v>
      </c>
      <c r="E216" s="78">
        <v>42935.68472222222</v>
      </c>
      <c r="F216" s="79" t="s">
        <v>1430</v>
      </c>
      <c r="G216" s="79" t="s">
        <v>477</v>
      </c>
      <c r="H216" s="79" t="s">
        <v>582</v>
      </c>
      <c r="I216" s="77" t="s">
        <v>611</v>
      </c>
      <c r="J216" s="77" t="s">
        <v>13</v>
      </c>
      <c r="K216" s="79" t="s">
        <v>1030</v>
      </c>
      <c r="L216" s="7" t="str">
        <f>IF(BudgetsTable[[#This Row],[pi_last_name]]=" ","",HYPERLINK("https://www.ejacket.nsf.gov/ej/showProposal.do?Continue=Y&amp;ID="&amp;BudgetsTable[[#This Row],[prop_id]],BudgetsTable[[#This Row],[prop_id]]))</f>
        <v/>
      </c>
      <c r="M216" s="15" t="str">
        <f>IF(BudgetsTable[[#This Row],[pi_last_name]]=" ","",HYPERLINK("https://www.ejacket.nsf.gov/ej/processReviewAnalysis.do?dispatch=add&amp;uniqId="&amp;BudgetsTable[[#This Row],[prop_id]]&amp;PO_id,"&gt;ra"))</f>
        <v/>
      </c>
      <c r="N216" s="79" t="s">
        <v>13</v>
      </c>
      <c r="O216" s="7" t="str">
        <f>IF(BudgetsTable[[#This Row],[pi_last_name]]=" ","",HYPERLINK("mailto:"&amp;BudgetsTable[[#This Row],[pi_email]]&amp;"&amp;subject=Your NSF Proposal:  "&amp;BudgetsTable[[#This Row],[prop_id]],BudgetsTable[[#This Row],[pi_email]]))</f>
        <v/>
      </c>
      <c r="P216" s="79" t="s">
        <v>13</v>
      </c>
      <c r="Q216" s="79">
        <v>1</v>
      </c>
      <c r="R216" s="79">
        <v>1</v>
      </c>
      <c r="S216" s="80">
        <v>0</v>
      </c>
      <c r="T216" s="80">
        <v>2000</v>
      </c>
      <c r="U216" s="80">
        <v>0</v>
      </c>
      <c r="V216" s="81">
        <v>107326</v>
      </c>
      <c r="W216" s="79">
        <v>0</v>
      </c>
      <c r="X216" s="79">
        <v>2</v>
      </c>
      <c r="Y216" s="11" t="str">
        <f ca="1">IF(ISBLANK(BudgetsTable[[#This Row],[budg_seq_yr]]),"FY"&amp;fiscalyear,"FY"&amp;fiscalyear-1+BudgetsTable[[#This Row],[budg_seq_yr]])</f>
        <v>FY19</v>
      </c>
      <c r="Z216" s="80">
        <v>107326</v>
      </c>
      <c r="AA216" s="79" t="s">
        <v>477</v>
      </c>
      <c r="AB216" s="79" t="s">
        <v>582</v>
      </c>
      <c r="AC216" s="77" t="s">
        <v>94</v>
      </c>
      <c r="AD216" s="79" t="s">
        <v>1539</v>
      </c>
    </row>
    <row r="217" spans="1:30" x14ac:dyDescent="0.4">
      <c r="A217" s="10" t="s">
        <v>1030</v>
      </c>
      <c r="B217" s="77" t="s">
        <v>95</v>
      </c>
      <c r="C217" s="77">
        <f>C216+(BudgetsTable[[#This Row],[lead]]&lt;&gt;K216)</f>
        <v>46</v>
      </c>
      <c r="D217" s="77">
        <f>D216*(BudgetsTable[[#This Row],[lead]]=K216)+(BudgetsTable[[#This Row],[prop_id]]&lt;&gt;A216)</f>
        <v>1</v>
      </c>
      <c r="E217" s="78">
        <v>42935.68472222222</v>
      </c>
      <c r="F217" s="79" t="s">
        <v>1430</v>
      </c>
      <c r="G217" s="79" t="s">
        <v>477</v>
      </c>
      <c r="H217" s="79" t="s">
        <v>582</v>
      </c>
      <c r="I217" s="77" t="s">
        <v>611</v>
      </c>
      <c r="J217" s="77" t="s">
        <v>13</v>
      </c>
      <c r="K217" s="79" t="s">
        <v>1030</v>
      </c>
      <c r="L217" s="7" t="str">
        <f>IF(BudgetsTable[[#This Row],[pi_last_name]]=" ","",HYPERLINK("https://www.ejacket.nsf.gov/ej/showProposal.do?Continue=Y&amp;ID="&amp;BudgetsTable[[#This Row],[prop_id]],BudgetsTable[[#This Row],[prop_id]]))</f>
        <v/>
      </c>
      <c r="M217" s="15" t="str">
        <f>IF(BudgetsTable[[#This Row],[pi_last_name]]=" ","",HYPERLINK("https://www.ejacket.nsf.gov/ej/processReviewAnalysis.do?dispatch=add&amp;uniqId="&amp;BudgetsTable[[#This Row],[prop_id]]&amp;PO_id,"&gt;ra"))</f>
        <v/>
      </c>
      <c r="N217" s="79" t="s">
        <v>13</v>
      </c>
      <c r="O217" s="7" t="str">
        <f>IF(BudgetsTable[[#This Row],[pi_last_name]]=" ","",HYPERLINK("mailto:"&amp;BudgetsTable[[#This Row],[pi_email]]&amp;"&amp;subject=Your NSF Proposal:  "&amp;BudgetsTable[[#This Row],[prop_id]],BudgetsTable[[#This Row],[pi_email]]))</f>
        <v/>
      </c>
      <c r="P217" s="79" t="s">
        <v>13</v>
      </c>
      <c r="Q217" s="79">
        <v>1</v>
      </c>
      <c r="R217" s="79">
        <v>1</v>
      </c>
      <c r="S217" s="80">
        <v>0</v>
      </c>
      <c r="T217" s="80">
        <v>2000</v>
      </c>
      <c r="U217" s="80">
        <v>0</v>
      </c>
      <c r="V217" s="81">
        <v>110310</v>
      </c>
      <c r="W217" s="79">
        <v>0</v>
      </c>
      <c r="X217" s="79">
        <v>3</v>
      </c>
      <c r="Y217" s="11" t="str">
        <f ca="1">IF(ISBLANK(BudgetsTable[[#This Row],[budg_seq_yr]]),"FY"&amp;fiscalyear,"FY"&amp;fiscalyear-1+BudgetsTable[[#This Row],[budg_seq_yr]])</f>
        <v>FY20</v>
      </c>
      <c r="Z217" s="80">
        <v>110310</v>
      </c>
      <c r="AA217" s="79" t="s">
        <v>477</v>
      </c>
      <c r="AB217" s="79" t="s">
        <v>582</v>
      </c>
      <c r="AC217" s="77" t="s">
        <v>94</v>
      </c>
      <c r="AD217" s="79" t="s">
        <v>1539</v>
      </c>
    </row>
    <row r="218" spans="1:30" x14ac:dyDescent="0.4">
      <c r="A218" s="10" t="s">
        <v>1030</v>
      </c>
      <c r="B218" s="77" t="s">
        <v>95</v>
      </c>
      <c r="C218" s="77">
        <f>C217+(BudgetsTable[[#This Row],[lead]]&lt;&gt;K217)</f>
        <v>46</v>
      </c>
      <c r="D218" s="77">
        <f>D217*(BudgetsTable[[#This Row],[lead]]=K217)+(BudgetsTable[[#This Row],[prop_id]]&lt;&gt;A217)</f>
        <v>1</v>
      </c>
      <c r="E218" s="78">
        <v>42935.68472222222</v>
      </c>
      <c r="F218" s="79" t="s">
        <v>1430</v>
      </c>
      <c r="G218" s="79" t="s">
        <v>477</v>
      </c>
      <c r="H218" s="79" t="s">
        <v>582</v>
      </c>
      <c r="I218" s="77" t="s">
        <v>611</v>
      </c>
      <c r="J218" s="77" t="s">
        <v>13</v>
      </c>
      <c r="K218" s="79" t="s">
        <v>1030</v>
      </c>
      <c r="L218" s="7" t="str">
        <f>IF(BudgetsTable[[#This Row],[pi_last_name]]=" ","",HYPERLINK("https://www.ejacket.nsf.gov/ej/showProposal.do?Continue=Y&amp;ID="&amp;BudgetsTable[[#This Row],[prop_id]],BudgetsTable[[#This Row],[prop_id]]))</f>
        <v/>
      </c>
      <c r="M218" s="15" t="str">
        <f>IF(BudgetsTable[[#This Row],[pi_last_name]]=" ","",HYPERLINK("https://www.ejacket.nsf.gov/ej/processReviewAnalysis.do?dispatch=add&amp;uniqId="&amp;BudgetsTable[[#This Row],[prop_id]]&amp;PO_id,"&gt;ra"))</f>
        <v/>
      </c>
      <c r="N218" s="79" t="s">
        <v>13</v>
      </c>
      <c r="O218" s="7" t="str">
        <f>IF(BudgetsTable[[#This Row],[pi_last_name]]=" ","",HYPERLINK("mailto:"&amp;BudgetsTable[[#This Row],[pi_email]]&amp;"&amp;subject=Your NSF Proposal:  "&amp;BudgetsTable[[#This Row],[prop_id]],BudgetsTable[[#This Row],[pi_email]]))</f>
        <v/>
      </c>
      <c r="P218" s="79" t="s">
        <v>13</v>
      </c>
      <c r="Q218" s="79">
        <v>1</v>
      </c>
      <c r="R218" s="79">
        <v>1</v>
      </c>
      <c r="S218" s="80">
        <v>0</v>
      </c>
      <c r="T218" s="80">
        <v>2000</v>
      </c>
      <c r="U218" s="80">
        <v>0</v>
      </c>
      <c r="V218" s="81">
        <v>113386</v>
      </c>
      <c r="W218" s="79">
        <v>0</v>
      </c>
      <c r="X218" s="79">
        <v>4</v>
      </c>
      <c r="Y218" s="11" t="str">
        <f ca="1">IF(ISBLANK(BudgetsTable[[#This Row],[budg_seq_yr]]),"FY"&amp;fiscalyear,"FY"&amp;fiscalyear-1+BudgetsTable[[#This Row],[budg_seq_yr]])</f>
        <v>FY21</v>
      </c>
      <c r="Z218" s="80">
        <v>113386</v>
      </c>
      <c r="AA218" s="79" t="s">
        <v>477</v>
      </c>
      <c r="AB218" s="79" t="s">
        <v>582</v>
      </c>
      <c r="AC218" s="77" t="s">
        <v>94</v>
      </c>
      <c r="AD218" s="79" t="s">
        <v>1539</v>
      </c>
    </row>
    <row r="219" spans="1:30" x14ac:dyDescent="0.4">
      <c r="A219" s="10" t="s">
        <v>1030</v>
      </c>
      <c r="B219" s="77" t="s">
        <v>95</v>
      </c>
      <c r="C219" s="77">
        <f>C218+(BudgetsTable[[#This Row],[lead]]&lt;&gt;K218)</f>
        <v>46</v>
      </c>
      <c r="D219" s="77">
        <f>D218*(BudgetsTable[[#This Row],[lead]]=K218)+(BudgetsTable[[#This Row],[prop_id]]&lt;&gt;A218)</f>
        <v>1</v>
      </c>
      <c r="E219" s="78">
        <v>42935.68472222222</v>
      </c>
      <c r="F219" s="79" t="s">
        <v>1430</v>
      </c>
      <c r="G219" s="79" t="s">
        <v>477</v>
      </c>
      <c r="H219" s="79" t="s">
        <v>582</v>
      </c>
      <c r="I219" s="77" t="s">
        <v>611</v>
      </c>
      <c r="J219" s="77" t="s">
        <v>13</v>
      </c>
      <c r="K219" s="79" t="s">
        <v>1030</v>
      </c>
      <c r="L219" s="7" t="str">
        <f>IF(BudgetsTable[[#This Row],[pi_last_name]]=" ","",HYPERLINK("https://www.ejacket.nsf.gov/ej/showProposal.do?Continue=Y&amp;ID="&amp;BudgetsTable[[#This Row],[prop_id]],BudgetsTable[[#This Row],[prop_id]]))</f>
        <v/>
      </c>
      <c r="M219" s="15" t="str">
        <f>IF(BudgetsTable[[#This Row],[pi_last_name]]=" ","",HYPERLINK("https://www.ejacket.nsf.gov/ej/processReviewAnalysis.do?dispatch=add&amp;uniqId="&amp;BudgetsTable[[#This Row],[prop_id]]&amp;PO_id,"&gt;ra"))</f>
        <v/>
      </c>
      <c r="N219" s="79" t="s">
        <v>13</v>
      </c>
      <c r="O219" s="7" t="str">
        <f>IF(BudgetsTable[[#This Row],[pi_last_name]]=" ","",HYPERLINK("mailto:"&amp;BudgetsTable[[#This Row],[pi_email]]&amp;"&amp;subject=Your NSF Proposal:  "&amp;BudgetsTable[[#This Row],[prop_id]],BudgetsTable[[#This Row],[pi_email]]))</f>
        <v/>
      </c>
      <c r="P219" s="79" t="s">
        <v>13</v>
      </c>
      <c r="Q219" s="79">
        <v>1</v>
      </c>
      <c r="R219" s="79">
        <v>1</v>
      </c>
      <c r="S219" s="80">
        <v>0</v>
      </c>
      <c r="T219" s="80">
        <v>2000</v>
      </c>
      <c r="U219" s="80">
        <v>0</v>
      </c>
      <c r="V219" s="81">
        <v>116552</v>
      </c>
      <c r="W219" s="79">
        <v>0</v>
      </c>
      <c r="X219" s="79">
        <v>5</v>
      </c>
      <c r="Y219" s="11" t="str">
        <f ca="1">IF(ISBLANK(BudgetsTable[[#This Row],[budg_seq_yr]]),"FY"&amp;fiscalyear,"FY"&amp;fiscalyear-1+BudgetsTable[[#This Row],[budg_seq_yr]])</f>
        <v>FY22</v>
      </c>
      <c r="Z219" s="80">
        <v>116552</v>
      </c>
      <c r="AA219" s="79" t="s">
        <v>477</v>
      </c>
      <c r="AB219" s="79" t="s">
        <v>582</v>
      </c>
      <c r="AC219" s="77" t="s">
        <v>94</v>
      </c>
      <c r="AD219" s="79" t="s">
        <v>1539</v>
      </c>
    </row>
    <row r="220" spans="1:30" x14ac:dyDescent="0.4">
      <c r="A220" s="10" t="s">
        <v>1039</v>
      </c>
      <c r="B220" s="77" t="s">
        <v>95</v>
      </c>
      <c r="C220" s="77">
        <f>C219+(BudgetsTable[[#This Row],[lead]]&lt;&gt;K219)</f>
        <v>47</v>
      </c>
      <c r="D220" s="77">
        <f>D219*(BudgetsTable[[#This Row],[lead]]=K219)+(BudgetsTable[[#This Row],[prop_id]]&lt;&gt;A219)</f>
        <v>1</v>
      </c>
      <c r="E220" s="78">
        <v>42935.69027777778</v>
      </c>
      <c r="F220" s="79" t="s">
        <v>1430</v>
      </c>
      <c r="G220" s="79" t="s">
        <v>477</v>
      </c>
      <c r="H220" s="79" t="s">
        <v>582</v>
      </c>
      <c r="I220" s="77" t="s">
        <v>604</v>
      </c>
      <c r="J220" s="77" t="s">
        <v>1597</v>
      </c>
      <c r="K220" s="79" t="s">
        <v>1039</v>
      </c>
      <c r="L220" s="7" t="str">
        <f>IF(BudgetsTable[[#This Row],[pi_last_name]]=" ","",HYPERLINK("https://www.ejacket.nsf.gov/ej/showProposal.do?Continue=Y&amp;ID="&amp;BudgetsTable[[#This Row],[prop_id]],BudgetsTable[[#This Row],[prop_id]]))</f>
        <v>1751102</v>
      </c>
      <c r="M220" s="15" t="e">
        <f>IF(BudgetsTable[[#This Row],[pi_last_name]]=" ","",HYPERLINK("https://www.ejacket.nsf.gov/ej/processReviewAnalysis.do?dispatch=add&amp;uniqId="&amp;BudgetsTable[[#This Row],[prop_id]]&amp;PO_id,"&gt;ra"))</f>
        <v>#REF!</v>
      </c>
      <c r="N220" s="79" t="s">
        <v>1040</v>
      </c>
      <c r="O220" s="7" t="str">
        <f>IF(BudgetsTable[[#This Row],[pi_last_name]]=" ","",HYPERLINK("mailto:"&amp;BudgetsTable[[#This Row],[pi_email]]&amp;"&amp;subject=Your NSF Proposal:  "&amp;BudgetsTable[[#This Row],[prop_id]],BudgetsTable[[#This Row],[pi_email]]))</f>
        <v>evouga@cs.utexas.edu</v>
      </c>
      <c r="P220" s="79" t="s">
        <v>550</v>
      </c>
      <c r="Q220" s="79"/>
      <c r="R220" s="79"/>
      <c r="S220" s="80"/>
      <c r="T220" s="80"/>
      <c r="U220" s="80"/>
      <c r="V220" s="81"/>
      <c r="W220" s="79">
        <v>0</v>
      </c>
      <c r="X220" s="79"/>
      <c r="Y220" s="11" t="str">
        <f ca="1">IF(ISBLANK(BudgetsTable[[#This Row],[budg_seq_yr]]),"FY"&amp;fiscalyear,"FY"&amp;fiscalyear-1+BudgetsTable[[#This Row],[budg_seq_yr]])</f>
        <v>FY18</v>
      </c>
      <c r="Z220" s="80">
        <v>523537</v>
      </c>
      <c r="AA220" s="79" t="s">
        <v>477</v>
      </c>
      <c r="AB220" s="79" t="s">
        <v>582</v>
      </c>
      <c r="AC220" s="77" t="s">
        <v>94</v>
      </c>
      <c r="AD220" s="79" t="s">
        <v>1439</v>
      </c>
    </row>
    <row r="221" spans="1:30" x14ac:dyDescent="0.4">
      <c r="A221" s="10" t="s">
        <v>1039</v>
      </c>
      <c r="B221" s="77" t="s">
        <v>95</v>
      </c>
      <c r="C221" s="77">
        <f>C220+(BudgetsTable[[#This Row],[lead]]&lt;&gt;K220)</f>
        <v>47</v>
      </c>
      <c r="D221" s="77">
        <f>D220*(BudgetsTable[[#This Row],[lead]]=K220)+(BudgetsTable[[#This Row],[prop_id]]&lt;&gt;A220)</f>
        <v>1</v>
      </c>
      <c r="E221" s="78">
        <v>42935.69027777778</v>
      </c>
      <c r="F221" s="79" t="s">
        <v>1430</v>
      </c>
      <c r="G221" s="79" t="s">
        <v>477</v>
      </c>
      <c r="H221" s="79" t="s">
        <v>582</v>
      </c>
      <c r="I221" s="77" t="s">
        <v>604</v>
      </c>
      <c r="J221" s="77" t="s">
        <v>13</v>
      </c>
      <c r="K221" s="79" t="s">
        <v>1039</v>
      </c>
      <c r="L221" s="7" t="str">
        <f>IF(BudgetsTable[[#This Row],[pi_last_name]]=" ","",HYPERLINK("https://www.ejacket.nsf.gov/ej/showProposal.do?Continue=Y&amp;ID="&amp;BudgetsTable[[#This Row],[prop_id]],BudgetsTable[[#This Row],[prop_id]]))</f>
        <v/>
      </c>
      <c r="M221" s="15" t="str">
        <f>IF(BudgetsTable[[#This Row],[pi_last_name]]=" ","",HYPERLINK("https://www.ejacket.nsf.gov/ej/processReviewAnalysis.do?dispatch=add&amp;uniqId="&amp;BudgetsTable[[#This Row],[prop_id]]&amp;PO_id,"&gt;ra"))</f>
        <v/>
      </c>
      <c r="N221" s="79" t="s">
        <v>13</v>
      </c>
      <c r="O221" s="7" t="str">
        <f>IF(BudgetsTable[[#This Row],[pi_last_name]]=" ","",HYPERLINK("mailto:"&amp;BudgetsTable[[#This Row],[pi_email]]&amp;"&amp;subject=Your NSF Proposal:  "&amp;BudgetsTable[[#This Row],[prop_id]],BudgetsTable[[#This Row],[pi_email]]))</f>
        <v/>
      </c>
      <c r="P221" s="79" t="s">
        <v>13</v>
      </c>
      <c r="Q221" s="79">
        <v>1</v>
      </c>
      <c r="R221" s="79">
        <v>0.4</v>
      </c>
      <c r="S221" s="80">
        <v>0</v>
      </c>
      <c r="T221" s="80">
        <v>3000</v>
      </c>
      <c r="U221" s="80">
        <v>0</v>
      </c>
      <c r="V221" s="81">
        <v>150440</v>
      </c>
      <c r="W221" s="79">
        <v>0</v>
      </c>
      <c r="X221" s="79">
        <v>1</v>
      </c>
      <c r="Y221" s="11" t="str">
        <f ca="1">IF(ISBLANK(BudgetsTable[[#This Row],[budg_seq_yr]]),"FY"&amp;fiscalyear,"FY"&amp;fiscalyear-1+BudgetsTable[[#This Row],[budg_seq_yr]])</f>
        <v>FY18</v>
      </c>
      <c r="Z221" s="80">
        <v>150440</v>
      </c>
      <c r="AA221" s="79" t="s">
        <v>477</v>
      </c>
      <c r="AB221" s="79" t="s">
        <v>582</v>
      </c>
      <c r="AC221" s="77" t="s">
        <v>94</v>
      </c>
      <c r="AD221" s="79" t="s">
        <v>1439</v>
      </c>
    </row>
    <row r="222" spans="1:30" x14ac:dyDescent="0.4">
      <c r="A222" s="10" t="s">
        <v>1039</v>
      </c>
      <c r="B222" s="77" t="s">
        <v>95</v>
      </c>
      <c r="C222" s="77">
        <f>C221+(BudgetsTable[[#This Row],[lead]]&lt;&gt;K221)</f>
        <v>47</v>
      </c>
      <c r="D222" s="77">
        <f>D221*(BudgetsTable[[#This Row],[lead]]=K221)+(BudgetsTable[[#This Row],[prop_id]]&lt;&gt;A221)</f>
        <v>1</v>
      </c>
      <c r="E222" s="78">
        <v>42935.69027777778</v>
      </c>
      <c r="F222" s="79" t="s">
        <v>1430</v>
      </c>
      <c r="G222" s="79" t="s">
        <v>477</v>
      </c>
      <c r="H222" s="79" t="s">
        <v>582</v>
      </c>
      <c r="I222" s="77" t="s">
        <v>604</v>
      </c>
      <c r="J222" s="77" t="s">
        <v>13</v>
      </c>
      <c r="K222" s="79" t="s">
        <v>1039</v>
      </c>
      <c r="L222" s="7" t="str">
        <f>IF(BudgetsTable[[#This Row],[pi_last_name]]=" ","",HYPERLINK("https://www.ejacket.nsf.gov/ej/showProposal.do?Continue=Y&amp;ID="&amp;BudgetsTable[[#This Row],[prop_id]],BudgetsTable[[#This Row],[prop_id]]))</f>
        <v/>
      </c>
      <c r="M222" s="15" t="str">
        <f>IF(BudgetsTable[[#This Row],[pi_last_name]]=" ","",HYPERLINK("https://www.ejacket.nsf.gov/ej/processReviewAnalysis.do?dispatch=add&amp;uniqId="&amp;BudgetsTable[[#This Row],[prop_id]]&amp;PO_id,"&gt;ra"))</f>
        <v/>
      </c>
      <c r="N222" s="79" t="s">
        <v>13</v>
      </c>
      <c r="O222" s="7" t="str">
        <f>IF(BudgetsTable[[#This Row],[pi_last_name]]=" ","",HYPERLINK("mailto:"&amp;BudgetsTable[[#This Row],[pi_email]]&amp;"&amp;subject=Your NSF Proposal:  "&amp;BudgetsTable[[#This Row],[prop_id]],BudgetsTable[[#This Row],[pi_email]]))</f>
        <v/>
      </c>
      <c r="P222" s="79" t="s">
        <v>13</v>
      </c>
      <c r="Q222" s="79">
        <v>1</v>
      </c>
      <c r="R222" s="79">
        <v>0.4</v>
      </c>
      <c r="S222" s="80">
        <v>0</v>
      </c>
      <c r="T222" s="80">
        <v>3000</v>
      </c>
      <c r="U222" s="80">
        <v>0</v>
      </c>
      <c r="V222" s="81">
        <v>148480</v>
      </c>
      <c r="W222" s="79">
        <v>0</v>
      </c>
      <c r="X222" s="79">
        <v>2</v>
      </c>
      <c r="Y222" s="11" t="str">
        <f ca="1">IF(ISBLANK(BudgetsTable[[#This Row],[budg_seq_yr]]),"FY"&amp;fiscalyear,"FY"&amp;fiscalyear-1+BudgetsTable[[#This Row],[budg_seq_yr]])</f>
        <v>FY19</v>
      </c>
      <c r="Z222" s="80">
        <v>148480</v>
      </c>
      <c r="AA222" s="79" t="s">
        <v>477</v>
      </c>
      <c r="AB222" s="79" t="s">
        <v>582</v>
      </c>
      <c r="AC222" s="77" t="s">
        <v>94</v>
      </c>
      <c r="AD222" s="79" t="s">
        <v>1439</v>
      </c>
    </row>
    <row r="223" spans="1:30" x14ac:dyDescent="0.4">
      <c r="A223" s="10" t="s">
        <v>1039</v>
      </c>
      <c r="B223" s="77" t="s">
        <v>95</v>
      </c>
      <c r="C223" s="77">
        <f>C222+(BudgetsTable[[#This Row],[lead]]&lt;&gt;K222)</f>
        <v>47</v>
      </c>
      <c r="D223" s="77">
        <f>D222*(BudgetsTable[[#This Row],[lead]]=K222)+(BudgetsTable[[#This Row],[prop_id]]&lt;&gt;A222)</f>
        <v>1</v>
      </c>
      <c r="E223" s="78">
        <v>42935.69027777778</v>
      </c>
      <c r="F223" s="79" t="s">
        <v>1430</v>
      </c>
      <c r="G223" s="79" t="s">
        <v>477</v>
      </c>
      <c r="H223" s="79" t="s">
        <v>582</v>
      </c>
      <c r="I223" s="77" t="s">
        <v>604</v>
      </c>
      <c r="J223" s="77" t="s">
        <v>13</v>
      </c>
      <c r="K223" s="79" t="s">
        <v>1039</v>
      </c>
      <c r="L223" s="7" t="str">
        <f>IF(BudgetsTable[[#This Row],[pi_last_name]]=" ","",HYPERLINK("https://www.ejacket.nsf.gov/ej/showProposal.do?Continue=Y&amp;ID="&amp;BudgetsTable[[#This Row],[prop_id]],BudgetsTable[[#This Row],[prop_id]]))</f>
        <v/>
      </c>
      <c r="M223" s="15" t="str">
        <f>IF(BudgetsTable[[#This Row],[pi_last_name]]=" ","",HYPERLINK("https://www.ejacket.nsf.gov/ej/processReviewAnalysis.do?dispatch=add&amp;uniqId="&amp;BudgetsTable[[#This Row],[prop_id]]&amp;PO_id,"&gt;ra"))</f>
        <v/>
      </c>
      <c r="N223" s="79" t="s">
        <v>13</v>
      </c>
      <c r="O223" s="7" t="str">
        <f>IF(BudgetsTable[[#This Row],[pi_last_name]]=" ","",HYPERLINK("mailto:"&amp;BudgetsTable[[#This Row],[pi_email]]&amp;"&amp;subject=Your NSF Proposal:  "&amp;BudgetsTable[[#This Row],[prop_id]],BudgetsTable[[#This Row],[pi_email]]))</f>
        <v/>
      </c>
      <c r="P223" s="79" t="s">
        <v>13</v>
      </c>
      <c r="Q223" s="79">
        <v>1</v>
      </c>
      <c r="R223" s="79">
        <v>0.4</v>
      </c>
      <c r="S223" s="80">
        <v>0</v>
      </c>
      <c r="T223" s="80">
        <v>3000</v>
      </c>
      <c r="U223" s="80">
        <v>0</v>
      </c>
      <c r="V223" s="81">
        <v>74290</v>
      </c>
      <c r="W223" s="79">
        <v>0</v>
      </c>
      <c r="X223" s="79">
        <v>3</v>
      </c>
      <c r="Y223" s="11" t="str">
        <f ca="1">IF(ISBLANK(BudgetsTable[[#This Row],[budg_seq_yr]]),"FY"&amp;fiscalyear,"FY"&amp;fiscalyear-1+BudgetsTable[[#This Row],[budg_seq_yr]])</f>
        <v>FY20</v>
      </c>
      <c r="Z223" s="80">
        <v>74290</v>
      </c>
      <c r="AA223" s="79" t="s">
        <v>477</v>
      </c>
      <c r="AB223" s="79" t="s">
        <v>582</v>
      </c>
      <c r="AC223" s="77" t="s">
        <v>94</v>
      </c>
      <c r="AD223" s="79" t="s">
        <v>1439</v>
      </c>
    </row>
    <row r="224" spans="1:30" x14ac:dyDescent="0.4">
      <c r="A224" s="10" t="s">
        <v>1039</v>
      </c>
      <c r="B224" s="77" t="s">
        <v>95</v>
      </c>
      <c r="C224" s="77">
        <f>C223+(BudgetsTable[[#This Row],[lead]]&lt;&gt;K223)</f>
        <v>47</v>
      </c>
      <c r="D224" s="77">
        <f>D223*(BudgetsTable[[#This Row],[lead]]=K223)+(BudgetsTable[[#This Row],[prop_id]]&lt;&gt;A223)</f>
        <v>1</v>
      </c>
      <c r="E224" s="78">
        <v>42935.69027777778</v>
      </c>
      <c r="F224" s="79" t="s">
        <v>1430</v>
      </c>
      <c r="G224" s="79" t="s">
        <v>477</v>
      </c>
      <c r="H224" s="79" t="s">
        <v>582</v>
      </c>
      <c r="I224" s="77" t="s">
        <v>604</v>
      </c>
      <c r="J224" s="77" t="s">
        <v>13</v>
      </c>
      <c r="K224" s="79" t="s">
        <v>1039</v>
      </c>
      <c r="L224" s="7" t="str">
        <f>IF(BudgetsTable[[#This Row],[pi_last_name]]=" ","",HYPERLINK("https://www.ejacket.nsf.gov/ej/showProposal.do?Continue=Y&amp;ID="&amp;BudgetsTable[[#This Row],[prop_id]],BudgetsTable[[#This Row],[prop_id]]))</f>
        <v/>
      </c>
      <c r="M224" s="15" t="str">
        <f>IF(BudgetsTable[[#This Row],[pi_last_name]]=" ","",HYPERLINK("https://www.ejacket.nsf.gov/ej/processReviewAnalysis.do?dispatch=add&amp;uniqId="&amp;BudgetsTable[[#This Row],[prop_id]]&amp;PO_id,"&gt;ra"))</f>
        <v/>
      </c>
      <c r="N224" s="79" t="s">
        <v>13</v>
      </c>
      <c r="O224" s="7" t="str">
        <f>IF(BudgetsTable[[#This Row],[pi_last_name]]=" ","",HYPERLINK("mailto:"&amp;BudgetsTable[[#This Row],[pi_email]]&amp;"&amp;subject=Your NSF Proposal:  "&amp;BudgetsTable[[#This Row],[prop_id]],BudgetsTable[[#This Row],[pi_email]]))</f>
        <v/>
      </c>
      <c r="P224" s="79" t="s">
        <v>13</v>
      </c>
      <c r="Q224" s="79">
        <v>1</v>
      </c>
      <c r="R224" s="79">
        <v>0.4</v>
      </c>
      <c r="S224" s="80">
        <v>0</v>
      </c>
      <c r="T224" s="80">
        <v>3000</v>
      </c>
      <c r="U224" s="80">
        <v>0</v>
      </c>
      <c r="V224" s="81">
        <v>74335</v>
      </c>
      <c r="W224" s="79">
        <v>0</v>
      </c>
      <c r="X224" s="79">
        <v>4</v>
      </c>
      <c r="Y224" s="11" t="str">
        <f ca="1">IF(ISBLANK(BudgetsTable[[#This Row],[budg_seq_yr]]),"FY"&amp;fiscalyear,"FY"&amp;fiscalyear-1+BudgetsTable[[#This Row],[budg_seq_yr]])</f>
        <v>FY21</v>
      </c>
      <c r="Z224" s="80">
        <v>74335</v>
      </c>
      <c r="AA224" s="79" t="s">
        <v>477</v>
      </c>
      <c r="AB224" s="79" t="s">
        <v>582</v>
      </c>
      <c r="AC224" s="77" t="s">
        <v>94</v>
      </c>
      <c r="AD224" s="79" t="s">
        <v>1439</v>
      </c>
    </row>
    <row r="225" spans="1:30" x14ac:dyDescent="0.4">
      <c r="A225" s="10" t="s">
        <v>1039</v>
      </c>
      <c r="B225" s="77" t="s">
        <v>95</v>
      </c>
      <c r="C225" s="77">
        <f>C224+(BudgetsTable[[#This Row],[lead]]&lt;&gt;K224)</f>
        <v>47</v>
      </c>
      <c r="D225" s="77">
        <f>D224*(BudgetsTable[[#This Row],[lead]]=K224)+(BudgetsTable[[#This Row],[prop_id]]&lt;&gt;A224)</f>
        <v>1</v>
      </c>
      <c r="E225" s="78">
        <v>42935.69027777778</v>
      </c>
      <c r="F225" s="79" t="s">
        <v>1430</v>
      </c>
      <c r="G225" s="79" t="s">
        <v>477</v>
      </c>
      <c r="H225" s="79" t="s">
        <v>582</v>
      </c>
      <c r="I225" s="77" t="s">
        <v>604</v>
      </c>
      <c r="J225" s="77" t="s">
        <v>13</v>
      </c>
      <c r="K225" s="79" t="s">
        <v>1039</v>
      </c>
      <c r="L225" s="7" t="str">
        <f>IF(BudgetsTable[[#This Row],[pi_last_name]]=" ","",HYPERLINK("https://www.ejacket.nsf.gov/ej/showProposal.do?Continue=Y&amp;ID="&amp;BudgetsTable[[#This Row],[prop_id]],BudgetsTable[[#This Row],[prop_id]]))</f>
        <v/>
      </c>
      <c r="M225" s="15" t="str">
        <f>IF(BudgetsTable[[#This Row],[pi_last_name]]=" ","",HYPERLINK("https://www.ejacket.nsf.gov/ej/processReviewAnalysis.do?dispatch=add&amp;uniqId="&amp;BudgetsTable[[#This Row],[prop_id]]&amp;PO_id,"&gt;ra"))</f>
        <v/>
      </c>
      <c r="N225" s="79" t="s">
        <v>13</v>
      </c>
      <c r="O225" s="7" t="str">
        <f>IF(BudgetsTable[[#This Row],[pi_last_name]]=" ","",HYPERLINK("mailto:"&amp;BudgetsTable[[#This Row],[pi_email]]&amp;"&amp;subject=Your NSF Proposal:  "&amp;BudgetsTable[[#This Row],[prop_id]],BudgetsTable[[#This Row],[pi_email]]))</f>
        <v/>
      </c>
      <c r="P225" s="79" t="s">
        <v>13</v>
      </c>
      <c r="Q225" s="79">
        <v>1</v>
      </c>
      <c r="R225" s="79">
        <v>0.4</v>
      </c>
      <c r="S225" s="80">
        <v>0</v>
      </c>
      <c r="T225" s="80">
        <v>3000</v>
      </c>
      <c r="U225" s="80">
        <v>0</v>
      </c>
      <c r="V225" s="81">
        <v>75992</v>
      </c>
      <c r="W225" s="79">
        <v>0</v>
      </c>
      <c r="X225" s="79">
        <v>5</v>
      </c>
      <c r="Y225" s="11" t="str">
        <f ca="1">IF(ISBLANK(BudgetsTable[[#This Row],[budg_seq_yr]]),"FY"&amp;fiscalyear,"FY"&amp;fiscalyear-1+BudgetsTable[[#This Row],[budg_seq_yr]])</f>
        <v>FY22</v>
      </c>
      <c r="Z225" s="80">
        <v>75992</v>
      </c>
      <c r="AA225" s="79" t="s">
        <v>477</v>
      </c>
      <c r="AB225" s="79" t="s">
        <v>582</v>
      </c>
      <c r="AC225" s="77" t="s">
        <v>94</v>
      </c>
      <c r="AD225" s="79" t="s">
        <v>1439</v>
      </c>
    </row>
    <row r="226" spans="1:30" x14ac:dyDescent="0.4">
      <c r="A226" s="10" t="s">
        <v>1048</v>
      </c>
      <c r="B226" s="77" t="s">
        <v>95</v>
      </c>
      <c r="C226" s="77">
        <f>C225+(BudgetsTable[[#This Row],[lead]]&lt;&gt;K225)</f>
        <v>48</v>
      </c>
      <c r="D226" s="77">
        <f>D225*(BudgetsTable[[#This Row],[lead]]=K225)+(BudgetsTable[[#This Row],[prop_id]]&lt;&gt;A225)</f>
        <v>1</v>
      </c>
      <c r="E226" s="78">
        <v>42935.696527777778</v>
      </c>
      <c r="F226" s="79" t="s">
        <v>1430</v>
      </c>
      <c r="G226" s="79" t="s">
        <v>477</v>
      </c>
      <c r="H226" s="79" t="s">
        <v>582</v>
      </c>
      <c r="I226" s="77" t="s">
        <v>604</v>
      </c>
      <c r="J226" s="77" t="s">
        <v>1602</v>
      </c>
      <c r="K226" s="79" t="s">
        <v>1048</v>
      </c>
      <c r="L226" s="7" t="str">
        <f>IF(BudgetsTable[[#This Row],[pi_last_name]]=" ","",HYPERLINK("https://www.ejacket.nsf.gov/ej/showProposal.do?Continue=Y&amp;ID="&amp;BudgetsTable[[#This Row],[prop_id]],BudgetsTable[[#This Row],[prop_id]]))</f>
        <v>1751135</v>
      </c>
      <c r="M226" s="15" t="e">
        <f>IF(BudgetsTable[[#This Row],[pi_last_name]]=" ","",HYPERLINK("https://www.ejacket.nsf.gov/ej/processReviewAnalysis.do?dispatch=add&amp;uniqId="&amp;BudgetsTable[[#This Row],[prop_id]]&amp;PO_id,"&gt;ra"))</f>
        <v>#REF!</v>
      </c>
      <c r="N226" s="79" t="s">
        <v>1049</v>
      </c>
      <c r="O226" s="7" t="str">
        <f>IF(BudgetsTable[[#This Row],[pi_last_name]]=" ","",HYPERLINK("mailto:"&amp;BudgetsTable[[#This Row],[pi_email]]&amp;"&amp;subject=Your NSF Proposal:  "&amp;BudgetsTable[[#This Row],[prop_id]],BudgetsTable[[#This Row],[pi_email]]))</f>
        <v>nayyeria@eecs.oregonstate.edu</v>
      </c>
      <c r="P226" s="79" t="s">
        <v>1600</v>
      </c>
      <c r="Q226" s="79"/>
      <c r="R226" s="79"/>
      <c r="S226" s="80"/>
      <c r="T226" s="80"/>
      <c r="U226" s="80"/>
      <c r="V226" s="81"/>
      <c r="W226" s="79">
        <v>0</v>
      </c>
      <c r="X226" s="79"/>
      <c r="Y226" s="11" t="str">
        <f ca="1">IF(ISBLANK(BudgetsTable[[#This Row],[budg_seq_yr]]),"FY"&amp;fiscalyear,"FY"&amp;fiscalyear-1+BudgetsTable[[#This Row],[budg_seq_yr]])</f>
        <v>FY18</v>
      </c>
      <c r="Z226" s="80">
        <v>607459</v>
      </c>
      <c r="AA226" s="79" t="s">
        <v>477</v>
      </c>
      <c r="AB226" s="79" t="s">
        <v>582</v>
      </c>
      <c r="AC226" s="77" t="s">
        <v>94</v>
      </c>
      <c r="AD226" s="79" t="s">
        <v>1439</v>
      </c>
    </row>
    <row r="227" spans="1:30" x14ac:dyDescent="0.4">
      <c r="A227" s="10" t="s">
        <v>1048</v>
      </c>
      <c r="B227" s="77" t="s">
        <v>95</v>
      </c>
      <c r="C227" s="77">
        <f>C226+(BudgetsTable[[#This Row],[lead]]&lt;&gt;K226)</f>
        <v>48</v>
      </c>
      <c r="D227" s="77">
        <f>D226*(BudgetsTable[[#This Row],[lead]]=K226)+(BudgetsTable[[#This Row],[prop_id]]&lt;&gt;A226)</f>
        <v>1</v>
      </c>
      <c r="E227" s="78">
        <v>42935.696527777778</v>
      </c>
      <c r="F227" s="79" t="s">
        <v>1430</v>
      </c>
      <c r="G227" s="79" t="s">
        <v>477</v>
      </c>
      <c r="H227" s="79" t="s">
        <v>582</v>
      </c>
      <c r="I227" s="77" t="s">
        <v>604</v>
      </c>
      <c r="J227" s="77" t="s">
        <v>13</v>
      </c>
      <c r="K227" s="79" t="s">
        <v>1048</v>
      </c>
      <c r="L227" s="7" t="str">
        <f>IF(BudgetsTable[[#This Row],[pi_last_name]]=" ","",HYPERLINK("https://www.ejacket.nsf.gov/ej/showProposal.do?Continue=Y&amp;ID="&amp;BudgetsTable[[#This Row],[prop_id]],BudgetsTable[[#This Row],[prop_id]]))</f>
        <v/>
      </c>
      <c r="M227" s="15" t="str">
        <f>IF(BudgetsTable[[#This Row],[pi_last_name]]=" ","",HYPERLINK("https://www.ejacket.nsf.gov/ej/processReviewAnalysis.do?dispatch=add&amp;uniqId="&amp;BudgetsTable[[#This Row],[prop_id]]&amp;PO_id,"&gt;ra"))</f>
        <v/>
      </c>
      <c r="N227" s="79" t="s">
        <v>13</v>
      </c>
      <c r="O227" s="7" t="str">
        <f>IF(BudgetsTable[[#This Row],[pi_last_name]]=" ","",HYPERLINK("mailto:"&amp;BudgetsTable[[#This Row],[pi_email]]&amp;"&amp;subject=Your NSF Proposal:  "&amp;BudgetsTable[[#This Row],[prop_id]],BudgetsTable[[#This Row],[pi_email]]))</f>
        <v/>
      </c>
      <c r="P227" s="79" t="s">
        <v>13</v>
      </c>
      <c r="Q227" s="79">
        <v>1</v>
      </c>
      <c r="R227" s="79">
        <v>0.5</v>
      </c>
      <c r="S227" s="80">
        <v>0</v>
      </c>
      <c r="T227" s="80">
        <v>0</v>
      </c>
      <c r="U227" s="80">
        <v>1100</v>
      </c>
      <c r="V227" s="81">
        <v>94905</v>
      </c>
      <c r="W227" s="79">
        <v>0</v>
      </c>
      <c r="X227" s="79">
        <v>1</v>
      </c>
      <c r="Y227" s="11" t="str">
        <f ca="1">IF(ISBLANK(BudgetsTable[[#This Row],[budg_seq_yr]]),"FY"&amp;fiscalyear,"FY"&amp;fiscalyear-1+BudgetsTable[[#This Row],[budg_seq_yr]])</f>
        <v>FY18</v>
      </c>
      <c r="Z227" s="80">
        <v>94905</v>
      </c>
      <c r="AA227" s="79" t="s">
        <v>477</v>
      </c>
      <c r="AB227" s="79" t="s">
        <v>582</v>
      </c>
      <c r="AC227" s="77" t="s">
        <v>94</v>
      </c>
      <c r="AD227" s="79" t="s">
        <v>1439</v>
      </c>
    </row>
    <row r="228" spans="1:30" x14ac:dyDescent="0.4">
      <c r="A228" s="10" t="s">
        <v>1048</v>
      </c>
      <c r="B228" s="77" t="s">
        <v>95</v>
      </c>
      <c r="C228" s="77">
        <f>C227+(BudgetsTable[[#This Row],[lead]]&lt;&gt;K227)</f>
        <v>48</v>
      </c>
      <c r="D228" s="77">
        <f>D227*(BudgetsTable[[#This Row],[lead]]=K227)+(BudgetsTable[[#This Row],[prop_id]]&lt;&gt;A227)</f>
        <v>1</v>
      </c>
      <c r="E228" s="78">
        <v>42935.696527777778</v>
      </c>
      <c r="F228" s="79" t="s">
        <v>1430</v>
      </c>
      <c r="G228" s="79" t="s">
        <v>477</v>
      </c>
      <c r="H228" s="79" t="s">
        <v>582</v>
      </c>
      <c r="I228" s="77" t="s">
        <v>604</v>
      </c>
      <c r="J228" s="77" t="s">
        <v>13</v>
      </c>
      <c r="K228" s="79" t="s">
        <v>1048</v>
      </c>
      <c r="L228" s="7" t="str">
        <f>IF(BudgetsTable[[#This Row],[pi_last_name]]=" ","",HYPERLINK("https://www.ejacket.nsf.gov/ej/showProposal.do?Continue=Y&amp;ID="&amp;BudgetsTable[[#This Row],[prop_id]],BudgetsTable[[#This Row],[prop_id]]))</f>
        <v/>
      </c>
      <c r="M228" s="15" t="str">
        <f>IF(BudgetsTable[[#This Row],[pi_last_name]]=" ","",HYPERLINK("https://www.ejacket.nsf.gov/ej/processReviewAnalysis.do?dispatch=add&amp;uniqId="&amp;BudgetsTable[[#This Row],[prop_id]]&amp;PO_id,"&gt;ra"))</f>
        <v/>
      </c>
      <c r="N228" s="79" t="s">
        <v>13</v>
      </c>
      <c r="O228" s="7" t="str">
        <f>IF(BudgetsTable[[#This Row],[pi_last_name]]=" ","",HYPERLINK("mailto:"&amp;BudgetsTable[[#This Row],[pi_email]]&amp;"&amp;subject=Your NSF Proposal:  "&amp;BudgetsTable[[#This Row],[prop_id]],BudgetsTable[[#This Row],[pi_email]]))</f>
        <v/>
      </c>
      <c r="P228" s="79" t="s">
        <v>13</v>
      </c>
      <c r="Q228" s="79">
        <v>1</v>
      </c>
      <c r="R228" s="79">
        <v>1</v>
      </c>
      <c r="S228" s="80">
        <v>0</v>
      </c>
      <c r="T228" s="80">
        <v>7485</v>
      </c>
      <c r="U228" s="80">
        <v>1100</v>
      </c>
      <c r="V228" s="81">
        <v>121969</v>
      </c>
      <c r="W228" s="79">
        <v>0</v>
      </c>
      <c r="X228" s="79">
        <v>2</v>
      </c>
      <c r="Y228" s="11" t="str">
        <f ca="1">IF(ISBLANK(BudgetsTable[[#This Row],[budg_seq_yr]]),"FY"&amp;fiscalyear,"FY"&amp;fiscalyear-1+BudgetsTable[[#This Row],[budg_seq_yr]])</f>
        <v>FY19</v>
      </c>
      <c r="Z228" s="80">
        <v>121969</v>
      </c>
      <c r="AA228" s="79" t="s">
        <v>477</v>
      </c>
      <c r="AB228" s="79" t="s">
        <v>582</v>
      </c>
      <c r="AC228" s="77" t="s">
        <v>94</v>
      </c>
      <c r="AD228" s="79" t="s">
        <v>1439</v>
      </c>
    </row>
    <row r="229" spans="1:30" x14ac:dyDescent="0.4">
      <c r="A229" s="10" t="s">
        <v>1048</v>
      </c>
      <c r="B229" s="77" t="s">
        <v>95</v>
      </c>
      <c r="C229" s="77">
        <f>C228+(BudgetsTable[[#This Row],[lead]]&lt;&gt;K228)</f>
        <v>48</v>
      </c>
      <c r="D229" s="77">
        <f>D228*(BudgetsTable[[#This Row],[lead]]=K228)+(BudgetsTable[[#This Row],[prop_id]]&lt;&gt;A228)</f>
        <v>1</v>
      </c>
      <c r="E229" s="78">
        <v>42935.696527777778</v>
      </c>
      <c r="F229" s="79" t="s">
        <v>1430</v>
      </c>
      <c r="G229" s="79" t="s">
        <v>477</v>
      </c>
      <c r="H229" s="79" t="s">
        <v>582</v>
      </c>
      <c r="I229" s="77" t="s">
        <v>604</v>
      </c>
      <c r="J229" s="77" t="s">
        <v>13</v>
      </c>
      <c r="K229" s="79" t="s">
        <v>1048</v>
      </c>
      <c r="L229" s="7" t="str">
        <f>IF(BudgetsTable[[#This Row],[pi_last_name]]=" ","",HYPERLINK("https://www.ejacket.nsf.gov/ej/showProposal.do?Continue=Y&amp;ID="&amp;BudgetsTable[[#This Row],[prop_id]],BudgetsTable[[#This Row],[prop_id]]))</f>
        <v/>
      </c>
      <c r="M229" s="15" t="str">
        <f>IF(BudgetsTable[[#This Row],[pi_last_name]]=" ","",HYPERLINK("https://www.ejacket.nsf.gov/ej/processReviewAnalysis.do?dispatch=add&amp;uniqId="&amp;BudgetsTable[[#This Row],[prop_id]]&amp;PO_id,"&gt;ra"))</f>
        <v/>
      </c>
      <c r="N229" s="79" t="s">
        <v>13</v>
      </c>
      <c r="O229" s="7" t="str">
        <f>IF(BudgetsTable[[#This Row],[pi_last_name]]=" ","",HYPERLINK("mailto:"&amp;BudgetsTable[[#This Row],[pi_email]]&amp;"&amp;subject=Your NSF Proposal:  "&amp;BudgetsTable[[#This Row],[prop_id]],BudgetsTable[[#This Row],[pi_email]]))</f>
        <v/>
      </c>
      <c r="P229" s="79" t="s">
        <v>13</v>
      </c>
      <c r="Q229" s="79">
        <v>1</v>
      </c>
      <c r="R229" s="79">
        <v>1</v>
      </c>
      <c r="S229" s="80">
        <v>0</v>
      </c>
      <c r="T229" s="80">
        <v>7709</v>
      </c>
      <c r="U229" s="80">
        <v>1100</v>
      </c>
      <c r="V229" s="81">
        <v>128760</v>
      </c>
      <c r="W229" s="79">
        <v>0</v>
      </c>
      <c r="X229" s="79">
        <v>3</v>
      </c>
      <c r="Y229" s="11" t="str">
        <f ca="1">IF(ISBLANK(BudgetsTable[[#This Row],[budg_seq_yr]]),"FY"&amp;fiscalyear,"FY"&amp;fiscalyear-1+BudgetsTable[[#This Row],[budg_seq_yr]])</f>
        <v>FY20</v>
      </c>
      <c r="Z229" s="80">
        <v>128760</v>
      </c>
      <c r="AA229" s="79" t="s">
        <v>477</v>
      </c>
      <c r="AB229" s="79" t="s">
        <v>582</v>
      </c>
      <c r="AC229" s="77" t="s">
        <v>94</v>
      </c>
      <c r="AD229" s="79" t="s">
        <v>1439</v>
      </c>
    </row>
    <row r="230" spans="1:30" x14ac:dyDescent="0.4">
      <c r="A230" s="10" t="s">
        <v>1048</v>
      </c>
      <c r="B230" s="77" t="s">
        <v>95</v>
      </c>
      <c r="C230" s="77">
        <f>C229+(BudgetsTable[[#This Row],[lead]]&lt;&gt;K229)</f>
        <v>48</v>
      </c>
      <c r="D230" s="77">
        <f>D229*(BudgetsTable[[#This Row],[lead]]=K229)+(BudgetsTable[[#This Row],[prop_id]]&lt;&gt;A229)</f>
        <v>1</v>
      </c>
      <c r="E230" s="78">
        <v>42935.696527777778</v>
      </c>
      <c r="F230" s="79" t="s">
        <v>1430</v>
      </c>
      <c r="G230" s="79" t="s">
        <v>477</v>
      </c>
      <c r="H230" s="79" t="s">
        <v>582</v>
      </c>
      <c r="I230" s="77" t="s">
        <v>604</v>
      </c>
      <c r="J230" s="77" t="s">
        <v>13</v>
      </c>
      <c r="K230" s="79" t="s">
        <v>1048</v>
      </c>
      <c r="L230" s="7" t="str">
        <f>IF(BudgetsTable[[#This Row],[pi_last_name]]=" ","",HYPERLINK("https://www.ejacket.nsf.gov/ej/showProposal.do?Continue=Y&amp;ID="&amp;BudgetsTable[[#This Row],[prop_id]],BudgetsTable[[#This Row],[prop_id]]))</f>
        <v/>
      </c>
      <c r="M230" s="15" t="str">
        <f>IF(BudgetsTable[[#This Row],[pi_last_name]]=" ","",HYPERLINK("https://www.ejacket.nsf.gov/ej/processReviewAnalysis.do?dispatch=add&amp;uniqId="&amp;BudgetsTable[[#This Row],[prop_id]]&amp;PO_id,"&gt;ra"))</f>
        <v/>
      </c>
      <c r="N230" s="79" t="s">
        <v>13</v>
      </c>
      <c r="O230" s="7" t="str">
        <f>IF(BudgetsTable[[#This Row],[pi_last_name]]=" ","",HYPERLINK("mailto:"&amp;BudgetsTable[[#This Row],[pi_email]]&amp;"&amp;subject=Your NSF Proposal:  "&amp;BudgetsTable[[#This Row],[prop_id]],BudgetsTable[[#This Row],[pi_email]]))</f>
        <v/>
      </c>
      <c r="P230" s="79" t="s">
        <v>13</v>
      </c>
      <c r="Q230" s="79">
        <v>1</v>
      </c>
      <c r="R230" s="79">
        <v>1</v>
      </c>
      <c r="S230" s="80">
        <v>0</v>
      </c>
      <c r="T230" s="80">
        <v>7939</v>
      </c>
      <c r="U230" s="80">
        <v>1100</v>
      </c>
      <c r="V230" s="81">
        <v>134130</v>
      </c>
      <c r="W230" s="79">
        <v>0</v>
      </c>
      <c r="X230" s="79">
        <v>4</v>
      </c>
      <c r="Y230" s="11" t="str">
        <f ca="1">IF(ISBLANK(BudgetsTable[[#This Row],[budg_seq_yr]]),"FY"&amp;fiscalyear,"FY"&amp;fiscalyear-1+BudgetsTable[[#This Row],[budg_seq_yr]])</f>
        <v>FY21</v>
      </c>
      <c r="Z230" s="80">
        <v>134130</v>
      </c>
      <c r="AA230" s="79" t="s">
        <v>477</v>
      </c>
      <c r="AB230" s="79" t="s">
        <v>582</v>
      </c>
      <c r="AC230" s="77" t="s">
        <v>94</v>
      </c>
      <c r="AD230" s="79" t="s">
        <v>1439</v>
      </c>
    </row>
    <row r="231" spans="1:30" x14ac:dyDescent="0.4">
      <c r="A231" s="10" t="s">
        <v>1048</v>
      </c>
      <c r="B231" s="77" t="s">
        <v>95</v>
      </c>
      <c r="C231" s="77">
        <f>C230+(BudgetsTable[[#This Row],[lead]]&lt;&gt;K230)</f>
        <v>48</v>
      </c>
      <c r="D231" s="77">
        <f>D230*(BudgetsTable[[#This Row],[lead]]=K230)+(BudgetsTable[[#This Row],[prop_id]]&lt;&gt;A230)</f>
        <v>1</v>
      </c>
      <c r="E231" s="78">
        <v>42935.696527777778</v>
      </c>
      <c r="F231" s="79" t="s">
        <v>1430</v>
      </c>
      <c r="G231" s="79" t="s">
        <v>477</v>
      </c>
      <c r="H231" s="79" t="s">
        <v>582</v>
      </c>
      <c r="I231" s="77" t="s">
        <v>604</v>
      </c>
      <c r="J231" s="77" t="s">
        <v>13</v>
      </c>
      <c r="K231" s="79" t="s">
        <v>1048</v>
      </c>
      <c r="L231" s="7" t="str">
        <f>IF(BudgetsTable[[#This Row],[pi_last_name]]=" ","",HYPERLINK("https://www.ejacket.nsf.gov/ej/showProposal.do?Continue=Y&amp;ID="&amp;BudgetsTable[[#This Row],[prop_id]],BudgetsTable[[#This Row],[prop_id]]))</f>
        <v/>
      </c>
      <c r="M231" s="15" t="str">
        <f>IF(BudgetsTable[[#This Row],[pi_last_name]]=" ","",HYPERLINK("https://www.ejacket.nsf.gov/ej/processReviewAnalysis.do?dispatch=add&amp;uniqId="&amp;BudgetsTable[[#This Row],[prop_id]]&amp;PO_id,"&gt;ra"))</f>
        <v/>
      </c>
      <c r="N231" s="79" t="s">
        <v>13</v>
      </c>
      <c r="O231" s="7" t="str">
        <f>IF(BudgetsTable[[#This Row],[pi_last_name]]=" ","",HYPERLINK("mailto:"&amp;BudgetsTable[[#This Row],[pi_email]]&amp;"&amp;subject=Your NSF Proposal:  "&amp;BudgetsTable[[#This Row],[prop_id]],BudgetsTable[[#This Row],[pi_email]]))</f>
        <v/>
      </c>
      <c r="P231" s="79" t="s">
        <v>13</v>
      </c>
      <c r="Q231" s="79">
        <v>1</v>
      </c>
      <c r="R231" s="79">
        <v>1</v>
      </c>
      <c r="S231" s="80">
        <v>0</v>
      </c>
      <c r="T231" s="80">
        <v>0</v>
      </c>
      <c r="U231" s="80">
        <v>1100</v>
      </c>
      <c r="V231" s="81">
        <v>127695</v>
      </c>
      <c r="W231" s="79">
        <v>0</v>
      </c>
      <c r="X231" s="79">
        <v>5</v>
      </c>
      <c r="Y231" s="11" t="str">
        <f ca="1">IF(ISBLANK(BudgetsTable[[#This Row],[budg_seq_yr]]),"FY"&amp;fiscalyear,"FY"&amp;fiscalyear-1+BudgetsTable[[#This Row],[budg_seq_yr]])</f>
        <v>FY22</v>
      </c>
      <c r="Z231" s="80">
        <v>127695</v>
      </c>
      <c r="AA231" s="79" t="s">
        <v>477</v>
      </c>
      <c r="AB231" s="79" t="s">
        <v>582</v>
      </c>
      <c r="AC231" s="77" t="s">
        <v>94</v>
      </c>
      <c r="AD231" s="79" t="s">
        <v>1439</v>
      </c>
    </row>
    <row r="232" spans="1:30" x14ac:dyDescent="0.4">
      <c r="A232" s="10" t="s">
        <v>1056</v>
      </c>
      <c r="B232" s="77" t="s">
        <v>95</v>
      </c>
      <c r="C232" s="77">
        <f>C231+(BudgetsTable[[#This Row],[lead]]&lt;&gt;K231)</f>
        <v>49</v>
      </c>
      <c r="D232" s="77">
        <f>D231*(BudgetsTable[[#This Row],[lead]]=K231)+(BudgetsTable[[#This Row],[prop_id]]&lt;&gt;A231)</f>
        <v>1</v>
      </c>
      <c r="E232" s="78">
        <v>42935.70416666667</v>
      </c>
      <c r="F232" s="79" t="s">
        <v>1430</v>
      </c>
      <c r="G232" s="79" t="s">
        <v>477</v>
      </c>
      <c r="H232" s="79" t="s">
        <v>582</v>
      </c>
      <c r="I232" s="77" t="s">
        <v>654</v>
      </c>
      <c r="J232" s="77" t="s">
        <v>1608</v>
      </c>
      <c r="K232" s="79" t="s">
        <v>1056</v>
      </c>
      <c r="L232" s="7" t="str">
        <f>IF(BudgetsTable[[#This Row],[pi_last_name]]=" ","",HYPERLINK("https://www.ejacket.nsf.gov/ej/showProposal.do?Continue=Y&amp;ID="&amp;BudgetsTable[[#This Row],[prop_id]],BudgetsTable[[#This Row],[prop_id]]))</f>
        <v>1751181</v>
      </c>
      <c r="M232" s="15" t="e">
        <f>IF(BudgetsTable[[#This Row],[pi_last_name]]=" ","",HYPERLINK("https://www.ejacket.nsf.gov/ej/processReviewAnalysis.do?dispatch=add&amp;uniqId="&amp;BudgetsTable[[#This Row],[prop_id]]&amp;PO_id,"&gt;ra"))</f>
        <v>#REF!</v>
      </c>
      <c r="N232" s="79" t="s">
        <v>1057</v>
      </c>
      <c r="O232" s="7" t="str">
        <f>IF(BudgetsTable[[#This Row],[pi_last_name]]=" ","",HYPERLINK("mailto:"&amp;BudgetsTable[[#This Row],[pi_email]]&amp;"&amp;subject=Your NSF Proposal:  "&amp;BudgetsTable[[#This Row],[prop_id]],BudgetsTable[[#This Row],[pi_email]]))</f>
        <v>maxwelly@outlook.com</v>
      </c>
      <c r="P232" s="79" t="s">
        <v>1605</v>
      </c>
      <c r="Q232" s="79"/>
      <c r="R232" s="79"/>
      <c r="S232" s="80"/>
      <c r="T232" s="80"/>
      <c r="U232" s="80"/>
      <c r="V232" s="81"/>
      <c r="W232" s="79">
        <v>0</v>
      </c>
      <c r="X232" s="79"/>
      <c r="Y232" s="11" t="str">
        <f ca="1">IF(ISBLANK(BudgetsTable[[#This Row],[budg_seq_yr]]),"FY"&amp;fiscalyear,"FY"&amp;fiscalyear-1+BudgetsTable[[#This Row],[budg_seq_yr]])</f>
        <v>FY18</v>
      </c>
      <c r="Z232" s="80">
        <v>400000</v>
      </c>
      <c r="AA232" s="79" t="s">
        <v>477</v>
      </c>
      <c r="AB232" s="79" t="s">
        <v>582</v>
      </c>
      <c r="AC232" s="77" t="s">
        <v>94</v>
      </c>
      <c r="AD232" s="79" t="s">
        <v>1603</v>
      </c>
    </row>
    <row r="233" spans="1:30" x14ac:dyDescent="0.4">
      <c r="A233" s="10" t="s">
        <v>1056</v>
      </c>
      <c r="B233" s="77" t="s">
        <v>95</v>
      </c>
      <c r="C233" s="77">
        <f>C232+(BudgetsTable[[#This Row],[lead]]&lt;&gt;K232)</f>
        <v>49</v>
      </c>
      <c r="D233" s="77">
        <f>D232*(BudgetsTable[[#This Row],[lead]]=K232)+(BudgetsTable[[#This Row],[prop_id]]&lt;&gt;A232)</f>
        <v>1</v>
      </c>
      <c r="E233" s="78">
        <v>42935.70416666667</v>
      </c>
      <c r="F233" s="79" t="s">
        <v>1430</v>
      </c>
      <c r="G233" s="79" t="s">
        <v>477</v>
      </c>
      <c r="H233" s="79" t="s">
        <v>582</v>
      </c>
      <c r="I233" s="77" t="s">
        <v>654</v>
      </c>
      <c r="J233" s="77" t="s">
        <v>13</v>
      </c>
      <c r="K233" s="79" t="s">
        <v>1056</v>
      </c>
      <c r="L233" s="7" t="str">
        <f>IF(BudgetsTable[[#This Row],[pi_last_name]]=" ","",HYPERLINK("https://www.ejacket.nsf.gov/ej/showProposal.do?Continue=Y&amp;ID="&amp;BudgetsTable[[#This Row],[prop_id]],BudgetsTable[[#This Row],[prop_id]]))</f>
        <v/>
      </c>
      <c r="M233" s="15" t="str">
        <f>IF(BudgetsTable[[#This Row],[pi_last_name]]=" ","",HYPERLINK("https://www.ejacket.nsf.gov/ej/processReviewAnalysis.do?dispatch=add&amp;uniqId="&amp;BudgetsTable[[#This Row],[prop_id]]&amp;PO_id,"&gt;ra"))</f>
        <v/>
      </c>
      <c r="N233" s="79" t="s">
        <v>13</v>
      </c>
      <c r="O233" s="7" t="str">
        <f>IF(BudgetsTable[[#This Row],[pi_last_name]]=" ","",HYPERLINK("mailto:"&amp;BudgetsTable[[#This Row],[pi_email]]&amp;"&amp;subject=Your NSF Proposal:  "&amp;BudgetsTable[[#This Row],[prop_id]],BudgetsTable[[#This Row],[pi_email]]))</f>
        <v/>
      </c>
      <c r="P233" s="79" t="s">
        <v>13</v>
      </c>
      <c r="Q233" s="79">
        <v>1</v>
      </c>
      <c r="R233" s="79">
        <v>0.5</v>
      </c>
      <c r="S233" s="80">
        <v>0</v>
      </c>
      <c r="T233" s="80">
        <v>3000</v>
      </c>
      <c r="U233" s="80">
        <v>0</v>
      </c>
      <c r="V233" s="81">
        <v>79592</v>
      </c>
      <c r="W233" s="79">
        <v>0</v>
      </c>
      <c r="X233" s="79">
        <v>1</v>
      </c>
      <c r="Y233" s="11" t="str">
        <f ca="1">IF(ISBLANK(BudgetsTable[[#This Row],[budg_seq_yr]]),"FY"&amp;fiscalyear,"FY"&amp;fiscalyear-1+BudgetsTable[[#This Row],[budg_seq_yr]])</f>
        <v>FY18</v>
      </c>
      <c r="Z233" s="80">
        <v>79592</v>
      </c>
      <c r="AA233" s="79" t="s">
        <v>477</v>
      </c>
      <c r="AB233" s="79" t="s">
        <v>582</v>
      </c>
      <c r="AC233" s="77" t="s">
        <v>94</v>
      </c>
      <c r="AD233" s="79" t="s">
        <v>1603</v>
      </c>
    </row>
    <row r="234" spans="1:30" x14ac:dyDescent="0.4">
      <c r="A234" s="10" t="s">
        <v>1056</v>
      </c>
      <c r="B234" s="77" t="s">
        <v>95</v>
      </c>
      <c r="C234" s="77">
        <f>C233+(BudgetsTable[[#This Row],[lead]]&lt;&gt;K233)</f>
        <v>49</v>
      </c>
      <c r="D234" s="77">
        <f>D233*(BudgetsTable[[#This Row],[lead]]=K233)+(BudgetsTable[[#This Row],[prop_id]]&lt;&gt;A233)</f>
        <v>1</v>
      </c>
      <c r="E234" s="78">
        <v>42935.70416666667</v>
      </c>
      <c r="F234" s="79" t="s">
        <v>1430</v>
      </c>
      <c r="G234" s="79" t="s">
        <v>477</v>
      </c>
      <c r="H234" s="79" t="s">
        <v>582</v>
      </c>
      <c r="I234" s="77" t="s">
        <v>654</v>
      </c>
      <c r="J234" s="77" t="s">
        <v>13</v>
      </c>
      <c r="K234" s="79" t="s">
        <v>1056</v>
      </c>
      <c r="L234" s="7" t="str">
        <f>IF(BudgetsTable[[#This Row],[pi_last_name]]=" ","",HYPERLINK("https://www.ejacket.nsf.gov/ej/showProposal.do?Continue=Y&amp;ID="&amp;BudgetsTable[[#This Row],[prop_id]],BudgetsTable[[#This Row],[prop_id]]))</f>
        <v/>
      </c>
      <c r="M234" s="15" t="str">
        <f>IF(BudgetsTable[[#This Row],[pi_last_name]]=" ","",HYPERLINK("https://www.ejacket.nsf.gov/ej/processReviewAnalysis.do?dispatch=add&amp;uniqId="&amp;BudgetsTable[[#This Row],[prop_id]]&amp;PO_id,"&gt;ra"))</f>
        <v/>
      </c>
      <c r="N234" s="79" t="s">
        <v>13</v>
      </c>
      <c r="O234" s="7" t="str">
        <f>IF(BudgetsTable[[#This Row],[pi_last_name]]=" ","",HYPERLINK("mailto:"&amp;BudgetsTable[[#This Row],[pi_email]]&amp;"&amp;subject=Your NSF Proposal:  "&amp;BudgetsTable[[#This Row],[prop_id]],BudgetsTable[[#This Row],[pi_email]]))</f>
        <v/>
      </c>
      <c r="P234" s="79" t="s">
        <v>13</v>
      </c>
      <c r="Q234" s="79">
        <v>1</v>
      </c>
      <c r="R234" s="79">
        <v>0.5</v>
      </c>
      <c r="S234" s="80">
        <v>0</v>
      </c>
      <c r="T234" s="80">
        <v>3000</v>
      </c>
      <c r="U234" s="80">
        <v>0</v>
      </c>
      <c r="V234" s="81">
        <v>80758</v>
      </c>
      <c r="W234" s="79">
        <v>0</v>
      </c>
      <c r="X234" s="79">
        <v>2</v>
      </c>
      <c r="Y234" s="11" t="str">
        <f ca="1">IF(ISBLANK(BudgetsTable[[#This Row],[budg_seq_yr]]),"FY"&amp;fiscalyear,"FY"&amp;fiscalyear-1+BudgetsTable[[#This Row],[budg_seq_yr]])</f>
        <v>FY19</v>
      </c>
      <c r="Z234" s="80">
        <v>80758</v>
      </c>
      <c r="AA234" s="79" t="s">
        <v>477</v>
      </c>
      <c r="AB234" s="79" t="s">
        <v>582</v>
      </c>
      <c r="AC234" s="77" t="s">
        <v>94</v>
      </c>
      <c r="AD234" s="79" t="s">
        <v>1603</v>
      </c>
    </row>
    <row r="235" spans="1:30" x14ac:dyDescent="0.4">
      <c r="A235" s="10" t="s">
        <v>1056</v>
      </c>
      <c r="B235" s="77" t="s">
        <v>95</v>
      </c>
      <c r="C235" s="77">
        <f>C234+(BudgetsTable[[#This Row],[lead]]&lt;&gt;K234)</f>
        <v>49</v>
      </c>
      <c r="D235" s="77">
        <f>D234*(BudgetsTable[[#This Row],[lead]]=K234)+(BudgetsTable[[#This Row],[prop_id]]&lt;&gt;A234)</f>
        <v>1</v>
      </c>
      <c r="E235" s="78">
        <v>42935.70416666667</v>
      </c>
      <c r="F235" s="79" t="s">
        <v>1430</v>
      </c>
      <c r="G235" s="79" t="s">
        <v>477</v>
      </c>
      <c r="H235" s="79" t="s">
        <v>582</v>
      </c>
      <c r="I235" s="77" t="s">
        <v>654</v>
      </c>
      <c r="J235" s="77" t="s">
        <v>13</v>
      </c>
      <c r="K235" s="79" t="s">
        <v>1056</v>
      </c>
      <c r="L235" s="7" t="str">
        <f>IF(BudgetsTable[[#This Row],[pi_last_name]]=" ","",HYPERLINK("https://www.ejacket.nsf.gov/ej/showProposal.do?Continue=Y&amp;ID="&amp;BudgetsTable[[#This Row],[prop_id]],BudgetsTable[[#This Row],[prop_id]]))</f>
        <v/>
      </c>
      <c r="M235" s="15" t="str">
        <f>IF(BudgetsTable[[#This Row],[pi_last_name]]=" ","",HYPERLINK("https://www.ejacket.nsf.gov/ej/processReviewAnalysis.do?dispatch=add&amp;uniqId="&amp;BudgetsTable[[#This Row],[prop_id]]&amp;PO_id,"&gt;ra"))</f>
        <v/>
      </c>
      <c r="N235" s="79" t="s">
        <v>13</v>
      </c>
      <c r="O235" s="7" t="str">
        <f>IF(BudgetsTable[[#This Row],[pi_last_name]]=" ","",HYPERLINK("mailto:"&amp;BudgetsTable[[#This Row],[pi_email]]&amp;"&amp;subject=Your NSF Proposal:  "&amp;BudgetsTable[[#This Row],[prop_id]],BudgetsTable[[#This Row],[pi_email]]))</f>
        <v/>
      </c>
      <c r="P235" s="79" t="s">
        <v>13</v>
      </c>
      <c r="Q235" s="79">
        <v>1</v>
      </c>
      <c r="R235" s="79">
        <v>0.5</v>
      </c>
      <c r="S235" s="80">
        <v>0</v>
      </c>
      <c r="T235" s="80">
        <v>3000</v>
      </c>
      <c r="U235" s="80">
        <v>0</v>
      </c>
      <c r="V235" s="81">
        <v>78586</v>
      </c>
      <c r="W235" s="79">
        <v>0</v>
      </c>
      <c r="X235" s="79">
        <v>3</v>
      </c>
      <c r="Y235" s="11" t="str">
        <f ca="1">IF(ISBLANK(BudgetsTable[[#This Row],[budg_seq_yr]]),"FY"&amp;fiscalyear,"FY"&amp;fiscalyear-1+BudgetsTable[[#This Row],[budg_seq_yr]])</f>
        <v>FY20</v>
      </c>
      <c r="Z235" s="80">
        <v>78586</v>
      </c>
      <c r="AA235" s="79" t="s">
        <v>477</v>
      </c>
      <c r="AB235" s="79" t="s">
        <v>582</v>
      </c>
      <c r="AC235" s="77" t="s">
        <v>94</v>
      </c>
      <c r="AD235" s="79" t="s">
        <v>1603</v>
      </c>
    </row>
    <row r="236" spans="1:30" x14ac:dyDescent="0.4">
      <c r="A236" s="10" t="s">
        <v>1056</v>
      </c>
      <c r="B236" s="77" t="s">
        <v>95</v>
      </c>
      <c r="C236" s="77">
        <f>C235+(BudgetsTable[[#This Row],[lead]]&lt;&gt;K235)</f>
        <v>49</v>
      </c>
      <c r="D236" s="77">
        <f>D235*(BudgetsTable[[#This Row],[lead]]=K235)+(BudgetsTable[[#This Row],[prop_id]]&lt;&gt;A235)</f>
        <v>1</v>
      </c>
      <c r="E236" s="78">
        <v>42935.70416666667</v>
      </c>
      <c r="F236" s="79" t="s">
        <v>1430</v>
      </c>
      <c r="G236" s="79" t="s">
        <v>477</v>
      </c>
      <c r="H236" s="79" t="s">
        <v>582</v>
      </c>
      <c r="I236" s="77" t="s">
        <v>654</v>
      </c>
      <c r="J236" s="77" t="s">
        <v>13</v>
      </c>
      <c r="K236" s="79" t="s">
        <v>1056</v>
      </c>
      <c r="L236" s="7" t="str">
        <f>IF(BudgetsTable[[#This Row],[pi_last_name]]=" ","",HYPERLINK("https://www.ejacket.nsf.gov/ej/showProposal.do?Continue=Y&amp;ID="&amp;BudgetsTable[[#This Row],[prop_id]],BudgetsTable[[#This Row],[prop_id]]))</f>
        <v/>
      </c>
      <c r="M236" s="15" t="str">
        <f>IF(BudgetsTable[[#This Row],[pi_last_name]]=" ","",HYPERLINK("https://www.ejacket.nsf.gov/ej/processReviewAnalysis.do?dispatch=add&amp;uniqId="&amp;BudgetsTable[[#This Row],[prop_id]]&amp;PO_id,"&gt;ra"))</f>
        <v/>
      </c>
      <c r="N236" s="79" t="s">
        <v>13</v>
      </c>
      <c r="O236" s="7" t="str">
        <f>IF(BudgetsTable[[#This Row],[pi_last_name]]=" ","",HYPERLINK("mailto:"&amp;BudgetsTable[[#This Row],[pi_email]]&amp;"&amp;subject=Your NSF Proposal:  "&amp;BudgetsTable[[#This Row],[prop_id]],BudgetsTable[[#This Row],[pi_email]]))</f>
        <v/>
      </c>
      <c r="P236" s="79" t="s">
        <v>13</v>
      </c>
      <c r="Q236" s="79">
        <v>1</v>
      </c>
      <c r="R236" s="79">
        <v>0.5</v>
      </c>
      <c r="S236" s="80">
        <v>0</v>
      </c>
      <c r="T236" s="80">
        <v>3000</v>
      </c>
      <c r="U236" s="80">
        <v>0</v>
      </c>
      <c r="V236" s="81">
        <v>79863</v>
      </c>
      <c r="W236" s="79">
        <v>0</v>
      </c>
      <c r="X236" s="79">
        <v>4</v>
      </c>
      <c r="Y236" s="11" t="str">
        <f ca="1">IF(ISBLANK(BudgetsTable[[#This Row],[budg_seq_yr]]),"FY"&amp;fiscalyear,"FY"&amp;fiscalyear-1+BudgetsTable[[#This Row],[budg_seq_yr]])</f>
        <v>FY21</v>
      </c>
      <c r="Z236" s="80">
        <v>79863</v>
      </c>
      <c r="AA236" s="79" t="s">
        <v>477</v>
      </c>
      <c r="AB236" s="79" t="s">
        <v>582</v>
      </c>
      <c r="AC236" s="77" t="s">
        <v>94</v>
      </c>
      <c r="AD236" s="79" t="s">
        <v>1603</v>
      </c>
    </row>
    <row r="237" spans="1:30" x14ac:dyDescent="0.4">
      <c r="A237" s="10" t="s">
        <v>1056</v>
      </c>
      <c r="B237" s="77" t="s">
        <v>95</v>
      </c>
      <c r="C237" s="77">
        <f>C236+(BudgetsTable[[#This Row],[lead]]&lt;&gt;K236)</f>
        <v>49</v>
      </c>
      <c r="D237" s="77">
        <f>D236*(BudgetsTable[[#This Row],[lead]]=K236)+(BudgetsTable[[#This Row],[prop_id]]&lt;&gt;A236)</f>
        <v>1</v>
      </c>
      <c r="E237" s="78">
        <v>42935.70416666667</v>
      </c>
      <c r="F237" s="79" t="s">
        <v>1430</v>
      </c>
      <c r="G237" s="79" t="s">
        <v>477</v>
      </c>
      <c r="H237" s="79" t="s">
        <v>582</v>
      </c>
      <c r="I237" s="77" t="s">
        <v>654</v>
      </c>
      <c r="J237" s="77" t="s">
        <v>13</v>
      </c>
      <c r="K237" s="79" t="s">
        <v>1056</v>
      </c>
      <c r="L237" s="7" t="str">
        <f>IF(BudgetsTable[[#This Row],[pi_last_name]]=" ","",HYPERLINK("https://www.ejacket.nsf.gov/ej/showProposal.do?Continue=Y&amp;ID="&amp;BudgetsTable[[#This Row],[prop_id]],BudgetsTable[[#This Row],[prop_id]]))</f>
        <v/>
      </c>
      <c r="M237" s="15" t="str">
        <f>IF(BudgetsTable[[#This Row],[pi_last_name]]=" ","",HYPERLINK("https://www.ejacket.nsf.gov/ej/processReviewAnalysis.do?dispatch=add&amp;uniqId="&amp;BudgetsTable[[#This Row],[prop_id]]&amp;PO_id,"&gt;ra"))</f>
        <v/>
      </c>
      <c r="N237" s="79" t="s">
        <v>13</v>
      </c>
      <c r="O237" s="7" t="str">
        <f>IF(BudgetsTable[[#This Row],[pi_last_name]]=" ","",HYPERLINK("mailto:"&amp;BudgetsTable[[#This Row],[pi_email]]&amp;"&amp;subject=Your NSF Proposal:  "&amp;BudgetsTable[[#This Row],[prop_id]],BudgetsTable[[#This Row],[pi_email]]))</f>
        <v/>
      </c>
      <c r="P237" s="79" t="s">
        <v>13</v>
      </c>
      <c r="Q237" s="79">
        <v>1</v>
      </c>
      <c r="R237" s="79">
        <v>0.5</v>
      </c>
      <c r="S237" s="80">
        <v>0</v>
      </c>
      <c r="T237" s="80">
        <v>3000</v>
      </c>
      <c r="U237" s="80">
        <v>0</v>
      </c>
      <c r="V237" s="81">
        <v>81201</v>
      </c>
      <c r="W237" s="79">
        <v>0</v>
      </c>
      <c r="X237" s="79">
        <v>5</v>
      </c>
      <c r="Y237" s="11" t="str">
        <f ca="1">IF(ISBLANK(BudgetsTable[[#This Row],[budg_seq_yr]]),"FY"&amp;fiscalyear,"FY"&amp;fiscalyear-1+BudgetsTable[[#This Row],[budg_seq_yr]])</f>
        <v>FY22</v>
      </c>
      <c r="Z237" s="80">
        <v>81201</v>
      </c>
      <c r="AA237" s="79" t="s">
        <v>477</v>
      </c>
      <c r="AB237" s="79" t="s">
        <v>582</v>
      </c>
      <c r="AC237" s="77" t="s">
        <v>94</v>
      </c>
      <c r="AD237" s="79" t="s">
        <v>1603</v>
      </c>
    </row>
    <row r="238" spans="1:30" x14ac:dyDescent="0.4">
      <c r="A238" s="10" t="s">
        <v>1064</v>
      </c>
      <c r="B238" s="77" t="s">
        <v>95</v>
      </c>
      <c r="C238" s="77">
        <f>C237+(BudgetsTable[[#This Row],[lead]]&lt;&gt;K237)</f>
        <v>50</v>
      </c>
      <c r="D238" s="77">
        <f>D237*(BudgetsTable[[#This Row],[lead]]=K237)+(BudgetsTable[[#This Row],[prop_id]]&lt;&gt;A237)</f>
        <v>1</v>
      </c>
      <c r="E238" s="78">
        <v>42935.717361111114</v>
      </c>
      <c r="F238" s="79" t="s">
        <v>1430</v>
      </c>
      <c r="G238" s="79" t="s">
        <v>477</v>
      </c>
      <c r="H238" s="79" t="s">
        <v>582</v>
      </c>
      <c r="I238" s="77" t="s">
        <v>611</v>
      </c>
      <c r="J238" s="77" t="s">
        <v>1611</v>
      </c>
      <c r="K238" s="79" t="s">
        <v>1064</v>
      </c>
      <c r="L238" s="7" t="str">
        <f>IF(BudgetsTable[[#This Row],[pi_last_name]]=" ","",HYPERLINK("https://www.ejacket.nsf.gov/ej/showProposal.do?Continue=Y&amp;ID="&amp;BudgetsTable[[#This Row],[prop_id]],BudgetsTable[[#This Row],[prop_id]]))</f>
        <v>1751234</v>
      </c>
      <c r="M238" s="15" t="e">
        <f>IF(BudgetsTable[[#This Row],[pi_last_name]]=" ","",HYPERLINK("https://www.ejacket.nsf.gov/ej/processReviewAnalysis.do?dispatch=add&amp;uniqId="&amp;BudgetsTable[[#This Row],[prop_id]]&amp;PO_id,"&gt;ra"))</f>
        <v>#REF!</v>
      </c>
      <c r="N238" s="79" t="s">
        <v>1065</v>
      </c>
      <c r="O238" s="7" t="str">
        <f>IF(BudgetsTable[[#This Row],[pi_last_name]]=" ","",HYPERLINK("mailto:"&amp;BudgetsTable[[#This Row],[pi_email]]&amp;"&amp;subject=Your NSF Proposal:  "&amp;BudgetsTable[[#This Row],[prop_id]],BudgetsTable[[#This Row],[pi_email]]))</f>
        <v>bhaskara@cs.utah.edu</v>
      </c>
      <c r="P238" s="79" t="s">
        <v>556</v>
      </c>
      <c r="Q238" s="79"/>
      <c r="R238" s="79"/>
      <c r="S238" s="80"/>
      <c r="T238" s="80"/>
      <c r="U238" s="80"/>
      <c r="V238" s="81"/>
      <c r="W238" s="79">
        <v>0</v>
      </c>
      <c r="X238" s="79"/>
      <c r="Y238" s="11" t="str">
        <f ca="1">IF(ISBLANK(BudgetsTable[[#This Row],[budg_seq_yr]]),"FY"&amp;fiscalyear,"FY"&amp;fiscalyear-1+BudgetsTable[[#This Row],[budg_seq_yr]])</f>
        <v>FY18</v>
      </c>
      <c r="Z238" s="80">
        <v>536841</v>
      </c>
      <c r="AA238" s="79" t="s">
        <v>477</v>
      </c>
      <c r="AB238" s="79" t="s">
        <v>582</v>
      </c>
      <c r="AC238" s="77" t="s">
        <v>94</v>
      </c>
      <c r="AD238" s="79" t="s">
        <v>1469</v>
      </c>
    </row>
    <row r="239" spans="1:30" x14ac:dyDescent="0.4">
      <c r="A239" s="10" t="s">
        <v>1064</v>
      </c>
      <c r="B239" s="77" t="s">
        <v>95</v>
      </c>
      <c r="C239" s="77">
        <f>C238+(BudgetsTable[[#This Row],[lead]]&lt;&gt;K238)</f>
        <v>50</v>
      </c>
      <c r="D239" s="77">
        <f>D238*(BudgetsTable[[#This Row],[lead]]=K238)+(BudgetsTable[[#This Row],[prop_id]]&lt;&gt;A238)</f>
        <v>1</v>
      </c>
      <c r="E239" s="78">
        <v>42935.717361111114</v>
      </c>
      <c r="F239" s="79" t="s">
        <v>1430</v>
      </c>
      <c r="G239" s="79" t="s">
        <v>477</v>
      </c>
      <c r="H239" s="79" t="s">
        <v>582</v>
      </c>
      <c r="I239" s="77" t="s">
        <v>611</v>
      </c>
      <c r="J239" s="77" t="s">
        <v>13</v>
      </c>
      <c r="K239" s="79" t="s">
        <v>1064</v>
      </c>
      <c r="L239" s="7" t="str">
        <f>IF(BudgetsTable[[#This Row],[pi_last_name]]=" ","",HYPERLINK("https://www.ejacket.nsf.gov/ej/showProposal.do?Continue=Y&amp;ID="&amp;BudgetsTable[[#This Row],[prop_id]],BudgetsTable[[#This Row],[prop_id]]))</f>
        <v/>
      </c>
      <c r="M239" s="15" t="str">
        <f>IF(BudgetsTable[[#This Row],[pi_last_name]]=" ","",HYPERLINK("https://www.ejacket.nsf.gov/ej/processReviewAnalysis.do?dispatch=add&amp;uniqId="&amp;BudgetsTable[[#This Row],[prop_id]]&amp;PO_id,"&gt;ra"))</f>
        <v/>
      </c>
      <c r="N239" s="79" t="s">
        <v>13</v>
      </c>
      <c r="O239" s="7" t="str">
        <f>IF(BudgetsTable[[#This Row],[pi_last_name]]=" ","",HYPERLINK("mailto:"&amp;BudgetsTable[[#This Row],[pi_email]]&amp;"&amp;subject=Your NSF Proposal:  "&amp;BudgetsTable[[#This Row],[prop_id]],BudgetsTable[[#This Row],[pi_email]]))</f>
        <v/>
      </c>
      <c r="P239" s="79" t="s">
        <v>13</v>
      </c>
      <c r="Q239" s="79">
        <v>1</v>
      </c>
      <c r="R239" s="79">
        <v>1</v>
      </c>
      <c r="S239" s="80">
        <v>0</v>
      </c>
      <c r="T239" s="80">
        <v>5500</v>
      </c>
      <c r="U239" s="80">
        <v>4000</v>
      </c>
      <c r="V239" s="81">
        <v>105452</v>
      </c>
      <c r="W239" s="79">
        <v>0</v>
      </c>
      <c r="X239" s="79">
        <v>1</v>
      </c>
      <c r="Y239" s="11" t="str">
        <f ca="1">IF(ISBLANK(BudgetsTable[[#This Row],[budg_seq_yr]]),"FY"&amp;fiscalyear,"FY"&amp;fiscalyear-1+BudgetsTable[[#This Row],[budg_seq_yr]])</f>
        <v>FY18</v>
      </c>
      <c r="Z239" s="80">
        <v>105452</v>
      </c>
      <c r="AA239" s="79" t="s">
        <v>477</v>
      </c>
      <c r="AB239" s="79" t="s">
        <v>582</v>
      </c>
      <c r="AC239" s="77" t="s">
        <v>94</v>
      </c>
      <c r="AD239" s="79" t="s">
        <v>1469</v>
      </c>
    </row>
    <row r="240" spans="1:30" x14ac:dyDescent="0.4">
      <c r="A240" s="10" t="s">
        <v>1064</v>
      </c>
      <c r="B240" s="77" t="s">
        <v>95</v>
      </c>
      <c r="C240" s="77">
        <f>C239+(BudgetsTable[[#This Row],[lead]]&lt;&gt;K239)</f>
        <v>50</v>
      </c>
      <c r="D240" s="77">
        <f>D239*(BudgetsTable[[#This Row],[lead]]=K239)+(BudgetsTable[[#This Row],[prop_id]]&lt;&gt;A239)</f>
        <v>1</v>
      </c>
      <c r="E240" s="78">
        <v>42935.717361111114</v>
      </c>
      <c r="F240" s="79" t="s">
        <v>1430</v>
      </c>
      <c r="G240" s="79" t="s">
        <v>477</v>
      </c>
      <c r="H240" s="79" t="s">
        <v>582</v>
      </c>
      <c r="I240" s="77" t="s">
        <v>611</v>
      </c>
      <c r="J240" s="77" t="s">
        <v>13</v>
      </c>
      <c r="K240" s="79" t="s">
        <v>1064</v>
      </c>
      <c r="L240" s="7" t="str">
        <f>IF(BudgetsTable[[#This Row],[pi_last_name]]=" ","",HYPERLINK("https://www.ejacket.nsf.gov/ej/showProposal.do?Continue=Y&amp;ID="&amp;BudgetsTable[[#This Row],[prop_id]],BudgetsTable[[#This Row],[prop_id]]))</f>
        <v/>
      </c>
      <c r="M240" s="15" t="str">
        <f>IF(BudgetsTable[[#This Row],[pi_last_name]]=" ","",HYPERLINK("https://www.ejacket.nsf.gov/ej/processReviewAnalysis.do?dispatch=add&amp;uniqId="&amp;BudgetsTable[[#This Row],[prop_id]]&amp;PO_id,"&gt;ra"))</f>
        <v/>
      </c>
      <c r="N240" s="79" t="s">
        <v>13</v>
      </c>
      <c r="O240" s="7" t="str">
        <f>IF(BudgetsTable[[#This Row],[pi_last_name]]=" ","",HYPERLINK("mailto:"&amp;BudgetsTable[[#This Row],[pi_email]]&amp;"&amp;subject=Your NSF Proposal:  "&amp;BudgetsTable[[#This Row],[prop_id]],BudgetsTable[[#This Row],[pi_email]]))</f>
        <v/>
      </c>
      <c r="P240" s="79" t="s">
        <v>13</v>
      </c>
      <c r="Q240" s="79">
        <v>1</v>
      </c>
      <c r="R240" s="79">
        <v>1</v>
      </c>
      <c r="S240" s="80">
        <v>0</v>
      </c>
      <c r="T240" s="80">
        <v>5500</v>
      </c>
      <c r="U240" s="80">
        <v>4000</v>
      </c>
      <c r="V240" s="81">
        <v>104543</v>
      </c>
      <c r="W240" s="79">
        <v>0</v>
      </c>
      <c r="X240" s="79">
        <v>2</v>
      </c>
      <c r="Y240" s="11" t="str">
        <f ca="1">IF(ISBLANK(BudgetsTable[[#This Row],[budg_seq_yr]]),"FY"&amp;fiscalyear,"FY"&amp;fiscalyear-1+BudgetsTable[[#This Row],[budg_seq_yr]])</f>
        <v>FY19</v>
      </c>
      <c r="Z240" s="80">
        <v>104543</v>
      </c>
      <c r="AA240" s="79" t="s">
        <v>477</v>
      </c>
      <c r="AB240" s="79" t="s">
        <v>582</v>
      </c>
      <c r="AC240" s="77" t="s">
        <v>94</v>
      </c>
      <c r="AD240" s="79" t="s">
        <v>1469</v>
      </c>
    </row>
    <row r="241" spans="1:30" x14ac:dyDescent="0.4">
      <c r="A241" s="10" t="s">
        <v>1064</v>
      </c>
      <c r="B241" s="77" t="s">
        <v>95</v>
      </c>
      <c r="C241" s="77">
        <f>C240+(BudgetsTable[[#This Row],[lead]]&lt;&gt;K240)</f>
        <v>50</v>
      </c>
      <c r="D241" s="77">
        <f>D240*(BudgetsTable[[#This Row],[lead]]=K240)+(BudgetsTable[[#This Row],[prop_id]]&lt;&gt;A240)</f>
        <v>1</v>
      </c>
      <c r="E241" s="78">
        <v>42935.717361111114</v>
      </c>
      <c r="F241" s="79" t="s">
        <v>1430</v>
      </c>
      <c r="G241" s="79" t="s">
        <v>477</v>
      </c>
      <c r="H241" s="79" t="s">
        <v>582</v>
      </c>
      <c r="I241" s="77" t="s">
        <v>611</v>
      </c>
      <c r="J241" s="77" t="s">
        <v>13</v>
      </c>
      <c r="K241" s="79" t="s">
        <v>1064</v>
      </c>
      <c r="L241" s="7" t="str">
        <f>IF(BudgetsTable[[#This Row],[pi_last_name]]=" ","",HYPERLINK("https://www.ejacket.nsf.gov/ej/showProposal.do?Continue=Y&amp;ID="&amp;BudgetsTable[[#This Row],[prop_id]],BudgetsTable[[#This Row],[prop_id]]))</f>
        <v/>
      </c>
      <c r="M241" s="15" t="str">
        <f>IF(BudgetsTable[[#This Row],[pi_last_name]]=" ","",HYPERLINK("https://www.ejacket.nsf.gov/ej/processReviewAnalysis.do?dispatch=add&amp;uniqId="&amp;BudgetsTable[[#This Row],[prop_id]]&amp;PO_id,"&gt;ra"))</f>
        <v/>
      </c>
      <c r="N241" s="79" t="s">
        <v>13</v>
      </c>
      <c r="O241" s="7" t="str">
        <f>IF(BudgetsTable[[#This Row],[pi_last_name]]=" ","",HYPERLINK("mailto:"&amp;BudgetsTable[[#This Row],[pi_email]]&amp;"&amp;subject=Your NSF Proposal:  "&amp;BudgetsTable[[#This Row],[prop_id]],BudgetsTable[[#This Row],[pi_email]]))</f>
        <v/>
      </c>
      <c r="P241" s="79" t="s">
        <v>13</v>
      </c>
      <c r="Q241" s="79">
        <v>1</v>
      </c>
      <c r="R241" s="79">
        <v>1</v>
      </c>
      <c r="S241" s="80">
        <v>0</v>
      </c>
      <c r="T241" s="80">
        <v>5500</v>
      </c>
      <c r="U241" s="80">
        <v>4000</v>
      </c>
      <c r="V241" s="81">
        <v>106721</v>
      </c>
      <c r="W241" s="79">
        <v>0</v>
      </c>
      <c r="X241" s="79">
        <v>3</v>
      </c>
      <c r="Y241" s="11" t="str">
        <f ca="1">IF(ISBLANK(BudgetsTable[[#This Row],[budg_seq_yr]]),"FY"&amp;fiscalyear,"FY"&amp;fiscalyear-1+BudgetsTable[[#This Row],[budg_seq_yr]])</f>
        <v>FY20</v>
      </c>
      <c r="Z241" s="80">
        <v>106721</v>
      </c>
      <c r="AA241" s="79" t="s">
        <v>477</v>
      </c>
      <c r="AB241" s="79" t="s">
        <v>582</v>
      </c>
      <c r="AC241" s="77" t="s">
        <v>94</v>
      </c>
      <c r="AD241" s="79" t="s">
        <v>1469</v>
      </c>
    </row>
    <row r="242" spans="1:30" x14ac:dyDescent="0.4">
      <c r="A242" s="10" t="s">
        <v>1064</v>
      </c>
      <c r="B242" s="77" t="s">
        <v>95</v>
      </c>
      <c r="C242" s="77">
        <f>C241+(BudgetsTable[[#This Row],[lead]]&lt;&gt;K241)</f>
        <v>50</v>
      </c>
      <c r="D242" s="77">
        <f>D241*(BudgetsTable[[#This Row],[lead]]=K241)+(BudgetsTable[[#This Row],[prop_id]]&lt;&gt;A241)</f>
        <v>1</v>
      </c>
      <c r="E242" s="78">
        <v>42935.717361111114</v>
      </c>
      <c r="F242" s="79" t="s">
        <v>1430</v>
      </c>
      <c r="G242" s="79" t="s">
        <v>477</v>
      </c>
      <c r="H242" s="79" t="s">
        <v>582</v>
      </c>
      <c r="I242" s="77" t="s">
        <v>611</v>
      </c>
      <c r="J242" s="77" t="s">
        <v>13</v>
      </c>
      <c r="K242" s="79" t="s">
        <v>1064</v>
      </c>
      <c r="L242" s="7" t="str">
        <f>IF(BudgetsTable[[#This Row],[pi_last_name]]=" ","",HYPERLINK("https://www.ejacket.nsf.gov/ej/showProposal.do?Continue=Y&amp;ID="&amp;BudgetsTable[[#This Row],[prop_id]],BudgetsTable[[#This Row],[prop_id]]))</f>
        <v/>
      </c>
      <c r="M242" s="15" t="str">
        <f>IF(BudgetsTable[[#This Row],[pi_last_name]]=" ","",HYPERLINK("https://www.ejacket.nsf.gov/ej/processReviewAnalysis.do?dispatch=add&amp;uniqId="&amp;BudgetsTable[[#This Row],[prop_id]]&amp;PO_id,"&gt;ra"))</f>
        <v/>
      </c>
      <c r="N242" s="79" t="s">
        <v>13</v>
      </c>
      <c r="O242" s="7" t="str">
        <f>IF(BudgetsTable[[#This Row],[pi_last_name]]=" ","",HYPERLINK("mailto:"&amp;BudgetsTable[[#This Row],[pi_email]]&amp;"&amp;subject=Your NSF Proposal:  "&amp;BudgetsTable[[#This Row],[prop_id]],BudgetsTable[[#This Row],[pi_email]]))</f>
        <v/>
      </c>
      <c r="P242" s="79" t="s">
        <v>13</v>
      </c>
      <c r="Q242" s="79">
        <v>1</v>
      </c>
      <c r="R242" s="79">
        <v>1</v>
      </c>
      <c r="S242" s="80">
        <v>0</v>
      </c>
      <c r="T242" s="80">
        <v>5500</v>
      </c>
      <c r="U242" s="80">
        <v>4000</v>
      </c>
      <c r="V242" s="81">
        <v>108936</v>
      </c>
      <c r="W242" s="79">
        <v>0</v>
      </c>
      <c r="X242" s="79">
        <v>4</v>
      </c>
      <c r="Y242" s="11" t="str">
        <f ca="1">IF(ISBLANK(BudgetsTable[[#This Row],[budg_seq_yr]]),"FY"&amp;fiscalyear,"FY"&amp;fiscalyear-1+BudgetsTable[[#This Row],[budg_seq_yr]])</f>
        <v>FY21</v>
      </c>
      <c r="Z242" s="80">
        <v>108936</v>
      </c>
      <c r="AA242" s="79" t="s">
        <v>477</v>
      </c>
      <c r="AB242" s="79" t="s">
        <v>582</v>
      </c>
      <c r="AC242" s="77" t="s">
        <v>94</v>
      </c>
      <c r="AD242" s="79" t="s">
        <v>1469</v>
      </c>
    </row>
    <row r="243" spans="1:30" x14ac:dyDescent="0.4">
      <c r="A243" s="10" t="s">
        <v>1064</v>
      </c>
      <c r="B243" s="77" t="s">
        <v>95</v>
      </c>
      <c r="C243" s="77">
        <f>C242+(BudgetsTable[[#This Row],[lead]]&lt;&gt;K242)</f>
        <v>50</v>
      </c>
      <c r="D243" s="77">
        <f>D242*(BudgetsTable[[#This Row],[lead]]=K242)+(BudgetsTable[[#This Row],[prop_id]]&lt;&gt;A242)</f>
        <v>1</v>
      </c>
      <c r="E243" s="78">
        <v>42935.717361111114</v>
      </c>
      <c r="F243" s="79" t="s">
        <v>1430</v>
      </c>
      <c r="G243" s="79" t="s">
        <v>477</v>
      </c>
      <c r="H243" s="79" t="s">
        <v>582</v>
      </c>
      <c r="I243" s="77" t="s">
        <v>611</v>
      </c>
      <c r="J243" s="77" t="s">
        <v>13</v>
      </c>
      <c r="K243" s="79" t="s">
        <v>1064</v>
      </c>
      <c r="L243" s="7" t="str">
        <f>IF(BudgetsTable[[#This Row],[pi_last_name]]=" ","",HYPERLINK("https://www.ejacket.nsf.gov/ej/showProposal.do?Continue=Y&amp;ID="&amp;BudgetsTable[[#This Row],[prop_id]],BudgetsTable[[#This Row],[prop_id]]))</f>
        <v/>
      </c>
      <c r="M243" s="15" t="str">
        <f>IF(BudgetsTable[[#This Row],[pi_last_name]]=" ","",HYPERLINK("https://www.ejacket.nsf.gov/ej/processReviewAnalysis.do?dispatch=add&amp;uniqId="&amp;BudgetsTable[[#This Row],[prop_id]]&amp;PO_id,"&gt;ra"))</f>
        <v/>
      </c>
      <c r="N243" s="79" t="s">
        <v>13</v>
      </c>
      <c r="O243" s="7" t="str">
        <f>IF(BudgetsTable[[#This Row],[pi_last_name]]=" ","",HYPERLINK("mailto:"&amp;BudgetsTable[[#This Row],[pi_email]]&amp;"&amp;subject=Your NSF Proposal:  "&amp;BudgetsTable[[#This Row],[prop_id]],BudgetsTable[[#This Row],[pi_email]]))</f>
        <v/>
      </c>
      <c r="P243" s="79" t="s">
        <v>13</v>
      </c>
      <c r="Q243" s="79">
        <v>1</v>
      </c>
      <c r="R243" s="79">
        <v>1</v>
      </c>
      <c r="S243" s="80">
        <v>0</v>
      </c>
      <c r="T243" s="80">
        <v>5500</v>
      </c>
      <c r="U243" s="80">
        <v>4000</v>
      </c>
      <c r="V243" s="81">
        <v>111189</v>
      </c>
      <c r="W243" s="79">
        <v>0</v>
      </c>
      <c r="X243" s="79">
        <v>5</v>
      </c>
      <c r="Y243" s="11" t="str">
        <f ca="1">IF(ISBLANK(BudgetsTable[[#This Row],[budg_seq_yr]]),"FY"&amp;fiscalyear,"FY"&amp;fiscalyear-1+BudgetsTable[[#This Row],[budg_seq_yr]])</f>
        <v>FY22</v>
      </c>
      <c r="Z243" s="80">
        <v>111189</v>
      </c>
      <c r="AA243" s="79" t="s">
        <v>477</v>
      </c>
      <c r="AB243" s="79" t="s">
        <v>582</v>
      </c>
      <c r="AC243" s="77" t="s">
        <v>94</v>
      </c>
      <c r="AD243" s="79" t="s">
        <v>1469</v>
      </c>
    </row>
    <row r="244" spans="1:30" x14ac:dyDescent="0.4">
      <c r="A244" s="10" t="s">
        <v>1073</v>
      </c>
      <c r="B244" s="77" t="s">
        <v>95</v>
      </c>
      <c r="C244" s="77">
        <f>C243+(BudgetsTable[[#This Row],[lead]]&lt;&gt;K243)</f>
        <v>51</v>
      </c>
      <c r="D244" s="77">
        <f>D243*(BudgetsTable[[#This Row],[lead]]=K243)+(BudgetsTable[[#This Row],[prop_id]]&lt;&gt;A243)</f>
        <v>1</v>
      </c>
      <c r="E244" s="78">
        <v>42935.723611111112</v>
      </c>
      <c r="F244" s="79" t="s">
        <v>1430</v>
      </c>
      <c r="G244" s="79" t="s">
        <v>477</v>
      </c>
      <c r="H244" s="79" t="s">
        <v>582</v>
      </c>
      <c r="I244" s="77" t="s">
        <v>611</v>
      </c>
      <c r="J244" s="77" t="s">
        <v>1616</v>
      </c>
      <c r="K244" s="79" t="s">
        <v>1073</v>
      </c>
      <c r="L244" s="7" t="str">
        <f>IF(BudgetsTable[[#This Row],[pi_last_name]]=" ","",HYPERLINK("https://www.ejacket.nsf.gov/ej/showProposal.do?Continue=Y&amp;ID="&amp;BudgetsTable[[#This Row],[prop_id]],BudgetsTable[[#This Row],[prop_id]]))</f>
        <v>1751254</v>
      </c>
      <c r="M244" s="15" t="e">
        <f>IF(BudgetsTable[[#This Row],[pi_last_name]]=" ","",HYPERLINK("https://www.ejacket.nsf.gov/ej/processReviewAnalysis.do?dispatch=add&amp;uniqId="&amp;BudgetsTable[[#This Row],[prop_id]]&amp;PO_id,"&gt;ra"))</f>
        <v>#REF!</v>
      </c>
      <c r="N244" s="79" t="s">
        <v>1074</v>
      </c>
      <c r="O244" s="7" t="str">
        <f>IF(BudgetsTable[[#This Row],[pi_last_name]]=" ","",HYPERLINK("mailto:"&amp;BudgetsTable[[#This Row],[pi_email]]&amp;"&amp;subject=Your NSF Proposal:  "&amp;BudgetsTable[[#This Row],[prop_id]],BudgetsTable[[#This Row],[pi_email]]))</f>
        <v>brittany@cs.montana.edu</v>
      </c>
      <c r="P244" s="79" t="s">
        <v>1614</v>
      </c>
      <c r="Q244" s="79"/>
      <c r="R244" s="79"/>
      <c r="S244" s="80"/>
      <c r="T244" s="80"/>
      <c r="U244" s="80"/>
      <c r="V244" s="81"/>
      <c r="W244" s="79">
        <v>0</v>
      </c>
      <c r="X244" s="79"/>
      <c r="Y244" s="11" t="str">
        <f ca="1">IF(ISBLANK(BudgetsTable[[#This Row],[budg_seq_yr]]),"FY"&amp;fiscalyear,"FY"&amp;fiscalyear-1+BudgetsTable[[#This Row],[budg_seq_yr]])</f>
        <v>FY18</v>
      </c>
      <c r="Z244" s="80">
        <v>552355</v>
      </c>
      <c r="AA244" s="79" t="s">
        <v>477</v>
      </c>
      <c r="AB244" s="79" t="s">
        <v>582</v>
      </c>
      <c r="AC244" s="77" t="s">
        <v>94</v>
      </c>
      <c r="AD244" s="79" t="s">
        <v>1612</v>
      </c>
    </row>
    <row r="245" spans="1:30" x14ac:dyDescent="0.4">
      <c r="A245" s="10" t="s">
        <v>1073</v>
      </c>
      <c r="B245" s="77" t="s">
        <v>95</v>
      </c>
      <c r="C245" s="77">
        <f>C244+(BudgetsTable[[#This Row],[lead]]&lt;&gt;K244)</f>
        <v>51</v>
      </c>
      <c r="D245" s="77">
        <f>D244*(BudgetsTable[[#This Row],[lead]]=K244)+(BudgetsTable[[#This Row],[prop_id]]&lt;&gt;A244)</f>
        <v>1</v>
      </c>
      <c r="E245" s="78">
        <v>42935.723611111112</v>
      </c>
      <c r="F245" s="79" t="s">
        <v>1430</v>
      </c>
      <c r="G245" s="79" t="s">
        <v>477</v>
      </c>
      <c r="H245" s="79" t="s">
        <v>582</v>
      </c>
      <c r="I245" s="77" t="s">
        <v>611</v>
      </c>
      <c r="J245" s="77" t="s">
        <v>13</v>
      </c>
      <c r="K245" s="79" t="s">
        <v>1073</v>
      </c>
      <c r="L245" s="7" t="str">
        <f>IF(BudgetsTable[[#This Row],[pi_last_name]]=" ","",HYPERLINK("https://www.ejacket.nsf.gov/ej/showProposal.do?Continue=Y&amp;ID="&amp;BudgetsTable[[#This Row],[prop_id]],BudgetsTable[[#This Row],[prop_id]]))</f>
        <v/>
      </c>
      <c r="M245" s="15" t="str">
        <f>IF(BudgetsTable[[#This Row],[pi_last_name]]=" ","",HYPERLINK("https://www.ejacket.nsf.gov/ej/processReviewAnalysis.do?dispatch=add&amp;uniqId="&amp;BudgetsTable[[#This Row],[prop_id]]&amp;PO_id,"&gt;ra"))</f>
        <v/>
      </c>
      <c r="N245" s="79" t="s">
        <v>13</v>
      </c>
      <c r="O245" s="7" t="str">
        <f>IF(BudgetsTable[[#This Row],[pi_last_name]]=" ","",HYPERLINK("mailto:"&amp;BudgetsTable[[#This Row],[pi_email]]&amp;"&amp;subject=Your NSF Proposal:  "&amp;BudgetsTable[[#This Row],[prop_id]],BudgetsTable[[#This Row],[pi_email]]))</f>
        <v/>
      </c>
      <c r="P245" s="79" t="s">
        <v>13</v>
      </c>
      <c r="Q245" s="79">
        <v>1</v>
      </c>
      <c r="R245" s="79">
        <v>1</v>
      </c>
      <c r="S245" s="80">
        <v>0</v>
      </c>
      <c r="T245" s="80">
        <v>2600</v>
      </c>
      <c r="U245" s="80">
        <v>0</v>
      </c>
      <c r="V245" s="81">
        <v>91913</v>
      </c>
      <c r="W245" s="79">
        <v>0</v>
      </c>
      <c r="X245" s="79">
        <v>1</v>
      </c>
      <c r="Y245" s="11" t="str">
        <f ca="1">IF(ISBLANK(BudgetsTable[[#This Row],[budg_seq_yr]]),"FY"&amp;fiscalyear,"FY"&amp;fiscalyear-1+BudgetsTable[[#This Row],[budg_seq_yr]])</f>
        <v>FY18</v>
      </c>
      <c r="Z245" s="80">
        <v>91913</v>
      </c>
      <c r="AA245" s="79" t="s">
        <v>477</v>
      </c>
      <c r="AB245" s="79" t="s">
        <v>582</v>
      </c>
      <c r="AC245" s="77" t="s">
        <v>94</v>
      </c>
      <c r="AD245" s="79" t="s">
        <v>1612</v>
      </c>
    </row>
    <row r="246" spans="1:30" x14ac:dyDescent="0.4">
      <c r="A246" s="10" t="s">
        <v>1073</v>
      </c>
      <c r="B246" s="77" t="s">
        <v>95</v>
      </c>
      <c r="C246" s="77">
        <f>C245+(BudgetsTable[[#This Row],[lead]]&lt;&gt;K245)</f>
        <v>51</v>
      </c>
      <c r="D246" s="77">
        <f>D245*(BudgetsTable[[#This Row],[lead]]=K245)+(BudgetsTable[[#This Row],[prop_id]]&lt;&gt;A245)</f>
        <v>1</v>
      </c>
      <c r="E246" s="78">
        <v>42935.723611111112</v>
      </c>
      <c r="F246" s="79" t="s">
        <v>1430</v>
      </c>
      <c r="G246" s="79" t="s">
        <v>477</v>
      </c>
      <c r="H246" s="79" t="s">
        <v>582</v>
      </c>
      <c r="I246" s="77" t="s">
        <v>611</v>
      </c>
      <c r="J246" s="77" t="s">
        <v>13</v>
      </c>
      <c r="K246" s="79" t="s">
        <v>1073</v>
      </c>
      <c r="L246" s="7" t="str">
        <f>IF(BudgetsTable[[#This Row],[pi_last_name]]=" ","",HYPERLINK("https://www.ejacket.nsf.gov/ej/showProposal.do?Continue=Y&amp;ID="&amp;BudgetsTable[[#This Row],[prop_id]],BudgetsTable[[#This Row],[prop_id]]))</f>
        <v/>
      </c>
      <c r="M246" s="15" t="str">
        <f>IF(BudgetsTable[[#This Row],[pi_last_name]]=" ","",HYPERLINK("https://www.ejacket.nsf.gov/ej/processReviewAnalysis.do?dispatch=add&amp;uniqId="&amp;BudgetsTable[[#This Row],[prop_id]]&amp;PO_id,"&gt;ra"))</f>
        <v/>
      </c>
      <c r="N246" s="79" t="s">
        <v>13</v>
      </c>
      <c r="O246" s="7" t="str">
        <f>IF(BudgetsTable[[#This Row],[pi_last_name]]=" ","",HYPERLINK("mailto:"&amp;BudgetsTable[[#This Row],[pi_email]]&amp;"&amp;subject=Your NSF Proposal:  "&amp;BudgetsTable[[#This Row],[prop_id]],BudgetsTable[[#This Row],[pi_email]]))</f>
        <v/>
      </c>
      <c r="P246" s="79" t="s">
        <v>13</v>
      </c>
      <c r="Q246" s="79">
        <v>1</v>
      </c>
      <c r="R246" s="79">
        <v>1</v>
      </c>
      <c r="S246" s="80">
        <v>0</v>
      </c>
      <c r="T246" s="80">
        <v>2600</v>
      </c>
      <c r="U246" s="80">
        <v>0</v>
      </c>
      <c r="V246" s="81">
        <v>94307</v>
      </c>
      <c r="W246" s="79">
        <v>0</v>
      </c>
      <c r="X246" s="79">
        <v>2</v>
      </c>
      <c r="Y246" s="11" t="str">
        <f ca="1">IF(ISBLANK(BudgetsTable[[#This Row],[budg_seq_yr]]),"FY"&amp;fiscalyear,"FY"&amp;fiscalyear-1+BudgetsTable[[#This Row],[budg_seq_yr]])</f>
        <v>FY19</v>
      </c>
      <c r="Z246" s="80">
        <v>94307</v>
      </c>
      <c r="AA246" s="79" t="s">
        <v>477</v>
      </c>
      <c r="AB246" s="79" t="s">
        <v>582</v>
      </c>
      <c r="AC246" s="77" t="s">
        <v>94</v>
      </c>
      <c r="AD246" s="79" t="s">
        <v>1612</v>
      </c>
    </row>
    <row r="247" spans="1:30" x14ac:dyDescent="0.4">
      <c r="A247" s="10" t="s">
        <v>1073</v>
      </c>
      <c r="B247" s="77" t="s">
        <v>95</v>
      </c>
      <c r="C247" s="77">
        <f>C246+(BudgetsTable[[#This Row],[lead]]&lt;&gt;K246)</f>
        <v>51</v>
      </c>
      <c r="D247" s="77">
        <f>D246*(BudgetsTable[[#This Row],[lead]]=K246)+(BudgetsTable[[#This Row],[prop_id]]&lt;&gt;A246)</f>
        <v>1</v>
      </c>
      <c r="E247" s="78">
        <v>42935.723611111112</v>
      </c>
      <c r="F247" s="79" t="s">
        <v>1430</v>
      </c>
      <c r="G247" s="79" t="s">
        <v>477</v>
      </c>
      <c r="H247" s="79" t="s">
        <v>582</v>
      </c>
      <c r="I247" s="77" t="s">
        <v>611</v>
      </c>
      <c r="J247" s="77" t="s">
        <v>13</v>
      </c>
      <c r="K247" s="79" t="s">
        <v>1073</v>
      </c>
      <c r="L247" s="7" t="str">
        <f>IF(BudgetsTable[[#This Row],[pi_last_name]]=" ","",HYPERLINK("https://www.ejacket.nsf.gov/ej/showProposal.do?Continue=Y&amp;ID="&amp;BudgetsTable[[#This Row],[prop_id]],BudgetsTable[[#This Row],[prop_id]]))</f>
        <v/>
      </c>
      <c r="M247" s="15" t="str">
        <f>IF(BudgetsTable[[#This Row],[pi_last_name]]=" ","",HYPERLINK("https://www.ejacket.nsf.gov/ej/processReviewAnalysis.do?dispatch=add&amp;uniqId="&amp;BudgetsTable[[#This Row],[prop_id]]&amp;PO_id,"&gt;ra"))</f>
        <v/>
      </c>
      <c r="N247" s="79" t="s">
        <v>13</v>
      </c>
      <c r="O247" s="7" t="str">
        <f>IF(BudgetsTable[[#This Row],[pi_last_name]]=" ","",HYPERLINK("mailto:"&amp;BudgetsTable[[#This Row],[pi_email]]&amp;"&amp;subject=Your NSF Proposal:  "&amp;BudgetsTable[[#This Row],[prop_id]],BudgetsTable[[#This Row],[pi_email]]))</f>
        <v/>
      </c>
      <c r="P247" s="79" t="s">
        <v>13</v>
      </c>
      <c r="Q247" s="79">
        <v>1</v>
      </c>
      <c r="R247" s="79">
        <v>1</v>
      </c>
      <c r="S247" s="80">
        <v>0</v>
      </c>
      <c r="T247" s="80">
        <v>2600</v>
      </c>
      <c r="U247" s="80">
        <v>0</v>
      </c>
      <c r="V247" s="81">
        <v>137366</v>
      </c>
      <c r="W247" s="79">
        <v>0</v>
      </c>
      <c r="X247" s="79">
        <v>3</v>
      </c>
      <c r="Y247" s="11" t="str">
        <f ca="1">IF(ISBLANK(BudgetsTable[[#This Row],[budg_seq_yr]]),"FY"&amp;fiscalyear,"FY"&amp;fiscalyear-1+BudgetsTable[[#This Row],[budg_seq_yr]])</f>
        <v>FY20</v>
      </c>
      <c r="Z247" s="80">
        <v>137366</v>
      </c>
      <c r="AA247" s="79" t="s">
        <v>477</v>
      </c>
      <c r="AB247" s="79" t="s">
        <v>582</v>
      </c>
      <c r="AC247" s="77" t="s">
        <v>94</v>
      </c>
      <c r="AD247" s="79" t="s">
        <v>1612</v>
      </c>
    </row>
    <row r="248" spans="1:30" x14ac:dyDescent="0.4">
      <c r="A248" s="10" t="s">
        <v>1073</v>
      </c>
      <c r="B248" s="77" t="s">
        <v>95</v>
      </c>
      <c r="C248" s="77">
        <f>C247+(BudgetsTable[[#This Row],[lead]]&lt;&gt;K247)</f>
        <v>51</v>
      </c>
      <c r="D248" s="77">
        <f>D247*(BudgetsTable[[#This Row],[lead]]=K247)+(BudgetsTable[[#This Row],[prop_id]]&lt;&gt;A247)</f>
        <v>1</v>
      </c>
      <c r="E248" s="78">
        <v>42935.723611111112</v>
      </c>
      <c r="F248" s="79" t="s">
        <v>1430</v>
      </c>
      <c r="G248" s="79" t="s">
        <v>477</v>
      </c>
      <c r="H248" s="79" t="s">
        <v>582</v>
      </c>
      <c r="I248" s="77" t="s">
        <v>611</v>
      </c>
      <c r="J248" s="77" t="s">
        <v>13</v>
      </c>
      <c r="K248" s="79" t="s">
        <v>1073</v>
      </c>
      <c r="L248" s="7" t="str">
        <f>IF(BudgetsTable[[#This Row],[pi_last_name]]=" ","",HYPERLINK("https://www.ejacket.nsf.gov/ej/showProposal.do?Continue=Y&amp;ID="&amp;BudgetsTable[[#This Row],[prop_id]],BudgetsTable[[#This Row],[prop_id]]))</f>
        <v/>
      </c>
      <c r="M248" s="15" t="str">
        <f>IF(BudgetsTable[[#This Row],[pi_last_name]]=" ","",HYPERLINK("https://www.ejacket.nsf.gov/ej/processReviewAnalysis.do?dispatch=add&amp;uniqId="&amp;BudgetsTable[[#This Row],[prop_id]]&amp;PO_id,"&gt;ra"))</f>
        <v/>
      </c>
      <c r="N248" s="79" t="s">
        <v>13</v>
      </c>
      <c r="O248" s="7" t="str">
        <f>IF(BudgetsTable[[#This Row],[pi_last_name]]=" ","",HYPERLINK("mailto:"&amp;BudgetsTable[[#This Row],[pi_email]]&amp;"&amp;subject=Your NSF Proposal:  "&amp;BudgetsTable[[#This Row],[prop_id]],BudgetsTable[[#This Row],[pi_email]]))</f>
        <v/>
      </c>
      <c r="P248" s="79" t="s">
        <v>13</v>
      </c>
      <c r="Q248" s="79">
        <v>1</v>
      </c>
      <c r="R248" s="79">
        <v>1</v>
      </c>
      <c r="S248" s="80">
        <v>0</v>
      </c>
      <c r="T248" s="80">
        <v>2600</v>
      </c>
      <c r="U248" s="80">
        <v>0</v>
      </c>
      <c r="V248" s="81">
        <v>100963</v>
      </c>
      <c r="W248" s="79">
        <v>0</v>
      </c>
      <c r="X248" s="79">
        <v>4</v>
      </c>
      <c r="Y248" s="11" t="str">
        <f ca="1">IF(ISBLANK(BudgetsTable[[#This Row],[budg_seq_yr]]),"FY"&amp;fiscalyear,"FY"&amp;fiscalyear-1+BudgetsTable[[#This Row],[budg_seq_yr]])</f>
        <v>FY21</v>
      </c>
      <c r="Z248" s="80">
        <v>100963</v>
      </c>
      <c r="AA248" s="79" t="s">
        <v>477</v>
      </c>
      <c r="AB248" s="79" t="s">
        <v>582</v>
      </c>
      <c r="AC248" s="77" t="s">
        <v>94</v>
      </c>
      <c r="AD248" s="79" t="s">
        <v>1612</v>
      </c>
    </row>
    <row r="249" spans="1:30" x14ac:dyDescent="0.4">
      <c r="A249" s="10" t="s">
        <v>1073</v>
      </c>
      <c r="B249" s="77" t="s">
        <v>95</v>
      </c>
      <c r="C249" s="77">
        <f>C248+(BudgetsTable[[#This Row],[lead]]&lt;&gt;K248)</f>
        <v>51</v>
      </c>
      <c r="D249" s="77">
        <f>D248*(BudgetsTable[[#This Row],[lead]]=K248)+(BudgetsTable[[#This Row],[prop_id]]&lt;&gt;A248)</f>
        <v>1</v>
      </c>
      <c r="E249" s="78">
        <v>42935.723611111112</v>
      </c>
      <c r="F249" s="79" t="s">
        <v>1430</v>
      </c>
      <c r="G249" s="79" t="s">
        <v>477</v>
      </c>
      <c r="H249" s="79" t="s">
        <v>582</v>
      </c>
      <c r="I249" s="77" t="s">
        <v>611</v>
      </c>
      <c r="J249" s="77" t="s">
        <v>13</v>
      </c>
      <c r="K249" s="79" t="s">
        <v>1073</v>
      </c>
      <c r="L249" s="7" t="str">
        <f>IF(BudgetsTable[[#This Row],[pi_last_name]]=" ","",HYPERLINK("https://www.ejacket.nsf.gov/ej/showProposal.do?Continue=Y&amp;ID="&amp;BudgetsTable[[#This Row],[prop_id]],BudgetsTable[[#This Row],[prop_id]]))</f>
        <v/>
      </c>
      <c r="M249" s="15" t="str">
        <f>IF(BudgetsTable[[#This Row],[pi_last_name]]=" ","",HYPERLINK("https://www.ejacket.nsf.gov/ej/processReviewAnalysis.do?dispatch=add&amp;uniqId="&amp;BudgetsTable[[#This Row],[prop_id]]&amp;PO_id,"&gt;ra"))</f>
        <v/>
      </c>
      <c r="N249" s="79" t="s">
        <v>13</v>
      </c>
      <c r="O249" s="7" t="str">
        <f>IF(BudgetsTable[[#This Row],[pi_last_name]]=" ","",HYPERLINK("mailto:"&amp;BudgetsTable[[#This Row],[pi_email]]&amp;"&amp;subject=Your NSF Proposal:  "&amp;BudgetsTable[[#This Row],[prop_id]],BudgetsTable[[#This Row],[pi_email]]))</f>
        <v/>
      </c>
      <c r="P249" s="79" t="s">
        <v>13</v>
      </c>
      <c r="Q249" s="79">
        <v>1</v>
      </c>
      <c r="R249" s="79">
        <v>1</v>
      </c>
      <c r="S249" s="80">
        <v>0</v>
      </c>
      <c r="T249" s="80">
        <v>2600</v>
      </c>
      <c r="U249" s="80">
        <v>0</v>
      </c>
      <c r="V249" s="81">
        <v>127806</v>
      </c>
      <c r="W249" s="79">
        <v>0</v>
      </c>
      <c r="X249" s="79">
        <v>5</v>
      </c>
      <c r="Y249" s="11" t="str">
        <f ca="1">IF(ISBLANK(BudgetsTable[[#This Row],[budg_seq_yr]]),"FY"&amp;fiscalyear,"FY"&amp;fiscalyear-1+BudgetsTable[[#This Row],[budg_seq_yr]])</f>
        <v>FY22</v>
      </c>
      <c r="Z249" s="80">
        <v>127806</v>
      </c>
      <c r="AA249" s="79" t="s">
        <v>477</v>
      </c>
      <c r="AB249" s="79" t="s">
        <v>582</v>
      </c>
      <c r="AC249" s="77" t="s">
        <v>94</v>
      </c>
      <c r="AD249" s="79" t="s">
        <v>1612</v>
      </c>
    </row>
    <row r="250" spans="1:30" x14ac:dyDescent="0.4">
      <c r="A250" s="10" t="s">
        <v>1082</v>
      </c>
      <c r="B250" s="77" t="s">
        <v>95</v>
      </c>
      <c r="C250" s="77">
        <f>C249+(BudgetsTable[[#This Row],[lead]]&lt;&gt;K249)</f>
        <v>52</v>
      </c>
      <c r="D250" s="77">
        <f>D249*(BudgetsTable[[#This Row],[lead]]=K249)+(BudgetsTable[[#This Row],[prop_id]]&lt;&gt;A249)</f>
        <v>1</v>
      </c>
      <c r="E250" s="78">
        <v>42935.851388888892</v>
      </c>
      <c r="F250" s="79" t="s">
        <v>1430</v>
      </c>
      <c r="G250" s="79" t="s">
        <v>477</v>
      </c>
      <c r="H250" s="79" t="s">
        <v>582</v>
      </c>
      <c r="I250" s="77" t="s">
        <v>654</v>
      </c>
      <c r="J250" s="77" t="s">
        <v>1620</v>
      </c>
      <c r="K250" s="79" t="s">
        <v>1082</v>
      </c>
      <c r="L250" s="7" t="str">
        <f>IF(BudgetsTable[[#This Row],[pi_last_name]]=" ","",HYPERLINK("https://www.ejacket.nsf.gov/ej/showProposal.do?Continue=Y&amp;ID="&amp;BudgetsTable[[#This Row],[prop_id]],BudgetsTable[[#This Row],[prop_id]]))</f>
        <v>1751416</v>
      </c>
      <c r="M250" s="15" t="e">
        <f>IF(BudgetsTable[[#This Row],[pi_last_name]]=" ","",HYPERLINK("https://www.ejacket.nsf.gov/ej/processReviewAnalysis.do?dispatch=add&amp;uniqId="&amp;BudgetsTable[[#This Row],[prop_id]]&amp;PO_id,"&gt;ra"))</f>
        <v>#REF!</v>
      </c>
      <c r="N250" s="79" t="s">
        <v>1083</v>
      </c>
      <c r="O250" s="7" t="str">
        <f>IF(BudgetsTable[[#This Row],[pi_last_name]]=" ","",HYPERLINK("mailto:"&amp;BudgetsTable[[#This Row],[pi_email]]&amp;"&amp;subject=Your NSF Proposal:  "&amp;BudgetsTable[[#This Row],[prop_id]],BudgetsTable[[#This Row],[pi_email]]))</f>
        <v>nodari@hawaii.edu</v>
      </c>
      <c r="P250" s="79" t="s">
        <v>1618</v>
      </c>
      <c r="Q250" s="79"/>
      <c r="R250" s="79"/>
      <c r="S250" s="80"/>
      <c r="T250" s="80"/>
      <c r="U250" s="80"/>
      <c r="V250" s="81"/>
      <c r="W250" s="79">
        <v>0</v>
      </c>
      <c r="X250" s="79"/>
      <c r="Y250" s="11" t="str">
        <f ca="1">IF(ISBLANK(BudgetsTable[[#This Row],[budg_seq_yr]]),"FY"&amp;fiscalyear,"FY"&amp;fiscalyear-1+BudgetsTable[[#This Row],[budg_seq_yr]])</f>
        <v>FY18</v>
      </c>
      <c r="Z250" s="80">
        <v>549999</v>
      </c>
      <c r="AA250" s="79" t="s">
        <v>477</v>
      </c>
      <c r="AB250" s="79" t="s">
        <v>582</v>
      </c>
      <c r="AC250" s="77" t="s">
        <v>94</v>
      </c>
      <c r="AD250" s="79" t="s">
        <v>1603</v>
      </c>
    </row>
    <row r="251" spans="1:30" x14ac:dyDescent="0.4">
      <c r="A251" s="10" t="s">
        <v>1082</v>
      </c>
      <c r="B251" s="77" t="s">
        <v>95</v>
      </c>
      <c r="C251" s="77">
        <f>C250+(BudgetsTable[[#This Row],[lead]]&lt;&gt;K250)</f>
        <v>52</v>
      </c>
      <c r="D251" s="77">
        <f>D250*(BudgetsTable[[#This Row],[lead]]=K250)+(BudgetsTable[[#This Row],[prop_id]]&lt;&gt;A250)</f>
        <v>1</v>
      </c>
      <c r="E251" s="78">
        <v>42935.851388888892</v>
      </c>
      <c r="F251" s="79" t="s">
        <v>1430</v>
      </c>
      <c r="G251" s="79" t="s">
        <v>477</v>
      </c>
      <c r="H251" s="79" t="s">
        <v>582</v>
      </c>
      <c r="I251" s="77" t="s">
        <v>654</v>
      </c>
      <c r="J251" s="77" t="s">
        <v>13</v>
      </c>
      <c r="K251" s="79" t="s">
        <v>1082</v>
      </c>
      <c r="L251" s="7" t="str">
        <f>IF(BudgetsTable[[#This Row],[pi_last_name]]=" ","",HYPERLINK("https://www.ejacket.nsf.gov/ej/showProposal.do?Continue=Y&amp;ID="&amp;BudgetsTable[[#This Row],[prop_id]],BudgetsTable[[#This Row],[prop_id]]))</f>
        <v/>
      </c>
      <c r="M251" s="15" t="str">
        <f>IF(BudgetsTable[[#This Row],[pi_last_name]]=" ","",HYPERLINK("https://www.ejacket.nsf.gov/ej/processReviewAnalysis.do?dispatch=add&amp;uniqId="&amp;BudgetsTable[[#This Row],[prop_id]]&amp;PO_id,"&gt;ra"))</f>
        <v/>
      </c>
      <c r="N251" s="79" t="s">
        <v>13</v>
      </c>
      <c r="O251" s="7" t="str">
        <f>IF(BudgetsTable[[#This Row],[pi_last_name]]=" ","",HYPERLINK("mailto:"&amp;BudgetsTable[[#This Row],[pi_email]]&amp;"&amp;subject=Your NSF Proposal:  "&amp;BudgetsTable[[#This Row],[prop_id]],BudgetsTable[[#This Row],[pi_email]]))</f>
        <v/>
      </c>
      <c r="P251" s="79" t="s">
        <v>13</v>
      </c>
      <c r="Q251" s="79">
        <v>1</v>
      </c>
      <c r="R251" s="79">
        <v>1</v>
      </c>
      <c r="S251" s="80">
        <v>0</v>
      </c>
      <c r="T251" s="80">
        <v>4000</v>
      </c>
      <c r="U251" s="80">
        <v>0</v>
      </c>
      <c r="V251" s="81">
        <v>107503</v>
      </c>
      <c r="W251" s="79">
        <v>0</v>
      </c>
      <c r="X251" s="79">
        <v>1</v>
      </c>
      <c r="Y251" s="11" t="str">
        <f ca="1">IF(ISBLANK(BudgetsTable[[#This Row],[budg_seq_yr]]),"FY"&amp;fiscalyear,"FY"&amp;fiscalyear-1+BudgetsTable[[#This Row],[budg_seq_yr]])</f>
        <v>FY18</v>
      </c>
      <c r="Z251" s="80">
        <v>107503</v>
      </c>
      <c r="AA251" s="79" t="s">
        <v>477</v>
      </c>
      <c r="AB251" s="79" t="s">
        <v>582</v>
      </c>
      <c r="AC251" s="77" t="s">
        <v>94</v>
      </c>
      <c r="AD251" s="79" t="s">
        <v>1603</v>
      </c>
    </row>
    <row r="252" spans="1:30" x14ac:dyDescent="0.4">
      <c r="A252" s="10" t="s">
        <v>1082</v>
      </c>
      <c r="B252" s="77" t="s">
        <v>95</v>
      </c>
      <c r="C252" s="77">
        <f>C251+(BudgetsTable[[#This Row],[lead]]&lt;&gt;K251)</f>
        <v>52</v>
      </c>
      <c r="D252" s="77">
        <f>D251*(BudgetsTable[[#This Row],[lead]]=K251)+(BudgetsTable[[#This Row],[prop_id]]&lt;&gt;A251)</f>
        <v>1</v>
      </c>
      <c r="E252" s="78">
        <v>42935.851388888892</v>
      </c>
      <c r="F252" s="79" t="s">
        <v>1430</v>
      </c>
      <c r="G252" s="79" t="s">
        <v>477</v>
      </c>
      <c r="H252" s="79" t="s">
        <v>582</v>
      </c>
      <c r="I252" s="77" t="s">
        <v>654</v>
      </c>
      <c r="J252" s="77" t="s">
        <v>13</v>
      </c>
      <c r="K252" s="79" t="s">
        <v>1082</v>
      </c>
      <c r="L252" s="7" t="str">
        <f>IF(BudgetsTable[[#This Row],[pi_last_name]]=" ","",HYPERLINK("https://www.ejacket.nsf.gov/ej/showProposal.do?Continue=Y&amp;ID="&amp;BudgetsTable[[#This Row],[prop_id]],BudgetsTable[[#This Row],[prop_id]]))</f>
        <v/>
      </c>
      <c r="M252" s="15" t="str">
        <f>IF(BudgetsTable[[#This Row],[pi_last_name]]=" ","",HYPERLINK("https://www.ejacket.nsf.gov/ej/processReviewAnalysis.do?dispatch=add&amp;uniqId="&amp;BudgetsTable[[#This Row],[prop_id]]&amp;PO_id,"&gt;ra"))</f>
        <v/>
      </c>
      <c r="N252" s="79" t="s">
        <v>13</v>
      </c>
      <c r="O252" s="7" t="str">
        <f>IF(BudgetsTable[[#This Row],[pi_last_name]]=" ","",HYPERLINK("mailto:"&amp;BudgetsTable[[#This Row],[pi_email]]&amp;"&amp;subject=Your NSF Proposal:  "&amp;BudgetsTable[[#This Row],[prop_id]],BudgetsTable[[#This Row],[pi_email]]))</f>
        <v/>
      </c>
      <c r="P252" s="79" t="s">
        <v>13</v>
      </c>
      <c r="Q252" s="79">
        <v>1</v>
      </c>
      <c r="R252" s="79">
        <v>1</v>
      </c>
      <c r="S252" s="80">
        <v>0</v>
      </c>
      <c r="T252" s="80">
        <v>4000</v>
      </c>
      <c r="U252" s="80">
        <v>0</v>
      </c>
      <c r="V252" s="81">
        <v>106381</v>
      </c>
      <c r="W252" s="79">
        <v>0</v>
      </c>
      <c r="X252" s="79">
        <v>2</v>
      </c>
      <c r="Y252" s="11" t="str">
        <f ca="1">IF(ISBLANK(BudgetsTable[[#This Row],[budg_seq_yr]]),"FY"&amp;fiscalyear,"FY"&amp;fiscalyear-1+BudgetsTable[[#This Row],[budg_seq_yr]])</f>
        <v>FY19</v>
      </c>
      <c r="Z252" s="80">
        <v>106381</v>
      </c>
      <c r="AA252" s="79" t="s">
        <v>477</v>
      </c>
      <c r="AB252" s="79" t="s">
        <v>582</v>
      </c>
      <c r="AC252" s="77" t="s">
        <v>94</v>
      </c>
      <c r="AD252" s="79" t="s">
        <v>1603</v>
      </c>
    </row>
    <row r="253" spans="1:30" x14ac:dyDescent="0.4">
      <c r="A253" s="10" t="s">
        <v>1082</v>
      </c>
      <c r="B253" s="77" t="s">
        <v>95</v>
      </c>
      <c r="C253" s="77">
        <f>C252+(BudgetsTable[[#This Row],[lead]]&lt;&gt;K252)</f>
        <v>52</v>
      </c>
      <c r="D253" s="77">
        <f>D252*(BudgetsTable[[#This Row],[lead]]=K252)+(BudgetsTable[[#This Row],[prop_id]]&lt;&gt;A252)</f>
        <v>1</v>
      </c>
      <c r="E253" s="78">
        <v>42935.851388888892</v>
      </c>
      <c r="F253" s="79" t="s">
        <v>1430</v>
      </c>
      <c r="G253" s="79" t="s">
        <v>477</v>
      </c>
      <c r="H253" s="79" t="s">
        <v>582</v>
      </c>
      <c r="I253" s="77" t="s">
        <v>654</v>
      </c>
      <c r="J253" s="77" t="s">
        <v>13</v>
      </c>
      <c r="K253" s="79" t="s">
        <v>1082</v>
      </c>
      <c r="L253" s="7" t="str">
        <f>IF(BudgetsTable[[#This Row],[pi_last_name]]=" ","",HYPERLINK("https://www.ejacket.nsf.gov/ej/showProposal.do?Continue=Y&amp;ID="&amp;BudgetsTable[[#This Row],[prop_id]],BudgetsTable[[#This Row],[prop_id]]))</f>
        <v/>
      </c>
      <c r="M253" s="15" t="str">
        <f>IF(BudgetsTable[[#This Row],[pi_last_name]]=" ","",HYPERLINK("https://www.ejacket.nsf.gov/ej/processReviewAnalysis.do?dispatch=add&amp;uniqId="&amp;BudgetsTable[[#This Row],[prop_id]]&amp;PO_id,"&gt;ra"))</f>
        <v/>
      </c>
      <c r="N253" s="79" t="s">
        <v>13</v>
      </c>
      <c r="O253" s="7" t="str">
        <f>IF(BudgetsTable[[#This Row],[pi_last_name]]=" ","",HYPERLINK("mailto:"&amp;BudgetsTable[[#This Row],[pi_email]]&amp;"&amp;subject=Your NSF Proposal:  "&amp;BudgetsTable[[#This Row],[prop_id]],BudgetsTable[[#This Row],[pi_email]]))</f>
        <v/>
      </c>
      <c r="P253" s="79" t="s">
        <v>13</v>
      </c>
      <c r="Q253" s="79">
        <v>1</v>
      </c>
      <c r="R253" s="79">
        <v>1</v>
      </c>
      <c r="S253" s="80">
        <v>0</v>
      </c>
      <c r="T253" s="80">
        <v>4000</v>
      </c>
      <c r="U253" s="80">
        <v>0</v>
      </c>
      <c r="V253" s="81">
        <v>109149</v>
      </c>
      <c r="W253" s="79">
        <v>0</v>
      </c>
      <c r="X253" s="79">
        <v>3</v>
      </c>
      <c r="Y253" s="11" t="str">
        <f ca="1">IF(ISBLANK(BudgetsTable[[#This Row],[budg_seq_yr]]),"FY"&amp;fiscalyear,"FY"&amp;fiscalyear-1+BudgetsTable[[#This Row],[budg_seq_yr]])</f>
        <v>FY20</v>
      </c>
      <c r="Z253" s="80">
        <v>109149</v>
      </c>
      <c r="AA253" s="79" t="s">
        <v>477</v>
      </c>
      <c r="AB253" s="79" t="s">
        <v>582</v>
      </c>
      <c r="AC253" s="77" t="s">
        <v>94</v>
      </c>
      <c r="AD253" s="79" t="s">
        <v>1603</v>
      </c>
    </row>
    <row r="254" spans="1:30" x14ac:dyDescent="0.4">
      <c r="A254" s="10" t="s">
        <v>1082</v>
      </c>
      <c r="B254" s="77" t="s">
        <v>95</v>
      </c>
      <c r="C254" s="77">
        <f>C253+(BudgetsTable[[#This Row],[lead]]&lt;&gt;K253)</f>
        <v>52</v>
      </c>
      <c r="D254" s="77">
        <f>D253*(BudgetsTable[[#This Row],[lead]]=K253)+(BudgetsTable[[#This Row],[prop_id]]&lt;&gt;A253)</f>
        <v>1</v>
      </c>
      <c r="E254" s="78">
        <v>42935.851388888892</v>
      </c>
      <c r="F254" s="79" t="s">
        <v>1430</v>
      </c>
      <c r="G254" s="79" t="s">
        <v>477</v>
      </c>
      <c r="H254" s="79" t="s">
        <v>582</v>
      </c>
      <c r="I254" s="77" t="s">
        <v>654</v>
      </c>
      <c r="J254" s="77" t="s">
        <v>13</v>
      </c>
      <c r="K254" s="79" t="s">
        <v>1082</v>
      </c>
      <c r="L254" s="7" t="str">
        <f>IF(BudgetsTable[[#This Row],[pi_last_name]]=" ","",HYPERLINK("https://www.ejacket.nsf.gov/ej/showProposal.do?Continue=Y&amp;ID="&amp;BudgetsTable[[#This Row],[prop_id]],BudgetsTable[[#This Row],[prop_id]]))</f>
        <v/>
      </c>
      <c r="M254" s="15" t="str">
        <f>IF(BudgetsTable[[#This Row],[pi_last_name]]=" ","",HYPERLINK("https://www.ejacket.nsf.gov/ej/processReviewAnalysis.do?dispatch=add&amp;uniqId="&amp;BudgetsTable[[#This Row],[prop_id]]&amp;PO_id,"&gt;ra"))</f>
        <v/>
      </c>
      <c r="N254" s="79" t="s">
        <v>13</v>
      </c>
      <c r="O254" s="7" t="str">
        <f>IF(BudgetsTable[[#This Row],[pi_last_name]]=" ","",HYPERLINK("mailto:"&amp;BudgetsTable[[#This Row],[pi_email]]&amp;"&amp;subject=Your NSF Proposal:  "&amp;BudgetsTable[[#This Row],[prop_id]],BudgetsTable[[#This Row],[pi_email]]))</f>
        <v/>
      </c>
      <c r="P254" s="79" t="s">
        <v>13</v>
      </c>
      <c r="Q254" s="79">
        <v>1</v>
      </c>
      <c r="R254" s="79">
        <v>1</v>
      </c>
      <c r="S254" s="80">
        <v>0</v>
      </c>
      <c r="T254" s="80">
        <v>4000</v>
      </c>
      <c r="U254" s="80">
        <v>0</v>
      </c>
      <c r="V254" s="81">
        <v>112009</v>
      </c>
      <c r="W254" s="79">
        <v>0</v>
      </c>
      <c r="X254" s="79">
        <v>4</v>
      </c>
      <c r="Y254" s="11" t="str">
        <f ca="1">IF(ISBLANK(BudgetsTable[[#This Row],[budg_seq_yr]]),"FY"&amp;fiscalyear,"FY"&amp;fiscalyear-1+BudgetsTable[[#This Row],[budg_seq_yr]])</f>
        <v>FY21</v>
      </c>
      <c r="Z254" s="80">
        <v>112009</v>
      </c>
      <c r="AA254" s="79" t="s">
        <v>477</v>
      </c>
      <c r="AB254" s="79" t="s">
        <v>582</v>
      </c>
      <c r="AC254" s="77" t="s">
        <v>94</v>
      </c>
      <c r="AD254" s="79" t="s">
        <v>1603</v>
      </c>
    </row>
    <row r="255" spans="1:30" x14ac:dyDescent="0.4">
      <c r="A255" s="10" t="s">
        <v>1082</v>
      </c>
      <c r="B255" s="77" t="s">
        <v>95</v>
      </c>
      <c r="C255" s="77">
        <f>C254+(BudgetsTable[[#This Row],[lead]]&lt;&gt;K254)</f>
        <v>52</v>
      </c>
      <c r="D255" s="77">
        <f>D254*(BudgetsTable[[#This Row],[lead]]=K254)+(BudgetsTable[[#This Row],[prop_id]]&lt;&gt;A254)</f>
        <v>1</v>
      </c>
      <c r="E255" s="78">
        <v>42935.851388888892</v>
      </c>
      <c r="F255" s="79" t="s">
        <v>1430</v>
      </c>
      <c r="G255" s="79" t="s">
        <v>477</v>
      </c>
      <c r="H255" s="79" t="s">
        <v>582</v>
      </c>
      <c r="I255" s="77" t="s">
        <v>654</v>
      </c>
      <c r="J255" s="77" t="s">
        <v>13</v>
      </c>
      <c r="K255" s="79" t="s">
        <v>1082</v>
      </c>
      <c r="L255" s="7" t="str">
        <f>IF(BudgetsTable[[#This Row],[pi_last_name]]=" ","",HYPERLINK("https://www.ejacket.nsf.gov/ej/showProposal.do?Continue=Y&amp;ID="&amp;BudgetsTable[[#This Row],[prop_id]],BudgetsTable[[#This Row],[prop_id]]))</f>
        <v/>
      </c>
      <c r="M255" s="15" t="str">
        <f>IF(BudgetsTable[[#This Row],[pi_last_name]]=" ","",HYPERLINK("https://www.ejacket.nsf.gov/ej/processReviewAnalysis.do?dispatch=add&amp;uniqId="&amp;BudgetsTable[[#This Row],[prop_id]]&amp;PO_id,"&gt;ra"))</f>
        <v/>
      </c>
      <c r="N255" s="79" t="s">
        <v>13</v>
      </c>
      <c r="O255" s="7" t="str">
        <f>IF(BudgetsTable[[#This Row],[pi_last_name]]=" ","",HYPERLINK("mailto:"&amp;BudgetsTable[[#This Row],[pi_email]]&amp;"&amp;subject=Your NSF Proposal:  "&amp;BudgetsTable[[#This Row],[prop_id]],BudgetsTable[[#This Row],[pi_email]]))</f>
        <v/>
      </c>
      <c r="P255" s="79" t="s">
        <v>13</v>
      </c>
      <c r="Q255" s="79">
        <v>1</v>
      </c>
      <c r="R255" s="79">
        <v>1</v>
      </c>
      <c r="S255" s="80">
        <v>0</v>
      </c>
      <c r="T255" s="80">
        <v>4000</v>
      </c>
      <c r="U255" s="80">
        <v>0</v>
      </c>
      <c r="V255" s="81">
        <v>114957</v>
      </c>
      <c r="W255" s="79">
        <v>0</v>
      </c>
      <c r="X255" s="79">
        <v>5</v>
      </c>
      <c r="Y255" s="11" t="str">
        <f ca="1">IF(ISBLANK(BudgetsTable[[#This Row],[budg_seq_yr]]),"FY"&amp;fiscalyear,"FY"&amp;fiscalyear-1+BudgetsTable[[#This Row],[budg_seq_yr]])</f>
        <v>FY22</v>
      </c>
      <c r="Z255" s="80">
        <v>114957</v>
      </c>
      <c r="AA255" s="79" t="s">
        <v>477</v>
      </c>
      <c r="AB255" s="79" t="s">
        <v>582</v>
      </c>
      <c r="AC255" s="77" t="s">
        <v>94</v>
      </c>
      <c r="AD255" s="79" t="s">
        <v>1603</v>
      </c>
    </row>
    <row r="256" spans="1:30" x14ac:dyDescent="0.4">
      <c r="A256" s="10" t="s">
        <v>1091</v>
      </c>
      <c r="B256" s="77" t="s">
        <v>95</v>
      </c>
      <c r="C256" s="77">
        <f>C255+(BudgetsTable[[#This Row],[lead]]&lt;&gt;K255)</f>
        <v>53</v>
      </c>
      <c r="D256" s="77">
        <f>D255*(BudgetsTable[[#This Row],[lead]]=K255)+(BudgetsTable[[#This Row],[prop_id]]&lt;&gt;A255)</f>
        <v>1</v>
      </c>
      <c r="E256" s="78">
        <v>42950.663888888892</v>
      </c>
      <c r="F256" s="79" t="s">
        <v>1621</v>
      </c>
      <c r="G256" s="79" t="s">
        <v>1622</v>
      </c>
      <c r="H256" s="79" t="s">
        <v>580</v>
      </c>
      <c r="I256" s="77" t="s">
        <v>1093</v>
      </c>
      <c r="J256" s="77" t="s">
        <v>1629</v>
      </c>
      <c r="K256" s="79" t="s">
        <v>1091</v>
      </c>
      <c r="L256" s="7" t="str">
        <f>IF(BudgetsTable[[#This Row],[pi_last_name]]=" ","",HYPERLINK("https://www.ejacket.nsf.gov/ej/showProposal.do?Continue=Y&amp;ID="&amp;BudgetsTable[[#This Row],[prop_id]],BudgetsTable[[#This Row],[prop_id]]))</f>
        <v>1755038</v>
      </c>
      <c r="M256" s="15" t="e">
        <f>IF(BudgetsTable[[#This Row],[pi_last_name]]=" ","",HYPERLINK("https://www.ejacket.nsf.gov/ej/processReviewAnalysis.do?dispatch=add&amp;uniqId="&amp;BudgetsTable[[#This Row],[prop_id]]&amp;PO_id,"&gt;ra"))</f>
        <v>#REF!</v>
      </c>
      <c r="N256" s="79" t="s">
        <v>1092</v>
      </c>
      <c r="O256" s="7" t="str">
        <f>IF(BudgetsTable[[#This Row],[pi_last_name]]=" ","",HYPERLINK("mailto:"&amp;BudgetsTable[[#This Row],[pi_email]]&amp;"&amp;subject=Your NSF Proposal:  "&amp;BudgetsTable[[#This Row],[prop_id]],BudgetsTable[[#This Row],[pi_email]]))</f>
        <v>ani.majumdar@princeton.edu</v>
      </c>
      <c r="P256" s="79" t="s">
        <v>552</v>
      </c>
      <c r="Q256" s="79"/>
      <c r="R256" s="79"/>
      <c r="S256" s="80"/>
      <c r="T256" s="80"/>
      <c r="U256" s="80"/>
      <c r="V256" s="81"/>
      <c r="W256" s="79">
        <v>0</v>
      </c>
      <c r="X256" s="79"/>
      <c r="Y256" s="11" t="str">
        <f ca="1">IF(ISBLANK(BudgetsTable[[#This Row],[budg_seq_yr]]),"FY"&amp;fiscalyear,"FY"&amp;fiscalyear-1+BudgetsTable[[#This Row],[budg_seq_yr]])</f>
        <v>FY18</v>
      </c>
      <c r="Z256" s="80">
        <v>175000</v>
      </c>
      <c r="AA256" s="79" t="s">
        <v>1622</v>
      </c>
      <c r="AB256" s="79" t="s">
        <v>580</v>
      </c>
      <c r="AC256" s="77" t="s">
        <v>94</v>
      </c>
      <c r="AD256" s="79" t="s">
        <v>1624</v>
      </c>
    </row>
    <row r="257" spans="1:30" x14ac:dyDescent="0.4">
      <c r="A257" s="10" t="s">
        <v>1091</v>
      </c>
      <c r="B257" s="77" t="s">
        <v>95</v>
      </c>
      <c r="C257" s="77">
        <f>C256+(BudgetsTable[[#This Row],[lead]]&lt;&gt;K256)</f>
        <v>53</v>
      </c>
      <c r="D257" s="77">
        <f>D256*(BudgetsTable[[#This Row],[lead]]=K256)+(BudgetsTable[[#This Row],[prop_id]]&lt;&gt;A256)</f>
        <v>1</v>
      </c>
      <c r="E257" s="78">
        <v>42950.663888888892</v>
      </c>
      <c r="F257" s="79" t="s">
        <v>1621</v>
      </c>
      <c r="G257" s="79" t="s">
        <v>1622</v>
      </c>
      <c r="H257" s="79" t="s">
        <v>580</v>
      </c>
      <c r="I257" s="77" t="s">
        <v>1093</v>
      </c>
      <c r="J257" s="77" t="s">
        <v>13</v>
      </c>
      <c r="K257" s="79" t="s">
        <v>1091</v>
      </c>
      <c r="L257" s="7" t="str">
        <f>IF(BudgetsTable[[#This Row],[pi_last_name]]=" ","",HYPERLINK("https://www.ejacket.nsf.gov/ej/showProposal.do?Continue=Y&amp;ID="&amp;BudgetsTable[[#This Row],[prop_id]],BudgetsTable[[#This Row],[prop_id]]))</f>
        <v/>
      </c>
      <c r="M257" s="15" t="str">
        <f>IF(BudgetsTable[[#This Row],[pi_last_name]]=" ","",HYPERLINK("https://www.ejacket.nsf.gov/ej/processReviewAnalysis.do?dispatch=add&amp;uniqId="&amp;BudgetsTable[[#This Row],[prop_id]]&amp;PO_id,"&gt;ra"))</f>
        <v/>
      </c>
      <c r="N257" s="79" t="s">
        <v>13</v>
      </c>
      <c r="O257" s="7" t="str">
        <f>IF(BudgetsTable[[#This Row],[pi_last_name]]=" ","",HYPERLINK("mailto:"&amp;BudgetsTable[[#This Row],[pi_email]]&amp;"&amp;subject=Your NSF Proposal:  "&amp;BudgetsTable[[#This Row],[prop_id]],BudgetsTable[[#This Row],[pi_email]]))</f>
        <v/>
      </c>
      <c r="P257" s="79" t="s">
        <v>13</v>
      </c>
      <c r="Q257" s="79">
        <v>0</v>
      </c>
      <c r="R257" s="79">
        <v>0</v>
      </c>
      <c r="S257" s="80">
        <v>0</v>
      </c>
      <c r="T257" s="80">
        <v>0</v>
      </c>
      <c r="U257" s="80">
        <v>0</v>
      </c>
      <c r="V257" s="81">
        <v>86326</v>
      </c>
      <c r="W257" s="79">
        <v>0</v>
      </c>
      <c r="X257" s="79">
        <v>1</v>
      </c>
      <c r="Y257" s="11" t="str">
        <f ca="1">IF(ISBLANK(BudgetsTable[[#This Row],[budg_seq_yr]]),"FY"&amp;fiscalyear,"FY"&amp;fiscalyear-1+BudgetsTable[[#This Row],[budg_seq_yr]])</f>
        <v>FY18</v>
      </c>
      <c r="Z257" s="80">
        <v>86326</v>
      </c>
      <c r="AA257" s="79" t="s">
        <v>1622</v>
      </c>
      <c r="AB257" s="79" t="s">
        <v>580</v>
      </c>
      <c r="AC257" s="77" t="s">
        <v>94</v>
      </c>
      <c r="AD257" s="79" t="s">
        <v>1624</v>
      </c>
    </row>
    <row r="258" spans="1:30" x14ac:dyDescent="0.4">
      <c r="A258" s="10" t="s">
        <v>1091</v>
      </c>
      <c r="B258" s="77" t="s">
        <v>95</v>
      </c>
      <c r="C258" s="77">
        <f>C257+(BudgetsTable[[#This Row],[lead]]&lt;&gt;K257)</f>
        <v>53</v>
      </c>
      <c r="D258" s="77">
        <f>D257*(BudgetsTable[[#This Row],[lead]]=K257)+(BudgetsTable[[#This Row],[prop_id]]&lt;&gt;A257)</f>
        <v>1</v>
      </c>
      <c r="E258" s="78">
        <v>42950.663888888892</v>
      </c>
      <c r="F258" s="79" t="s">
        <v>1621</v>
      </c>
      <c r="G258" s="79" t="s">
        <v>1622</v>
      </c>
      <c r="H258" s="79" t="s">
        <v>580</v>
      </c>
      <c r="I258" s="77" t="s">
        <v>1093</v>
      </c>
      <c r="J258" s="77" t="s">
        <v>13</v>
      </c>
      <c r="K258" s="79" t="s">
        <v>1091</v>
      </c>
      <c r="L258" s="7" t="str">
        <f>IF(BudgetsTable[[#This Row],[pi_last_name]]=" ","",HYPERLINK("https://www.ejacket.nsf.gov/ej/showProposal.do?Continue=Y&amp;ID="&amp;BudgetsTable[[#This Row],[prop_id]],BudgetsTable[[#This Row],[prop_id]]))</f>
        <v/>
      </c>
      <c r="M258" s="15" t="str">
        <f>IF(BudgetsTable[[#This Row],[pi_last_name]]=" ","",HYPERLINK("https://www.ejacket.nsf.gov/ej/processReviewAnalysis.do?dispatch=add&amp;uniqId="&amp;BudgetsTable[[#This Row],[prop_id]]&amp;PO_id,"&gt;ra"))</f>
        <v/>
      </c>
      <c r="N258" s="79" t="s">
        <v>13</v>
      </c>
      <c r="O258" s="7" t="str">
        <f>IF(BudgetsTable[[#This Row],[pi_last_name]]=" ","",HYPERLINK("mailto:"&amp;BudgetsTable[[#This Row],[pi_email]]&amp;"&amp;subject=Your NSF Proposal:  "&amp;BudgetsTable[[#This Row],[prop_id]],BudgetsTable[[#This Row],[pi_email]]))</f>
        <v/>
      </c>
      <c r="P258" s="79" t="s">
        <v>13</v>
      </c>
      <c r="Q258" s="79">
        <v>0</v>
      </c>
      <c r="R258" s="79">
        <v>0</v>
      </c>
      <c r="S258" s="80">
        <v>0</v>
      </c>
      <c r="T258" s="80">
        <v>0</v>
      </c>
      <c r="U258" s="80">
        <v>0</v>
      </c>
      <c r="V258" s="81">
        <v>88674</v>
      </c>
      <c r="W258" s="79">
        <v>0</v>
      </c>
      <c r="X258" s="79">
        <v>2</v>
      </c>
      <c r="Y258" s="11" t="str">
        <f ca="1">IF(ISBLANK(BudgetsTable[[#This Row],[budg_seq_yr]]),"FY"&amp;fiscalyear,"FY"&amp;fiscalyear-1+BudgetsTable[[#This Row],[budg_seq_yr]])</f>
        <v>FY19</v>
      </c>
      <c r="Z258" s="80">
        <v>88674</v>
      </c>
      <c r="AA258" s="79" t="s">
        <v>1622</v>
      </c>
      <c r="AB258" s="79" t="s">
        <v>580</v>
      </c>
      <c r="AC258" s="77" t="s">
        <v>94</v>
      </c>
      <c r="AD258" s="79" t="s">
        <v>1624</v>
      </c>
    </row>
    <row r="259" spans="1:30" x14ac:dyDescent="0.4">
      <c r="A259" s="10" t="s">
        <v>1118</v>
      </c>
      <c r="B259" s="77" t="s">
        <v>95</v>
      </c>
      <c r="C259" s="77">
        <f>C258+(BudgetsTable[[#This Row],[lead]]&lt;&gt;K258)</f>
        <v>54</v>
      </c>
      <c r="D259" s="77">
        <f>D258*(BudgetsTable[[#This Row],[lead]]=K258)+(BudgetsTable[[#This Row],[prop_id]]&lt;&gt;A258)</f>
        <v>1</v>
      </c>
      <c r="E259" s="78">
        <v>42954.456944444442</v>
      </c>
      <c r="F259" s="79" t="s">
        <v>1621</v>
      </c>
      <c r="G259" s="79" t="s">
        <v>477</v>
      </c>
      <c r="H259" s="79" t="s">
        <v>578</v>
      </c>
      <c r="I259" s="77" t="s">
        <v>611</v>
      </c>
      <c r="J259" s="77" t="s">
        <v>1637</v>
      </c>
      <c r="K259" s="79" t="s">
        <v>1118</v>
      </c>
      <c r="L259" s="7" t="str">
        <f>IF(BudgetsTable[[#This Row],[pi_last_name]]=" ","",HYPERLINK("https://www.ejacket.nsf.gov/ej/showProposal.do?Continue=Y&amp;ID="&amp;BudgetsTable[[#This Row],[prop_id]],BudgetsTable[[#This Row],[prop_id]]))</f>
        <v>1755471</v>
      </c>
      <c r="M259" s="15" t="e">
        <f>IF(BudgetsTable[[#This Row],[pi_last_name]]=" ","",HYPERLINK("https://www.ejacket.nsf.gov/ej/processReviewAnalysis.do?dispatch=add&amp;uniqId="&amp;BudgetsTable[[#This Row],[prop_id]]&amp;PO_id,"&gt;ra"))</f>
        <v>#REF!</v>
      </c>
      <c r="N259" s="79" t="s">
        <v>1119</v>
      </c>
      <c r="O259" s="7" t="str">
        <f>IF(BudgetsTable[[#This Row],[pi_last_name]]=" ","",HYPERLINK("mailto:"&amp;BudgetsTable[[#This Row],[pi_email]]&amp;"&amp;subject=Your NSF Proposal:  "&amp;BudgetsTable[[#This Row],[prop_id]],BudgetsTable[[#This Row],[pi_email]]))</f>
        <v>wtong@georgiasouthern.edu</v>
      </c>
      <c r="P259" s="79" t="s">
        <v>1634</v>
      </c>
      <c r="Q259" s="79"/>
      <c r="R259" s="79"/>
      <c r="S259" s="80"/>
      <c r="T259" s="80"/>
      <c r="U259" s="80"/>
      <c r="V259" s="81"/>
      <c r="W259" s="79">
        <v>0</v>
      </c>
      <c r="X259" s="79"/>
      <c r="Y259" s="11" t="str">
        <f ca="1">IF(ISBLANK(BudgetsTable[[#This Row],[budg_seq_yr]]),"FY"&amp;fiscalyear,"FY"&amp;fiscalyear-1+BudgetsTable[[#This Row],[budg_seq_yr]])</f>
        <v>FY18</v>
      </c>
      <c r="Z259" s="80">
        <v>162689</v>
      </c>
      <c r="AA259" s="79" t="s">
        <v>477</v>
      </c>
      <c r="AB259" s="79" t="s">
        <v>578</v>
      </c>
      <c r="AC259" s="77" t="s">
        <v>94</v>
      </c>
      <c r="AD259" s="79" t="s">
        <v>1631</v>
      </c>
    </row>
    <row r="260" spans="1:30" x14ac:dyDescent="0.4">
      <c r="A260" s="10" t="s">
        <v>1118</v>
      </c>
      <c r="B260" s="77" t="s">
        <v>95</v>
      </c>
      <c r="C260" s="77">
        <f>C259+(BudgetsTable[[#This Row],[lead]]&lt;&gt;K259)</f>
        <v>54</v>
      </c>
      <c r="D260" s="77">
        <f>D259*(BudgetsTable[[#This Row],[lead]]=K259)+(BudgetsTable[[#This Row],[prop_id]]&lt;&gt;A259)</f>
        <v>1</v>
      </c>
      <c r="E260" s="78">
        <v>42954.456944444442</v>
      </c>
      <c r="F260" s="79" t="s">
        <v>1621</v>
      </c>
      <c r="G260" s="79" t="s">
        <v>477</v>
      </c>
      <c r="H260" s="79" t="s">
        <v>578</v>
      </c>
      <c r="I260" s="77" t="s">
        <v>611</v>
      </c>
      <c r="J260" s="77" t="s">
        <v>13</v>
      </c>
      <c r="K260" s="79" t="s">
        <v>1118</v>
      </c>
      <c r="L260" s="7" t="str">
        <f>IF(BudgetsTable[[#This Row],[pi_last_name]]=" ","",HYPERLINK("https://www.ejacket.nsf.gov/ej/showProposal.do?Continue=Y&amp;ID="&amp;BudgetsTable[[#This Row],[prop_id]],BudgetsTable[[#This Row],[prop_id]]))</f>
        <v/>
      </c>
      <c r="M260" s="15" t="str">
        <f>IF(BudgetsTable[[#This Row],[pi_last_name]]=" ","",HYPERLINK("https://www.ejacket.nsf.gov/ej/processReviewAnalysis.do?dispatch=add&amp;uniqId="&amp;BudgetsTable[[#This Row],[prop_id]]&amp;PO_id,"&gt;ra"))</f>
        <v/>
      </c>
      <c r="N260" s="79" t="s">
        <v>13</v>
      </c>
      <c r="O260" s="7" t="str">
        <f>IF(BudgetsTable[[#This Row],[pi_last_name]]=" ","",HYPERLINK("mailto:"&amp;BudgetsTable[[#This Row],[pi_email]]&amp;"&amp;subject=Your NSF Proposal:  "&amp;BudgetsTable[[#This Row],[prop_id]],BudgetsTable[[#This Row],[pi_email]]))</f>
        <v/>
      </c>
      <c r="P260" s="79" t="s">
        <v>13</v>
      </c>
      <c r="Q260" s="79">
        <v>0</v>
      </c>
      <c r="R260" s="79">
        <v>0</v>
      </c>
      <c r="S260" s="80">
        <v>0</v>
      </c>
      <c r="T260" s="80">
        <v>4000</v>
      </c>
      <c r="U260" s="80">
        <v>0</v>
      </c>
      <c r="V260" s="81">
        <v>79936</v>
      </c>
      <c r="W260" s="79">
        <v>0</v>
      </c>
      <c r="X260" s="79">
        <v>1</v>
      </c>
      <c r="Y260" s="11" t="str">
        <f ca="1">IF(ISBLANK(BudgetsTable[[#This Row],[budg_seq_yr]]),"FY"&amp;fiscalyear,"FY"&amp;fiscalyear-1+BudgetsTable[[#This Row],[budg_seq_yr]])</f>
        <v>FY18</v>
      </c>
      <c r="Z260" s="80">
        <v>79936</v>
      </c>
      <c r="AA260" s="79" t="s">
        <v>477</v>
      </c>
      <c r="AB260" s="79" t="s">
        <v>578</v>
      </c>
      <c r="AC260" s="77" t="s">
        <v>94</v>
      </c>
      <c r="AD260" s="79" t="s">
        <v>1631</v>
      </c>
    </row>
    <row r="261" spans="1:30" x14ac:dyDescent="0.4">
      <c r="A261" s="10" t="s">
        <v>1118</v>
      </c>
      <c r="B261" s="77" t="s">
        <v>95</v>
      </c>
      <c r="C261" s="77">
        <f>C260+(BudgetsTable[[#This Row],[lead]]&lt;&gt;K260)</f>
        <v>54</v>
      </c>
      <c r="D261" s="77">
        <f>D260*(BudgetsTable[[#This Row],[lead]]=K260)+(BudgetsTable[[#This Row],[prop_id]]&lt;&gt;A260)</f>
        <v>1</v>
      </c>
      <c r="E261" s="78">
        <v>42954.456944444442</v>
      </c>
      <c r="F261" s="79" t="s">
        <v>1621</v>
      </c>
      <c r="G261" s="79" t="s">
        <v>477</v>
      </c>
      <c r="H261" s="79" t="s">
        <v>578</v>
      </c>
      <c r="I261" s="77" t="s">
        <v>611</v>
      </c>
      <c r="J261" s="77" t="s">
        <v>13</v>
      </c>
      <c r="K261" s="79" t="s">
        <v>1118</v>
      </c>
      <c r="L261" s="7" t="str">
        <f>IF(BudgetsTable[[#This Row],[pi_last_name]]=" ","",HYPERLINK("https://www.ejacket.nsf.gov/ej/showProposal.do?Continue=Y&amp;ID="&amp;BudgetsTable[[#This Row],[prop_id]],BudgetsTable[[#This Row],[prop_id]]))</f>
        <v/>
      </c>
      <c r="M261" s="15" t="str">
        <f>IF(BudgetsTable[[#This Row],[pi_last_name]]=" ","",HYPERLINK("https://www.ejacket.nsf.gov/ej/processReviewAnalysis.do?dispatch=add&amp;uniqId="&amp;BudgetsTable[[#This Row],[prop_id]]&amp;PO_id,"&gt;ra"))</f>
        <v/>
      </c>
      <c r="N261" s="79" t="s">
        <v>13</v>
      </c>
      <c r="O261" s="7" t="str">
        <f>IF(BudgetsTable[[#This Row],[pi_last_name]]=" ","",HYPERLINK("mailto:"&amp;BudgetsTable[[#This Row],[pi_email]]&amp;"&amp;subject=Your NSF Proposal:  "&amp;BudgetsTable[[#This Row],[prop_id]],BudgetsTable[[#This Row],[pi_email]]))</f>
        <v/>
      </c>
      <c r="P261" s="79" t="s">
        <v>13</v>
      </c>
      <c r="Q261" s="79">
        <v>0</v>
      </c>
      <c r="R261" s="79">
        <v>0</v>
      </c>
      <c r="S261" s="80">
        <v>0</v>
      </c>
      <c r="T261" s="80">
        <v>4120</v>
      </c>
      <c r="U261" s="80">
        <v>0</v>
      </c>
      <c r="V261" s="81">
        <v>82753</v>
      </c>
      <c r="W261" s="79">
        <v>0</v>
      </c>
      <c r="X261" s="79">
        <v>2</v>
      </c>
      <c r="Y261" s="11" t="str">
        <f ca="1">IF(ISBLANK(BudgetsTable[[#This Row],[budg_seq_yr]]),"FY"&amp;fiscalyear,"FY"&amp;fiscalyear-1+BudgetsTable[[#This Row],[budg_seq_yr]])</f>
        <v>FY19</v>
      </c>
      <c r="Z261" s="80">
        <v>82753</v>
      </c>
      <c r="AA261" s="79" t="s">
        <v>477</v>
      </c>
      <c r="AB261" s="79" t="s">
        <v>578</v>
      </c>
      <c r="AC261" s="77" t="s">
        <v>94</v>
      </c>
      <c r="AD261" s="79" t="s">
        <v>1631</v>
      </c>
    </row>
    <row r="262" spans="1:30" x14ac:dyDescent="0.4">
      <c r="A262" s="10" t="s">
        <v>1126</v>
      </c>
      <c r="B262" s="77" t="s">
        <v>95</v>
      </c>
      <c r="C262" s="77">
        <f>C261+(BudgetsTable[[#This Row],[lead]]&lt;&gt;K261)</f>
        <v>55</v>
      </c>
      <c r="D262" s="77">
        <f>D261*(BudgetsTable[[#This Row],[lead]]=K261)+(BudgetsTable[[#This Row],[prop_id]]&lt;&gt;A261)</f>
        <v>1</v>
      </c>
      <c r="E262" s="78">
        <v>42954.500694444447</v>
      </c>
      <c r="F262" s="79" t="s">
        <v>1621</v>
      </c>
      <c r="G262" s="79" t="s">
        <v>477</v>
      </c>
      <c r="H262" s="79" t="s">
        <v>578</v>
      </c>
      <c r="I262" s="77" t="s">
        <v>654</v>
      </c>
      <c r="J262" s="77" t="s">
        <v>1641</v>
      </c>
      <c r="K262" s="79" t="s">
        <v>1126</v>
      </c>
      <c r="L262" s="7" t="str">
        <f>IF(BudgetsTable[[#This Row],[pi_last_name]]=" ","",HYPERLINK("https://www.ejacket.nsf.gov/ej/showProposal.do?Continue=Y&amp;ID="&amp;BudgetsTable[[#This Row],[prop_id]],BudgetsTable[[#This Row],[prop_id]]))</f>
        <v>1755481</v>
      </c>
      <c r="M262" s="15" t="e">
        <f>IF(BudgetsTable[[#This Row],[pi_last_name]]=" ","",HYPERLINK("https://www.ejacket.nsf.gov/ej/processReviewAnalysis.do?dispatch=add&amp;uniqId="&amp;BudgetsTable[[#This Row],[prop_id]]&amp;PO_id,"&gt;ra"))</f>
        <v>#REF!</v>
      </c>
      <c r="N262" s="79" t="s">
        <v>631</v>
      </c>
      <c r="O262" s="7" t="str">
        <f>IF(BudgetsTable[[#This Row],[pi_last_name]]=" ","",HYPERLINK("mailto:"&amp;BudgetsTable[[#This Row],[pi_email]]&amp;"&amp;subject=Your NSF Proposal:  "&amp;BudgetsTable[[#This Row],[prop_id]],BudgetsTable[[#This Row],[pi_email]]))</f>
        <v>kwang@georgiasouthern.edu</v>
      </c>
      <c r="P262" s="79" t="s">
        <v>1634</v>
      </c>
      <c r="Q262" s="79"/>
      <c r="R262" s="79"/>
      <c r="S262" s="80"/>
      <c r="T262" s="80"/>
      <c r="U262" s="80"/>
      <c r="V262" s="81"/>
      <c r="W262" s="79">
        <v>0</v>
      </c>
      <c r="X262" s="79"/>
      <c r="Y262" s="11" t="str">
        <f ca="1">IF(ISBLANK(BudgetsTable[[#This Row],[budg_seq_yr]]),"FY"&amp;fiscalyear,"FY"&amp;fiscalyear-1+BudgetsTable[[#This Row],[budg_seq_yr]])</f>
        <v>FY18</v>
      </c>
      <c r="Z262" s="80">
        <v>168126</v>
      </c>
      <c r="AA262" s="79" t="s">
        <v>477</v>
      </c>
      <c r="AB262" s="79" t="s">
        <v>578</v>
      </c>
      <c r="AC262" s="77" t="s">
        <v>94</v>
      </c>
      <c r="AD262" s="79" t="s">
        <v>1631</v>
      </c>
    </row>
    <row r="263" spans="1:30" x14ac:dyDescent="0.4">
      <c r="A263" s="10" t="s">
        <v>1126</v>
      </c>
      <c r="B263" s="77" t="s">
        <v>95</v>
      </c>
      <c r="C263" s="77">
        <f>C262+(BudgetsTable[[#This Row],[lead]]&lt;&gt;K262)</f>
        <v>55</v>
      </c>
      <c r="D263" s="77">
        <f>D262*(BudgetsTable[[#This Row],[lead]]=K262)+(BudgetsTable[[#This Row],[prop_id]]&lt;&gt;A262)</f>
        <v>1</v>
      </c>
      <c r="E263" s="78">
        <v>42954.500694444447</v>
      </c>
      <c r="F263" s="79" t="s">
        <v>1621</v>
      </c>
      <c r="G263" s="79" t="s">
        <v>477</v>
      </c>
      <c r="H263" s="79" t="s">
        <v>578</v>
      </c>
      <c r="I263" s="77" t="s">
        <v>654</v>
      </c>
      <c r="J263" s="77" t="s">
        <v>13</v>
      </c>
      <c r="K263" s="79" t="s">
        <v>1126</v>
      </c>
      <c r="L263" s="7" t="str">
        <f>IF(BudgetsTable[[#This Row],[pi_last_name]]=" ","",HYPERLINK("https://www.ejacket.nsf.gov/ej/showProposal.do?Continue=Y&amp;ID="&amp;BudgetsTable[[#This Row],[prop_id]],BudgetsTable[[#This Row],[prop_id]]))</f>
        <v/>
      </c>
      <c r="M263" s="15" t="str">
        <f>IF(BudgetsTable[[#This Row],[pi_last_name]]=" ","",HYPERLINK("https://www.ejacket.nsf.gov/ej/processReviewAnalysis.do?dispatch=add&amp;uniqId="&amp;BudgetsTable[[#This Row],[prop_id]]&amp;PO_id,"&gt;ra"))</f>
        <v/>
      </c>
      <c r="N263" s="79" t="s">
        <v>13</v>
      </c>
      <c r="O263" s="7" t="str">
        <f>IF(BudgetsTable[[#This Row],[pi_last_name]]=" ","",HYPERLINK("mailto:"&amp;BudgetsTable[[#This Row],[pi_email]]&amp;"&amp;subject=Your NSF Proposal:  "&amp;BudgetsTable[[#This Row],[prop_id]],BudgetsTable[[#This Row],[pi_email]]))</f>
        <v/>
      </c>
      <c r="P263" s="79" t="s">
        <v>13</v>
      </c>
      <c r="Q263" s="79">
        <v>0</v>
      </c>
      <c r="R263" s="79">
        <v>0</v>
      </c>
      <c r="S263" s="80">
        <v>0</v>
      </c>
      <c r="T263" s="80">
        <v>0</v>
      </c>
      <c r="U263" s="80">
        <v>0</v>
      </c>
      <c r="V263" s="81">
        <v>90062</v>
      </c>
      <c r="W263" s="79">
        <v>0</v>
      </c>
      <c r="X263" s="79">
        <v>1</v>
      </c>
      <c r="Y263" s="11" t="str">
        <f ca="1">IF(ISBLANK(BudgetsTable[[#This Row],[budg_seq_yr]]),"FY"&amp;fiscalyear,"FY"&amp;fiscalyear-1+BudgetsTable[[#This Row],[budg_seq_yr]])</f>
        <v>FY18</v>
      </c>
      <c r="Z263" s="80">
        <v>90062</v>
      </c>
      <c r="AA263" s="79" t="s">
        <v>477</v>
      </c>
      <c r="AB263" s="79" t="s">
        <v>578</v>
      </c>
      <c r="AC263" s="77" t="s">
        <v>94</v>
      </c>
      <c r="AD263" s="79" t="s">
        <v>1631</v>
      </c>
    </row>
    <row r="264" spans="1:30" x14ac:dyDescent="0.4">
      <c r="A264" s="10" t="s">
        <v>1126</v>
      </c>
      <c r="B264" s="77" t="s">
        <v>95</v>
      </c>
      <c r="C264" s="77">
        <f>C263+(BudgetsTable[[#This Row],[lead]]&lt;&gt;K263)</f>
        <v>55</v>
      </c>
      <c r="D264" s="77">
        <f>D263*(BudgetsTable[[#This Row],[lead]]=K263)+(BudgetsTable[[#This Row],[prop_id]]&lt;&gt;A263)</f>
        <v>1</v>
      </c>
      <c r="E264" s="78">
        <v>42954.500694444447</v>
      </c>
      <c r="F264" s="79" t="s">
        <v>1621</v>
      </c>
      <c r="G264" s="79" t="s">
        <v>477</v>
      </c>
      <c r="H264" s="79" t="s">
        <v>578</v>
      </c>
      <c r="I264" s="77" t="s">
        <v>654</v>
      </c>
      <c r="J264" s="77" t="s">
        <v>13</v>
      </c>
      <c r="K264" s="79" t="s">
        <v>1126</v>
      </c>
      <c r="L264" s="7" t="str">
        <f>IF(BudgetsTable[[#This Row],[pi_last_name]]=" ","",HYPERLINK("https://www.ejacket.nsf.gov/ej/showProposal.do?Continue=Y&amp;ID="&amp;BudgetsTable[[#This Row],[prop_id]],BudgetsTable[[#This Row],[prop_id]]))</f>
        <v/>
      </c>
      <c r="M264" s="15" t="str">
        <f>IF(BudgetsTable[[#This Row],[pi_last_name]]=" ","",HYPERLINK("https://www.ejacket.nsf.gov/ej/processReviewAnalysis.do?dispatch=add&amp;uniqId="&amp;BudgetsTable[[#This Row],[prop_id]]&amp;PO_id,"&gt;ra"))</f>
        <v/>
      </c>
      <c r="N264" s="79" t="s">
        <v>13</v>
      </c>
      <c r="O264" s="7" t="str">
        <f>IF(BudgetsTable[[#This Row],[pi_last_name]]=" ","",HYPERLINK("mailto:"&amp;BudgetsTable[[#This Row],[pi_email]]&amp;"&amp;subject=Your NSF Proposal:  "&amp;BudgetsTable[[#This Row],[prop_id]],BudgetsTable[[#This Row],[pi_email]]))</f>
        <v/>
      </c>
      <c r="P264" s="79" t="s">
        <v>13</v>
      </c>
      <c r="Q264" s="79">
        <v>0</v>
      </c>
      <c r="R264" s="79">
        <v>0</v>
      </c>
      <c r="S264" s="80">
        <v>0</v>
      </c>
      <c r="T264" s="80">
        <v>0</v>
      </c>
      <c r="U264" s="80">
        <v>0</v>
      </c>
      <c r="V264" s="81">
        <v>78064</v>
      </c>
      <c r="W264" s="79">
        <v>0</v>
      </c>
      <c r="X264" s="79">
        <v>2</v>
      </c>
      <c r="Y264" s="11" t="str">
        <f ca="1">IF(ISBLANK(BudgetsTable[[#This Row],[budg_seq_yr]]),"FY"&amp;fiscalyear,"FY"&amp;fiscalyear-1+BudgetsTable[[#This Row],[budg_seq_yr]])</f>
        <v>FY19</v>
      </c>
      <c r="Z264" s="80">
        <v>78064</v>
      </c>
      <c r="AA264" s="79" t="s">
        <v>477</v>
      </c>
      <c r="AB264" s="79" t="s">
        <v>578</v>
      </c>
      <c r="AC264" s="77" t="s">
        <v>94</v>
      </c>
      <c r="AD264" s="79" t="s">
        <v>1631</v>
      </c>
    </row>
    <row r="265" spans="1:30" x14ac:dyDescent="0.4">
      <c r="A265" s="10" t="s">
        <v>1133</v>
      </c>
      <c r="B265" s="77" t="s">
        <v>95</v>
      </c>
      <c r="C265" s="77">
        <f>C264+(BudgetsTable[[#This Row],[lead]]&lt;&gt;K264)</f>
        <v>56</v>
      </c>
      <c r="D265" s="77">
        <f>D264*(BudgetsTable[[#This Row],[lead]]=K264)+(BudgetsTable[[#This Row],[prop_id]]&lt;&gt;A264)</f>
        <v>1</v>
      </c>
      <c r="E265" s="78">
        <v>42955.429861111108</v>
      </c>
      <c r="F265" s="79" t="s">
        <v>1621</v>
      </c>
      <c r="G265" s="79" t="s">
        <v>477</v>
      </c>
      <c r="H265" s="79" t="s">
        <v>578</v>
      </c>
      <c r="I265" s="77" t="s">
        <v>654</v>
      </c>
      <c r="J265" s="77" t="s">
        <v>1645</v>
      </c>
      <c r="K265" s="79" t="s">
        <v>1133</v>
      </c>
      <c r="L265" s="7" t="str">
        <f>IF(BudgetsTable[[#This Row],[pi_last_name]]=" ","",HYPERLINK("https://www.ejacket.nsf.gov/ej/showProposal.do?Continue=Y&amp;ID="&amp;BudgetsTable[[#This Row],[prop_id]],BudgetsTable[[#This Row],[prop_id]]))</f>
        <v>1755548</v>
      </c>
      <c r="M265" s="15" t="e">
        <f>IF(BudgetsTable[[#This Row],[pi_last_name]]=" ","",HYPERLINK("https://www.ejacket.nsf.gov/ej/processReviewAnalysis.do?dispatch=add&amp;uniqId="&amp;BudgetsTable[[#This Row],[prop_id]]&amp;PO_id,"&gt;ra"))</f>
        <v>#REF!</v>
      </c>
      <c r="N265" s="79" t="s">
        <v>1134</v>
      </c>
      <c r="O265" s="7" t="str">
        <f>IF(BudgetsTable[[#This Row],[pi_last_name]]=" ","",HYPERLINK("mailto:"&amp;BudgetsTable[[#This Row],[pi_email]]&amp;"&amp;subject=Your NSF Proposal:  "&amp;BudgetsTable[[#This Row],[prop_id]],BudgetsTable[[#This Row],[pi_email]]))</f>
        <v>yzhoucs@indiana.edu</v>
      </c>
      <c r="P265" s="79" t="s">
        <v>566</v>
      </c>
      <c r="Q265" s="79"/>
      <c r="R265" s="79"/>
      <c r="S265" s="80"/>
      <c r="T265" s="80"/>
      <c r="U265" s="80"/>
      <c r="V265" s="81"/>
      <c r="W265" s="79">
        <v>0</v>
      </c>
      <c r="X265" s="79"/>
      <c r="Y265" s="11" t="str">
        <f ca="1">IF(ISBLANK(BudgetsTable[[#This Row],[budg_seq_yr]]),"FY"&amp;fiscalyear,"FY"&amp;fiscalyear-1+BudgetsTable[[#This Row],[budg_seq_yr]])</f>
        <v>FY18</v>
      </c>
      <c r="Z265" s="80">
        <v>174974</v>
      </c>
      <c r="AA265" s="79" t="s">
        <v>477</v>
      </c>
      <c r="AB265" s="79" t="s">
        <v>578</v>
      </c>
      <c r="AC265" s="77" t="s">
        <v>94</v>
      </c>
      <c r="AD265" s="79" t="s">
        <v>1631</v>
      </c>
    </row>
    <row r="266" spans="1:30" x14ac:dyDescent="0.4">
      <c r="A266" s="10" t="s">
        <v>1133</v>
      </c>
      <c r="B266" s="77" t="s">
        <v>95</v>
      </c>
      <c r="C266" s="77">
        <f>C265+(BudgetsTable[[#This Row],[lead]]&lt;&gt;K265)</f>
        <v>56</v>
      </c>
      <c r="D266" s="77">
        <f>D265*(BudgetsTable[[#This Row],[lead]]=K265)+(BudgetsTable[[#This Row],[prop_id]]&lt;&gt;A265)</f>
        <v>1</v>
      </c>
      <c r="E266" s="78">
        <v>42955.429861111108</v>
      </c>
      <c r="F266" s="79" t="s">
        <v>1621</v>
      </c>
      <c r="G266" s="79" t="s">
        <v>477</v>
      </c>
      <c r="H266" s="79" t="s">
        <v>578</v>
      </c>
      <c r="I266" s="77" t="s">
        <v>654</v>
      </c>
      <c r="J266" s="77" t="s">
        <v>13</v>
      </c>
      <c r="K266" s="79" t="s">
        <v>1133</v>
      </c>
      <c r="L266" s="7" t="str">
        <f>IF(BudgetsTable[[#This Row],[pi_last_name]]=" ","",HYPERLINK("https://www.ejacket.nsf.gov/ej/showProposal.do?Continue=Y&amp;ID="&amp;BudgetsTable[[#This Row],[prop_id]],BudgetsTable[[#This Row],[prop_id]]))</f>
        <v/>
      </c>
      <c r="M266" s="15" t="str">
        <f>IF(BudgetsTable[[#This Row],[pi_last_name]]=" ","",HYPERLINK("https://www.ejacket.nsf.gov/ej/processReviewAnalysis.do?dispatch=add&amp;uniqId="&amp;BudgetsTable[[#This Row],[prop_id]]&amp;PO_id,"&gt;ra"))</f>
        <v/>
      </c>
      <c r="N266" s="79" t="s">
        <v>13</v>
      </c>
      <c r="O266" s="7" t="str">
        <f>IF(BudgetsTable[[#This Row],[pi_last_name]]=" ","",HYPERLINK("mailto:"&amp;BudgetsTable[[#This Row],[pi_email]]&amp;"&amp;subject=Your NSF Proposal:  "&amp;BudgetsTable[[#This Row],[prop_id]],BudgetsTable[[#This Row],[pi_email]]))</f>
        <v/>
      </c>
      <c r="P266" s="79" t="s">
        <v>13</v>
      </c>
      <c r="Q266" s="79">
        <v>0</v>
      </c>
      <c r="R266" s="79">
        <v>0</v>
      </c>
      <c r="S266" s="80">
        <v>0</v>
      </c>
      <c r="T266" s="80">
        <v>4200</v>
      </c>
      <c r="U266" s="80">
        <v>0</v>
      </c>
      <c r="V266" s="81">
        <v>63411</v>
      </c>
      <c r="W266" s="79">
        <v>0</v>
      </c>
      <c r="X266" s="79">
        <v>1</v>
      </c>
      <c r="Y266" s="11" t="str">
        <f ca="1">IF(ISBLANK(BudgetsTable[[#This Row],[budg_seq_yr]]),"FY"&amp;fiscalyear,"FY"&amp;fiscalyear-1+BudgetsTable[[#This Row],[budg_seq_yr]])</f>
        <v>FY18</v>
      </c>
      <c r="Z266" s="80">
        <v>63411</v>
      </c>
      <c r="AA266" s="79" t="s">
        <v>477</v>
      </c>
      <c r="AB266" s="79" t="s">
        <v>578</v>
      </c>
      <c r="AC266" s="77" t="s">
        <v>94</v>
      </c>
      <c r="AD266" s="79" t="s">
        <v>1631</v>
      </c>
    </row>
    <row r="267" spans="1:30" x14ac:dyDescent="0.4">
      <c r="A267" s="10" t="s">
        <v>1133</v>
      </c>
      <c r="B267" s="77" t="s">
        <v>95</v>
      </c>
      <c r="C267" s="77">
        <f>C266+(BudgetsTable[[#This Row],[lead]]&lt;&gt;K266)</f>
        <v>56</v>
      </c>
      <c r="D267" s="77">
        <f>D266*(BudgetsTable[[#This Row],[lead]]=K266)+(BudgetsTable[[#This Row],[prop_id]]&lt;&gt;A266)</f>
        <v>1</v>
      </c>
      <c r="E267" s="78">
        <v>42955.429861111108</v>
      </c>
      <c r="F267" s="79" t="s">
        <v>1621</v>
      </c>
      <c r="G267" s="79" t="s">
        <v>477</v>
      </c>
      <c r="H267" s="79" t="s">
        <v>578</v>
      </c>
      <c r="I267" s="77" t="s">
        <v>654</v>
      </c>
      <c r="J267" s="77" t="s">
        <v>13</v>
      </c>
      <c r="K267" s="79" t="s">
        <v>1133</v>
      </c>
      <c r="L267" s="7" t="str">
        <f>IF(BudgetsTable[[#This Row],[pi_last_name]]=" ","",HYPERLINK("https://www.ejacket.nsf.gov/ej/showProposal.do?Continue=Y&amp;ID="&amp;BudgetsTable[[#This Row],[prop_id]],BudgetsTable[[#This Row],[prop_id]]))</f>
        <v/>
      </c>
      <c r="M267" s="15" t="str">
        <f>IF(BudgetsTable[[#This Row],[pi_last_name]]=" ","",HYPERLINK("https://www.ejacket.nsf.gov/ej/processReviewAnalysis.do?dispatch=add&amp;uniqId="&amp;BudgetsTable[[#This Row],[prop_id]]&amp;PO_id,"&gt;ra"))</f>
        <v/>
      </c>
      <c r="N267" s="79" t="s">
        <v>13</v>
      </c>
      <c r="O267" s="7" t="str">
        <f>IF(BudgetsTable[[#This Row],[pi_last_name]]=" ","",HYPERLINK("mailto:"&amp;BudgetsTable[[#This Row],[pi_email]]&amp;"&amp;subject=Your NSF Proposal:  "&amp;BudgetsTable[[#This Row],[prop_id]],BudgetsTable[[#This Row],[pi_email]]))</f>
        <v/>
      </c>
      <c r="P267" s="79" t="s">
        <v>13</v>
      </c>
      <c r="Q267" s="79">
        <v>0</v>
      </c>
      <c r="R267" s="79">
        <v>0</v>
      </c>
      <c r="S267" s="80">
        <v>0</v>
      </c>
      <c r="T267" s="80">
        <v>4200</v>
      </c>
      <c r="U267" s="80">
        <v>0</v>
      </c>
      <c r="V267" s="81">
        <v>111563</v>
      </c>
      <c r="W267" s="79">
        <v>0</v>
      </c>
      <c r="X267" s="79">
        <v>2</v>
      </c>
      <c r="Y267" s="11" t="str">
        <f ca="1">IF(ISBLANK(BudgetsTable[[#This Row],[budg_seq_yr]]),"FY"&amp;fiscalyear,"FY"&amp;fiscalyear-1+BudgetsTable[[#This Row],[budg_seq_yr]])</f>
        <v>FY19</v>
      </c>
      <c r="Z267" s="80">
        <v>111563</v>
      </c>
      <c r="AA267" s="79" t="s">
        <v>477</v>
      </c>
      <c r="AB267" s="79" t="s">
        <v>578</v>
      </c>
      <c r="AC267" s="77" t="s">
        <v>94</v>
      </c>
      <c r="AD267" s="79" t="s">
        <v>1631</v>
      </c>
    </row>
    <row r="268" spans="1:30" x14ac:dyDescent="0.4">
      <c r="A268" s="10" t="s">
        <v>1141</v>
      </c>
      <c r="B268" s="77" t="s">
        <v>95</v>
      </c>
      <c r="C268" s="77">
        <f>C267+(BudgetsTable[[#This Row],[lead]]&lt;&gt;K267)</f>
        <v>57</v>
      </c>
      <c r="D268" s="77">
        <f>D267*(BudgetsTable[[#This Row],[lead]]=K267)+(BudgetsTable[[#This Row],[prop_id]]&lt;&gt;A267)</f>
        <v>1</v>
      </c>
      <c r="E268" s="78">
        <v>42955.700694444444</v>
      </c>
      <c r="F268" s="79" t="s">
        <v>1621</v>
      </c>
      <c r="G268" s="79" t="s">
        <v>477</v>
      </c>
      <c r="H268" s="79" t="s">
        <v>578</v>
      </c>
      <c r="I268" s="77" t="s">
        <v>611</v>
      </c>
      <c r="J268" s="77" t="s">
        <v>1650</v>
      </c>
      <c r="K268" s="79" t="s">
        <v>1141</v>
      </c>
      <c r="L268" s="7" t="str">
        <f>IF(BudgetsTable[[#This Row],[pi_last_name]]=" ","",HYPERLINK("https://www.ejacket.nsf.gov/ej/showProposal.do?Continue=Y&amp;ID="&amp;BudgetsTable[[#This Row],[prop_id]],BudgetsTable[[#This Row],[prop_id]]))</f>
        <v>1755619</v>
      </c>
      <c r="M268" s="15" t="e">
        <f>IF(BudgetsTable[[#This Row],[pi_last_name]]=" ","",HYPERLINK("https://www.ejacket.nsf.gov/ej/processReviewAnalysis.do?dispatch=add&amp;uniqId="&amp;BudgetsTable[[#This Row],[prop_id]]&amp;PO_id,"&gt;ra"))</f>
        <v>#REF!</v>
      </c>
      <c r="N268" s="79" t="s">
        <v>965</v>
      </c>
      <c r="O268" s="7" t="str">
        <f>IF(BudgetsTable[[#This Row],[pi_last_name]]=" ","",HYPERLINK("mailto:"&amp;BudgetsTable[[#This Row],[pi_email]]&amp;"&amp;subject=Your NSF Proposal:  "&amp;BudgetsTable[[#This Row],[prop_id]],BudgetsTable[[#This Row],[pi_email]]))</f>
        <v>jugal@illinois.edu</v>
      </c>
      <c r="P268" s="79" t="s">
        <v>1477</v>
      </c>
      <c r="Q268" s="79"/>
      <c r="R268" s="79"/>
      <c r="S268" s="80"/>
      <c r="T268" s="80"/>
      <c r="U268" s="80"/>
      <c r="V268" s="81"/>
      <c r="W268" s="79">
        <v>0</v>
      </c>
      <c r="X268" s="79"/>
      <c r="Y268" s="11" t="str">
        <f ca="1">IF(ISBLANK(BudgetsTable[[#This Row],[budg_seq_yr]]),"FY"&amp;fiscalyear,"FY"&amp;fiscalyear-1+BudgetsTable[[#This Row],[budg_seq_yr]])</f>
        <v>FY18</v>
      </c>
      <c r="Z268" s="80">
        <v>175000</v>
      </c>
      <c r="AA268" s="79" t="s">
        <v>477</v>
      </c>
      <c r="AB268" s="79" t="s">
        <v>578</v>
      </c>
      <c r="AC268" s="77" t="s">
        <v>94</v>
      </c>
      <c r="AD268" s="79" t="s">
        <v>1646</v>
      </c>
    </row>
    <row r="269" spans="1:30" x14ac:dyDescent="0.4">
      <c r="A269" s="10" t="s">
        <v>1141</v>
      </c>
      <c r="B269" s="77" t="s">
        <v>95</v>
      </c>
      <c r="C269" s="77">
        <f>C268+(BudgetsTable[[#This Row],[lead]]&lt;&gt;K268)</f>
        <v>57</v>
      </c>
      <c r="D269" s="77">
        <f>D268*(BudgetsTable[[#This Row],[lead]]=K268)+(BudgetsTable[[#This Row],[prop_id]]&lt;&gt;A268)</f>
        <v>1</v>
      </c>
      <c r="E269" s="78">
        <v>42955.700694444444</v>
      </c>
      <c r="F269" s="79" t="s">
        <v>1621</v>
      </c>
      <c r="G269" s="79" t="s">
        <v>477</v>
      </c>
      <c r="H269" s="79" t="s">
        <v>578</v>
      </c>
      <c r="I269" s="77" t="s">
        <v>611</v>
      </c>
      <c r="J269" s="77" t="s">
        <v>13</v>
      </c>
      <c r="K269" s="79" t="s">
        <v>1141</v>
      </c>
      <c r="L269" s="7" t="str">
        <f>IF(BudgetsTable[[#This Row],[pi_last_name]]=" ","",HYPERLINK("https://www.ejacket.nsf.gov/ej/showProposal.do?Continue=Y&amp;ID="&amp;BudgetsTable[[#This Row],[prop_id]],BudgetsTable[[#This Row],[prop_id]]))</f>
        <v/>
      </c>
      <c r="M269" s="15" t="str">
        <f>IF(BudgetsTable[[#This Row],[pi_last_name]]=" ","",HYPERLINK("https://www.ejacket.nsf.gov/ej/processReviewAnalysis.do?dispatch=add&amp;uniqId="&amp;BudgetsTable[[#This Row],[prop_id]]&amp;PO_id,"&gt;ra"))</f>
        <v/>
      </c>
      <c r="N269" s="79" t="s">
        <v>13</v>
      </c>
      <c r="O269" s="7" t="str">
        <f>IF(BudgetsTable[[#This Row],[pi_last_name]]=" ","",HYPERLINK("mailto:"&amp;BudgetsTable[[#This Row],[pi_email]]&amp;"&amp;subject=Your NSF Proposal:  "&amp;BudgetsTable[[#This Row],[prop_id]],BudgetsTable[[#This Row],[pi_email]]))</f>
        <v/>
      </c>
      <c r="P269" s="79" t="s">
        <v>13</v>
      </c>
      <c r="Q269" s="79">
        <v>0</v>
      </c>
      <c r="R269" s="79">
        <v>0</v>
      </c>
      <c r="S269" s="80">
        <v>0</v>
      </c>
      <c r="T269" s="80">
        <v>2000</v>
      </c>
      <c r="U269" s="80">
        <v>0</v>
      </c>
      <c r="V269" s="81">
        <v>86350</v>
      </c>
      <c r="W269" s="79">
        <v>0</v>
      </c>
      <c r="X269" s="79">
        <v>1</v>
      </c>
      <c r="Y269" s="11" t="str">
        <f ca="1">IF(ISBLANK(BudgetsTable[[#This Row],[budg_seq_yr]]),"FY"&amp;fiscalyear,"FY"&amp;fiscalyear-1+BudgetsTable[[#This Row],[budg_seq_yr]])</f>
        <v>FY18</v>
      </c>
      <c r="Z269" s="80">
        <v>86350</v>
      </c>
      <c r="AA269" s="79" t="s">
        <v>477</v>
      </c>
      <c r="AB269" s="79" t="s">
        <v>578</v>
      </c>
      <c r="AC269" s="77" t="s">
        <v>94</v>
      </c>
      <c r="AD269" s="79" t="s">
        <v>1646</v>
      </c>
    </row>
    <row r="270" spans="1:30" x14ac:dyDescent="0.4">
      <c r="A270" s="10" t="s">
        <v>1141</v>
      </c>
      <c r="B270" s="77" t="s">
        <v>95</v>
      </c>
      <c r="C270" s="77">
        <f>C269+(BudgetsTable[[#This Row],[lead]]&lt;&gt;K269)</f>
        <v>57</v>
      </c>
      <c r="D270" s="77">
        <f>D269*(BudgetsTable[[#This Row],[lead]]=K269)+(BudgetsTable[[#This Row],[prop_id]]&lt;&gt;A269)</f>
        <v>1</v>
      </c>
      <c r="E270" s="78">
        <v>42955.700694444444</v>
      </c>
      <c r="F270" s="79" t="s">
        <v>1621</v>
      </c>
      <c r="G270" s="79" t="s">
        <v>477</v>
      </c>
      <c r="H270" s="79" t="s">
        <v>578</v>
      </c>
      <c r="I270" s="77" t="s">
        <v>611</v>
      </c>
      <c r="J270" s="77" t="s">
        <v>13</v>
      </c>
      <c r="K270" s="79" t="s">
        <v>1141</v>
      </c>
      <c r="L270" s="7" t="str">
        <f>IF(BudgetsTable[[#This Row],[pi_last_name]]=" ","",HYPERLINK("https://www.ejacket.nsf.gov/ej/showProposal.do?Continue=Y&amp;ID="&amp;BudgetsTable[[#This Row],[prop_id]],BudgetsTable[[#This Row],[prop_id]]))</f>
        <v/>
      </c>
      <c r="M270" s="15" t="str">
        <f>IF(BudgetsTable[[#This Row],[pi_last_name]]=" ","",HYPERLINK("https://www.ejacket.nsf.gov/ej/processReviewAnalysis.do?dispatch=add&amp;uniqId="&amp;BudgetsTable[[#This Row],[prop_id]]&amp;PO_id,"&gt;ra"))</f>
        <v/>
      </c>
      <c r="N270" s="79" t="s">
        <v>13</v>
      </c>
      <c r="O270" s="7" t="str">
        <f>IF(BudgetsTable[[#This Row],[pi_last_name]]=" ","",HYPERLINK("mailto:"&amp;BudgetsTable[[#This Row],[pi_email]]&amp;"&amp;subject=Your NSF Proposal:  "&amp;BudgetsTable[[#This Row],[prop_id]],BudgetsTable[[#This Row],[pi_email]]))</f>
        <v/>
      </c>
      <c r="P270" s="79" t="s">
        <v>13</v>
      </c>
      <c r="Q270" s="79">
        <v>0</v>
      </c>
      <c r="R270" s="79">
        <v>0</v>
      </c>
      <c r="S270" s="80">
        <v>0</v>
      </c>
      <c r="T270" s="80">
        <v>2000</v>
      </c>
      <c r="U270" s="80">
        <v>0</v>
      </c>
      <c r="V270" s="81">
        <v>88650</v>
      </c>
      <c r="W270" s="79">
        <v>0</v>
      </c>
      <c r="X270" s="79">
        <v>2</v>
      </c>
      <c r="Y270" s="11" t="str">
        <f ca="1">IF(ISBLANK(BudgetsTable[[#This Row],[budg_seq_yr]]),"FY"&amp;fiscalyear,"FY"&amp;fiscalyear-1+BudgetsTable[[#This Row],[budg_seq_yr]])</f>
        <v>FY19</v>
      </c>
      <c r="Z270" s="80">
        <v>88650</v>
      </c>
      <c r="AA270" s="79" t="s">
        <v>477</v>
      </c>
      <c r="AB270" s="79" t="s">
        <v>578</v>
      </c>
      <c r="AC270" s="77" t="s">
        <v>94</v>
      </c>
      <c r="AD270" s="79" t="s">
        <v>1646</v>
      </c>
    </row>
    <row r="271" spans="1:30" x14ac:dyDescent="0.4">
      <c r="A271" s="10" t="s">
        <v>2044</v>
      </c>
      <c r="B271" s="77" t="s">
        <v>95</v>
      </c>
      <c r="C271" s="77">
        <f>C270+(BudgetsTable[[#This Row],[lead]]&lt;&gt;K270)</f>
        <v>58</v>
      </c>
      <c r="D271" s="77">
        <f>D270*(BudgetsTable[[#This Row],[lead]]=K270)+(BudgetsTable[[#This Row],[prop_id]]&lt;&gt;A270)</f>
        <v>1</v>
      </c>
      <c r="E271" s="78">
        <v>42956.439583333333</v>
      </c>
      <c r="F271" s="79" t="s">
        <v>1621</v>
      </c>
      <c r="G271" s="79" t="s">
        <v>1622</v>
      </c>
      <c r="H271" s="79" t="s">
        <v>580</v>
      </c>
      <c r="I271" s="77" t="s">
        <v>2046</v>
      </c>
      <c r="J271" s="77" t="s">
        <v>2078</v>
      </c>
      <c r="K271" s="79" t="s">
        <v>2044</v>
      </c>
      <c r="L271" s="7" t="str">
        <f>IF(BudgetsTable[[#This Row],[pi_last_name]]=" ","",HYPERLINK("https://www.ejacket.nsf.gov/ej/showProposal.do?Continue=Y&amp;ID="&amp;BudgetsTable[[#This Row],[prop_id]],BudgetsTable[[#This Row],[prop_id]]))</f>
        <v>1755679</v>
      </c>
      <c r="M271" s="15" t="e">
        <f>IF(BudgetsTable[[#This Row],[pi_last_name]]=" ","",HYPERLINK("https://www.ejacket.nsf.gov/ej/processReviewAnalysis.do?dispatch=add&amp;uniqId="&amp;BudgetsTable[[#This Row],[prop_id]]&amp;PO_id,"&gt;ra"))</f>
        <v>#REF!</v>
      </c>
      <c r="N271" s="79" t="s">
        <v>2045</v>
      </c>
      <c r="O271" s="7" t="str">
        <f>IF(BudgetsTable[[#This Row],[pi_last_name]]=" ","",HYPERLINK("mailto:"&amp;BudgetsTable[[#This Row],[pi_email]]&amp;"&amp;subject=Your NSF Proposal:  "&amp;BudgetsTable[[#This Row],[prop_id]],BudgetsTable[[#This Row],[pi_email]]))</f>
        <v>feifang@cmu.edu</v>
      </c>
      <c r="P271" s="79" t="s">
        <v>497</v>
      </c>
      <c r="Q271" s="79"/>
      <c r="R271" s="79"/>
      <c r="S271" s="80"/>
      <c r="T271" s="80"/>
      <c r="U271" s="80"/>
      <c r="V271" s="81"/>
      <c r="W271" s="79">
        <v>0</v>
      </c>
      <c r="X271" s="79"/>
      <c r="Y271" s="11" t="str">
        <f ca="1">IF(ISBLANK(BudgetsTable[[#This Row],[budg_seq_yr]]),"FY"&amp;fiscalyear,"FY"&amp;fiscalyear-1+BudgetsTable[[#This Row],[budg_seq_yr]])</f>
        <v>FY18</v>
      </c>
      <c r="Z271" s="80">
        <v>175000</v>
      </c>
      <c r="AA271" s="79" t="s">
        <v>1622</v>
      </c>
      <c r="AB271" s="79" t="s">
        <v>580</v>
      </c>
      <c r="AC271" s="77" t="s">
        <v>94</v>
      </c>
      <c r="AD271" s="79" t="s">
        <v>1624</v>
      </c>
    </row>
    <row r="272" spans="1:30" x14ac:dyDescent="0.4">
      <c r="A272" s="10" t="s">
        <v>2044</v>
      </c>
      <c r="B272" s="77" t="s">
        <v>95</v>
      </c>
      <c r="C272" s="77">
        <f>C271+(BudgetsTable[[#This Row],[lead]]&lt;&gt;K271)</f>
        <v>58</v>
      </c>
      <c r="D272" s="77">
        <f>D271*(BudgetsTable[[#This Row],[lead]]=K271)+(BudgetsTable[[#This Row],[prop_id]]&lt;&gt;A271)</f>
        <v>1</v>
      </c>
      <c r="E272" s="78">
        <v>42956.439583333333</v>
      </c>
      <c r="F272" s="79" t="s">
        <v>1621</v>
      </c>
      <c r="G272" s="79" t="s">
        <v>1622</v>
      </c>
      <c r="H272" s="79" t="s">
        <v>580</v>
      </c>
      <c r="I272" s="77" t="s">
        <v>2046</v>
      </c>
      <c r="J272" s="77" t="s">
        <v>13</v>
      </c>
      <c r="K272" s="79" t="s">
        <v>2044</v>
      </c>
      <c r="L272" s="7" t="str">
        <f>IF(BudgetsTable[[#This Row],[pi_last_name]]=" ","",HYPERLINK("https://www.ejacket.nsf.gov/ej/showProposal.do?Continue=Y&amp;ID="&amp;BudgetsTable[[#This Row],[prop_id]],BudgetsTable[[#This Row],[prop_id]]))</f>
        <v/>
      </c>
      <c r="M272" s="15" t="str">
        <f>IF(BudgetsTable[[#This Row],[pi_last_name]]=" ","",HYPERLINK("https://www.ejacket.nsf.gov/ej/processReviewAnalysis.do?dispatch=add&amp;uniqId="&amp;BudgetsTable[[#This Row],[prop_id]]&amp;PO_id,"&gt;ra"))</f>
        <v/>
      </c>
      <c r="N272" s="79" t="s">
        <v>13</v>
      </c>
      <c r="O272" s="7" t="str">
        <f>IF(BudgetsTable[[#This Row],[pi_last_name]]=" ","",HYPERLINK("mailto:"&amp;BudgetsTable[[#This Row],[pi_email]]&amp;"&amp;subject=Your NSF Proposal:  "&amp;BudgetsTable[[#This Row],[prop_id]],BudgetsTable[[#This Row],[pi_email]]))</f>
        <v/>
      </c>
      <c r="P272" s="79" t="s">
        <v>13</v>
      </c>
      <c r="Q272" s="79">
        <v>0</v>
      </c>
      <c r="R272" s="79">
        <v>0</v>
      </c>
      <c r="S272" s="80">
        <v>0</v>
      </c>
      <c r="T272" s="80">
        <v>3832</v>
      </c>
      <c r="U272" s="80">
        <v>0</v>
      </c>
      <c r="V272" s="81">
        <v>85602</v>
      </c>
      <c r="W272" s="79">
        <v>0</v>
      </c>
      <c r="X272" s="79">
        <v>1</v>
      </c>
      <c r="Y272" s="11" t="str">
        <f ca="1">IF(ISBLANK(BudgetsTable[[#This Row],[budg_seq_yr]]),"FY"&amp;fiscalyear,"FY"&amp;fiscalyear-1+BudgetsTable[[#This Row],[budg_seq_yr]])</f>
        <v>FY18</v>
      </c>
      <c r="Z272" s="80">
        <v>85602</v>
      </c>
      <c r="AA272" s="79" t="s">
        <v>1622</v>
      </c>
      <c r="AB272" s="79" t="s">
        <v>580</v>
      </c>
      <c r="AC272" s="77" t="s">
        <v>94</v>
      </c>
      <c r="AD272" s="79" t="s">
        <v>1624</v>
      </c>
    </row>
    <row r="273" spans="1:30" x14ac:dyDescent="0.4">
      <c r="A273" s="10" t="s">
        <v>2044</v>
      </c>
      <c r="B273" s="77" t="s">
        <v>95</v>
      </c>
      <c r="C273" s="77">
        <f>C272+(BudgetsTable[[#This Row],[lead]]&lt;&gt;K272)</f>
        <v>58</v>
      </c>
      <c r="D273" s="77">
        <f>D272*(BudgetsTable[[#This Row],[lead]]=K272)+(BudgetsTable[[#This Row],[prop_id]]&lt;&gt;A272)</f>
        <v>1</v>
      </c>
      <c r="E273" s="78">
        <v>42956.439583333333</v>
      </c>
      <c r="F273" s="79" t="s">
        <v>1621</v>
      </c>
      <c r="G273" s="79" t="s">
        <v>1622</v>
      </c>
      <c r="H273" s="79" t="s">
        <v>580</v>
      </c>
      <c r="I273" s="77" t="s">
        <v>2046</v>
      </c>
      <c r="J273" s="77" t="s">
        <v>13</v>
      </c>
      <c r="K273" s="79" t="s">
        <v>2044</v>
      </c>
      <c r="L273" s="7" t="str">
        <f>IF(BudgetsTable[[#This Row],[pi_last_name]]=" ","",HYPERLINK("https://www.ejacket.nsf.gov/ej/showProposal.do?Continue=Y&amp;ID="&amp;BudgetsTable[[#This Row],[prop_id]],BudgetsTable[[#This Row],[prop_id]]))</f>
        <v/>
      </c>
      <c r="M273" s="15" t="str">
        <f>IF(BudgetsTable[[#This Row],[pi_last_name]]=" ","",HYPERLINK("https://www.ejacket.nsf.gov/ej/processReviewAnalysis.do?dispatch=add&amp;uniqId="&amp;BudgetsTable[[#This Row],[prop_id]]&amp;PO_id,"&gt;ra"))</f>
        <v/>
      </c>
      <c r="N273" s="79" t="s">
        <v>13</v>
      </c>
      <c r="O273" s="7" t="str">
        <f>IF(BudgetsTable[[#This Row],[pi_last_name]]=" ","",HYPERLINK("mailto:"&amp;BudgetsTable[[#This Row],[pi_email]]&amp;"&amp;subject=Your NSF Proposal:  "&amp;BudgetsTable[[#This Row],[prop_id]],BudgetsTable[[#This Row],[pi_email]]))</f>
        <v/>
      </c>
      <c r="P273" s="79" t="s">
        <v>13</v>
      </c>
      <c r="Q273" s="79">
        <v>0</v>
      </c>
      <c r="R273" s="79">
        <v>0</v>
      </c>
      <c r="S273" s="80">
        <v>0</v>
      </c>
      <c r="T273" s="80">
        <v>3966</v>
      </c>
      <c r="U273" s="80">
        <v>0</v>
      </c>
      <c r="V273" s="81">
        <v>89398</v>
      </c>
      <c r="W273" s="79">
        <v>0</v>
      </c>
      <c r="X273" s="79">
        <v>2</v>
      </c>
      <c r="Y273" s="11" t="str">
        <f ca="1">IF(ISBLANK(BudgetsTable[[#This Row],[budg_seq_yr]]),"FY"&amp;fiscalyear,"FY"&amp;fiscalyear-1+BudgetsTable[[#This Row],[budg_seq_yr]])</f>
        <v>FY19</v>
      </c>
      <c r="Z273" s="80">
        <v>89398</v>
      </c>
      <c r="AA273" s="79" t="s">
        <v>1622</v>
      </c>
      <c r="AB273" s="79" t="s">
        <v>580</v>
      </c>
      <c r="AC273" s="77" t="s">
        <v>94</v>
      </c>
      <c r="AD273" s="79" t="s">
        <v>1624</v>
      </c>
    </row>
    <row r="274" spans="1:30" x14ac:dyDescent="0.4">
      <c r="A274" s="10" t="s">
        <v>1147</v>
      </c>
      <c r="B274" s="77" t="s">
        <v>95</v>
      </c>
      <c r="C274" s="77">
        <f>C273+(BudgetsTable[[#This Row],[lead]]&lt;&gt;K273)</f>
        <v>59</v>
      </c>
      <c r="D274" s="77">
        <f>D273*(BudgetsTable[[#This Row],[lead]]=K273)+(BudgetsTable[[#This Row],[prop_id]]&lt;&gt;A273)</f>
        <v>1</v>
      </c>
      <c r="E274" s="78">
        <v>42956.472222222219</v>
      </c>
      <c r="F274" s="79" t="s">
        <v>1621</v>
      </c>
      <c r="G274" s="79" t="s">
        <v>477</v>
      </c>
      <c r="H274" s="79" t="s">
        <v>578</v>
      </c>
      <c r="I274" s="77" t="s">
        <v>604</v>
      </c>
      <c r="J274" s="77" t="s">
        <v>1654</v>
      </c>
      <c r="K274" s="79" t="s">
        <v>1147</v>
      </c>
      <c r="L274" s="7" t="str">
        <f>IF(BudgetsTable[[#This Row],[pi_last_name]]=" ","",HYPERLINK("https://www.ejacket.nsf.gov/ej/showProposal.do?Continue=Y&amp;ID="&amp;BudgetsTable[[#This Row],[prop_id]],BudgetsTable[[#This Row],[prop_id]]))</f>
        <v>1755702</v>
      </c>
      <c r="M274" s="15" t="e">
        <f>IF(BudgetsTable[[#This Row],[pi_last_name]]=" ","",HYPERLINK("https://www.ejacket.nsf.gov/ej/processReviewAnalysis.do?dispatch=add&amp;uniqId="&amp;BudgetsTable[[#This Row],[prop_id]]&amp;PO_id,"&gt;ra"))</f>
        <v>#REF!</v>
      </c>
      <c r="N274" s="79" t="s">
        <v>1148</v>
      </c>
      <c r="O274" s="7" t="str">
        <f>IF(BudgetsTable[[#This Row],[pi_last_name]]=" ","",HYPERLINK("mailto:"&amp;BudgetsTable[[#This Row],[pi_email]]&amp;"&amp;subject=Your NSF Proposal:  "&amp;BudgetsTable[[#This Row],[prop_id]],BudgetsTable[[#This Row],[pi_email]]))</f>
        <v>hcharkhgard@usf.edu</v>
      </c>
      <c r="P274" s="79" t="s">
        <v>558</v>
      </c>
      <c r="Q274" s="79"/>
      <c r="R274" s="79"/>
      <c r="S274" s="80"/>
      <c r="T274" s="80"/>
      <c r="U274" s="80"/>
      <c r="V274" s="81"/>
      <c r="W274" s="79">
        <v>0</v>
      </c>
      <c r="X274" s="79"/>
      <c r="Y274" s="11" t="str">
        <f ca="1">IF(ISBLANK(BudgetsTable[[#This Row],[budg_seq_yr]]),"FY"&amp;fiscalyear,"FY"&amp;fiscalyear-1+BudgetsTable[[#This Row],[budg_seq_yr]])</f>
        <v>FY18</v>
      </c>
      <c r="Z274" s="80">
        <v>172682</v>
      </c>
      <c r="AA274" s="79" t="s">
        <v>477</v>
      </c>
      <c r="AB274" s="79" t="s">
        <v>578</v>
      </c>
      <c r="AC274" s="77" t="s">
        <v>94</v>
      </c>
      <c r="AD274" s="79" t="s">
        <v>1631</v>
      </c>
    </row>
    <row r="275" spans="1:30" x14ac:dyDescent="0.4">
      <c r="A275" s="10" t="s">
        <v>1147</v>
      </c>
      <c r="B275" s="77" t="s">
        <v>95</v>
      </c>
      <c r="C275" s="77">
        <f>C274+(BudgetsTable[[#This Row],[lead]]&lt;&gt;K274)</f>
        <v>59</v>
      </c>
      <c r="D275" s="77">
        <f>D274*(BudgetsTable[[#This Row],[lead]]=K274)+(BudgetsTable[[#This Row],[prop_id]]&lt;&gt;A274)</f>
        <v>1</v>
      </c>
      <c r="E275" s="78">
        <v>42956.472222222219</v>
      </c>
      <c r="F275" s="79" t="s">
        <v>1621</v>
      </c>
      <c r="G275" s="79" t="s">
        <v>477</v>
      </c>
      <c r="H275" s="79" t="s">
        <v>578</v>
      </c>
      <c r="I275" s="77" t="s">
        <v>604</v>
      </c>
      <c r="J275" s="77" t="s">
        <v>13</v>
      </c>
      <c r="K275" s="79" t="s">
        <v>1147</v>
      </c>
      <c r="L275" s="7" t="str">
        <f>IF(BudgetsTable[[#This Row],[pi_last_name]]=" ","",HYPERLINK("https://www.ejacket.nsf.gov/ej/showProposal.do?Continue=Y&amp;ID="&amp;BudgetsTable[[#This Row],[prop_id]],BudgetsTable[[#This Row],[prop_id]]))</f>
        <v/>
      </c>
      <c r="M275" s="15" t="str">
        <f>IF(BudgetsTable[[#This Row],[pi_last_name]]=" ","",HYPERLINK("https://www.ejacket.nsf.gov/ej/processReviewAnalysis.do?dispatch=add&amp;uniqId="&amp;BudgetsTable[[#This Row],[prop_id]]&amp;PO_id,"&gt;ra"))</f>
        <v/>
      </c>
      <c r="N275" s="79" t="s">
        <v>13</v>
      </c>
      <c r="O275" s="7" t="str">
        <f>IF(BudgetsTable[[#This Row],[pi_last_name]]=" ","",HYPERLINK("mailto:"&amp;BudgetsTable[[#This Row],[pi_email]]&amp;"&amp;subject=Your NSF Proposal:  "&amp;BudgetsTable[[#This Row],[prop_id]],BudgetsTable[[#This Row],[pi_email]]))</f>
        <v/>
      </c>
      <c r="P275" s="79" t="s">
        <v>13</v>
      </c>
      <c r="Q275" s="79">
        <v>0</v>
      </c>
      <c r="R275" s="79">
        <v>0</v>
      </c>
      <c r="S275" s="80">
        <v>0</v>
      </c>
      <c r="T275" s="80">
        <v>0</v>
      </c>
      <c r="U275" s="80">
        <v>0</v>
      </c>
      <c r="V275" s="81">
        <v>86673</v>
      </c>
      <c r="W275" s="79">
        <v>0</v>
      </c>
      <c r="X275" s="79">
        <v>1</v>
      </c>
      <c r="Y275" s="11" t="str">
        <f ca="1">IF(ISBLANK(BudgetsTable[[#This Row],[budg_seq_yr]]),"FY"&amp;fiscalyear,"FY"&amp;fiscalyear-1+BudgetsTable[[#This Row],[budg_seq_yr]])</f>
        <v>FY18</v>
      </c>
      <c r="Z275" s="80">
        <v>86673</v>
      </c>
      <c r="AA275" s="79" t="s">
        <v>477</v>
      </c>
      <c r="AB275" s="79" t="s">
        <v>578</v>
      </c>
      <c r="AC275" s="77" t="s">
        <v>94</v>
      </c>
      <c r="AD275" s="79" t="s">
        <v>1631</v>
      </c>
    </row>
    <row r="276" spans="1:30" x14ac:dyDescent="0.4">
      <c r="A276" s="10" t="s">
        <v>1147</v>
      </c>
      <c r="B276" s="77" t="s">
        <v>95</v>
      </c>
      <c r="C276" s="77">
        <f>C275+(BudgetsTable[[#This Row],[lead]]&lt;&gt;K275)</f>
        <v>59</v>
      </c>
      <c r="D276" s="77">
        <f>D275*(BudgetsTable[[#This Row],[lead]]=K275)+(BudgetsTable[[#This Row],[prop_id]]&lt;&gt;A275)</f>
        <v>1</v>
      </c>
      <c r="E276" s="78">
        <v>42956.472222222219</v>
      </c>
      <c r="F276" s="79" t="s">
        <v>1621</v>
      </c>
      <c r="G276" s="79" t="s">
        <v>477</v>
      </c>
      <c r="H276" s="79" t="s">
        <v>578</v>
      </c>
      <c r="I276" s="77" t="s">
        <v>604</v>
      </c>
      <c r="J276" s="77" t="s">
        <v>13</v>
      </c>
      <c r="K276" s="79" t="s">
        <v>1147</v>
      </c>
      <c r="L276" s="7" t="str">
        <f>IF(BudgetsTable[[#This Row],[pi_last_name]]=" ","",HYPERLINK("https://www.ejacket.nsf.gov/ej/showProposal.do?Continue=Y&amp;ID="&amp;BudgetsTable[[#This Row],[prop_id]],BudgetsTable[[#This Row],[prop_id]]))</f>
        <v/>
      </c>
      <c r="M276" s="15" t="str">
        <f>IF(BudgetsTable[[#This Row],[pi_last_name]]=" ","",HYPERLINK("https://www.ejacket.nsf.gov/ej/processReviewAnalysis.do?dispatch=add&amp;uniqId="&amp;BudgetsTable[[#This Row],[prop_id]]&amp;PO_id,"&gt;ra"))</f>
        <v/>
      </c>
      <c r="N276" s="79" t="s">
        <v>13</v>
      </c>
      <c r="O276" s="7" t="str">
        <f>IF(BudgetsTable[[#This Row],[pi_last_name]]=" ","",HYPERLINK("mailto:"&amp;BudgetsTable[[#This Row],[pi_email]]&amp;"&amp;subject=Your NSF Proposal:  "&amp;BudgetsTable[[#This Row],[prop_id]],BudgetsTable[[#This Row],[pi_email]]))</f>
        <v/>
      </c>
      <c r="P276" s="79" t="s">
        <v>13</v>
      </c>
      <c r="Q276" s="79">
        <v>0</v>
      </c>
      <c r="R276" s="79">
        <v>0</v>
      </c>
      <c r="S276" s="80">
        <v>0</v>
      </c>
      <c r="T276" s="80">
        <v>0</v>
      </c>
      <c r="U276" s="80">
        <v>0</v>
      </c>
      <c r="V276" s="81">
        <v>86009</v>
      </c>
      <c r="W276" s="79">
        <v>0</v>
      </c>
      <c r="X276" s="79">
        <v>2</v>
      </c>
      <c r="Y276" s="11" t="str">
        <f ca="1">IF(ISBLANK(BudgetsTable[[#This Row],[budg_seq_yr]]),"FY"&amp;fiscalyear,"FY"&amp;fiscalyear-1+BudgetsTable[[#This Row],[budg_seq_yr]])</f>
        <v>FY19</v>
      </c>
      <c r="Z276" s="80">
        <v>86009</v>
      </c>
      <c r="AA276" s="79" t="s">
        <v>477</v>
      </c>
      <c r="AB276" s="79" t="s">
        <v>578</v>
      </c>
      <c r="AC276" s="77" t="s">
        <v>94</v>
      </c>
      <c r="AD276" s="79" t="s">
        <v>1631</v>
      </c>
    </row>
    <row r="277" spans="1:30" x14ac:dyDescent="0.4">
      <c r="A277" s="10" t="s">
        <v>1155</v>
      </c>
      <c r="B277" s="77" t="s">
        <v>95</v>
      </c>
      <c r="C277" s="77">
        <f>C276+(BudgetsTable[[#This Row],[lead]]&lt;&gt;K276)</f>
        <v>60</v>
      </c>
      <c r="D277" s="77">
        <f>D276*(BudgetsTable[[#This Row],[lead]]=K276)+(BudgetsTable[[#This Row],[prop_id]]&lt;&gt;A276)</f>
        <v>1</v>
      </c>
      <c r="E277" s="78">
        <v>42956.581944444442</v>
      </c>
      <c r="F277" s="79" t="s">
        <v>1621</v>
      </c>
      <c r="G277" s="79" t="s">
        <v>477</v>
      </c>
      <c r="H277" s="79" t="s">
        <v>578</v>
      </c>
      <c r="I277" s="77" t="s">
        <v>654</v>
      </c>
      <c r="J277" s="77" t="s">
        <v>1659</v>
      </c>
      <c r="K277" s="79" t="s">
        <v>1155</v>
      </c>
      <c r="L277" s="7" t="str">
        <f>IF(BudgetsTable[[#This Row],[pi_last_name]]=" ","",HYPERLINK("https://www.ejacket.nsf.gov/ej/showProposal.do?Continue=Y&amp;ID="&amp;BudgetsTable[[#This Row],[prop_id]],BudgetsTable[[#This Row],[prop_id]]))</f>
        <v>1755791</v>
      </c>
      <c r="M277" s="15" t="e">
        <f>IF(BudgetsTable[[#This Row],[pi_last_name]]=" ","",HYPERLINK("https://www.ejacket.nsf.gov/ej/processReviewAnalysis.do?dispatch=add&amp;uniqId="&amp;BudgetsTable[[#This Row],[prop_id]]&amp;PO_id,"&gt;ra"))</f>
        <v>#REF!</v>
      </c>
      <c r="N277" s="79" t="s">
        <v>1156</v>
      </c>
      <c r="O277" s="7" t="str">
        <f>IF(BudgetsTable[[#This Row],[pi_last_name]]=" ","",HYPERLINK("mailto:"&amp;BudgetsTable[[#This Row],[pi_email]]&amp;"&amp;subject=Your NSF Proposal:  "&amp;BudgetsTable[[#This Row],[prop_id]],BudgetsTable[[#This Row],[pi_email]]))</f>
        <v>Mayank.Goswami@qc.cuny.edu</v>
      </c>
      <c r="P277" s="79" t="s">
        <v>1656</v>
      </c>
      <c r="Q277" s="79"/>
      <c r="R277" s="79"/>
      <c r="S277" s="80"/>
      <c r="T277" s="80"/>
      <c r="U277" s="80"/>
      <c r="V277" s="81"/>
      <c r="W277" s="79">
        <v>0</v>
      </c>
      <c r="X277" s="79"/>
      <c r="Y277" s="11" t="str">
        <f ca="1">IF(ISBLANK(BudgetsTable[[#This Row],[budg_seq_yr]]),"FY"&amp;fiscalyear,"FY"&amp;fiscalyear-1+BudgetsTable[[#This Row],[budg_seq_yr]])</f>
        <v>FY18</v>
      </c>
      <c r="Z277" s="80">
        <v>175000</v>
      </c>
      <c r="AA277" s="79" t="s">
        <v>477</v>
      </c>
      <c r="AB277" s="79" t="s">
        <v>578</v>
      </c>
      <c r="AC277" s="77" t="s">
        <v>94</v>
      </c>
      <c r="AD277" s="79" t="s">
        <v>1631</v>
      </c>
    </row>
    <row r="278" spans="1:30" x14ac:dyDescent="0.4">
      <c r="A278" s="10" t="s">
        <v>1155</v>
      </c>
      <c r="B278" s="77" t="s">
        <v>95</v>
      </c>
      <c r="C278" s="77">
        <f>C277+(BudgetsTable[[#This Row],[lead]]&lt;&gt;K277)</f>
        <v>60</v>
      </c>
      <c r="D278" s="77">
        <f>D277*(BudgetsTable[[#This Row],[lead]]=K277)+(BudgetsTable[[#This Row],[prop_id]]&lt;&gt;A277)</f>
        <v>1</v>
      </c>
      <c r="E278" s="78">
        <v>42956.581944444442</v>
      </c>
      <c r="F278" s="79" t="s">
        <v>1621</v>
      </c>
      <c r="G278" s="79" t="s">
        <v>477</v>
      </c>
      <c r="H278" s="79" t="s">
        <v>578</v>
      </c>
      <c r="I278" s="77" t="s">
        <v>654</v>
      </c>
      <c r="J278" s="77" t="s">
        <v>13</v>
      </c>
      <c r="K278" s="79" t="s">
        <v>1155</v>
      </c>
      <c r="L278" s="7" t="str">
        <f>IF(BudgetsTable[[#This Row],[pi_last_name]]=" ","",HYPERLINK("https://www.ejacket.nsf.gov/ej/showProposal.do?Continue=Y&amp;ID="&amp;BudgetsTable[[#This Row],[prop_id]],BudgetsTable[[#This Row],[prop_id]]))</f>
        <v/>
      </c>
      <c r="M278" s="15" t="str">
        <f>IF(BudgetsTable[[#This Row],[pi_last_name]]=" ","",HYPERLINK("https://www.ejacket.nsf.gov/ej/processReviewAnalysis.do?dispatch=add&amp;uniqId="&amp;BudgetsTable[[#This Row],[prop_id]]&amp;PO_id,"&gt;ra"))</f>
        <v/>
      </c>
      <c r="N278" s="79" t="s">
        <v>13</v>
      </c>
      <c r="O278" s="7" t="str">
        <f>IF(BudgetsTable[[#This Row],[pi_last_name]]=" ","",HYPERLINK("mailto:"&amp;BudgetsTable[[#This Row],[pi_email]]&amp;"&amp;subject=Your NSF Proposal:  "&amp;BudgetsTable[[#This Row],[prop_id]],BudgetsTable[[#This Row],[pi_email]]))</f>
        <v/>
      </c>
      <c r="P278" s="79" t="s">
        <v>13</v>
      </c>
      <c r="Q278" s="79">
        <v>0</v>
      </c>
      <c r="R278" s="79">
        <v>0</v>
      </c>
      <c r="S278" s="80">
        <v>0</v>
      </c>
      <c r="T278" s="80">
        <v>6000</v>
      </c>
      <c r="U278" s="80">
        <v>0</v>
      </c>
      <c r="V278" s="81">
        <v>73951</v>
      </c>
      <c r="W278" s="79">
        <v>0</v>
      </c>
      <c r="X278" s="79">
        <v>1</v>
      </c>
      <c r="Y278" s="11" t="str">
        <f ca="1">IF(ISBLANK(BudgetsTable[[#This Row],[budg_seq_yr]]),"FY"&amp;fiscalyear,"FY"&amp;fiscalyear-1+BudgetsTable[[#This Row],[budg_seq_yr]])</f>
        <v>FY18</v>
      </c>
      <c r="Z278" s="80">
        <v>73951</v>
      </c>
      <c r="AA278" s="79" t="s">
        <v>477</v>
      </c>
      <c r="AB278" s="79" t="s">
        <v>578</v>
      </c>
      <c r="AC278" s="77" t="s">
        <v>94</v>
      </c>
      <c r="AD278" s="79" t="s">
        <v>1631</v>
      </c>
    </row>
    <row r="279" spans="1:30" x14ac:dyDescent="0.4">
      <c r="A279" s="10" t="s">
        <v>1155</v>
      </c>
      <c r="B279" s="77" t="s">
        <v>95</v>
      </c>
      <c r="C279" s="77">
        <f>C278+(BudgetsTable[[#This Row],[lead]]&lt;&gt;K278)</f>
        <v>60</v>
      </c>
      <c r="D279" s="77">
        <f>D278*(BudgetsTable[[#This Row],[lead]]=K278)+(BudgetsTable[[#This Row],[prop_id]]&lt;&gt;A278)</f>
        <v>1</v>
      </c>
      <c r="E279" s="78">
        <v>42956.581944444442</v>
      </c>
      <c r="F279" s="79" t="s">
        <v>1621</v>
      </c>
      <c r="G279" s="79" t="s">
        <v>477</v>
      </c>
      <c r="H279" s="79" t="s">
        <v>578</v>
      </c>
      <c r="I279" s="77" t="s">
        <v>654</v>
      </c>
      <c r="J279" s="77" t="s">
        <v>13</v>
      </c>
      <c r="K279" s="79" t="s">
        <v>1155</v>
      </c>
      <c r="L279" s="7" t="str">
        <f>IF(BudgetsTable[[#This Row],[pi_last_name]]=" ","",HYPERLINK("https://www.ejacket.nsf.gov/ej/showProposal.do?Continue=Y&amp;ID="&amp;BudgetsTable[[#This Row],[prop_id]],BudgetsTable[[#This Row],[prop_id]]))</f>
        <v/>
      </c>
      <c r="M279" s="15" t="str">
        <f>IF(BudgetsTable[[#This Row],[pi_last_name]]=" ","",HYPERLINK("https://www.ejacket.nsf.gov/ej/processReviewAnalysis.do?dispatch=add&amp;uniqId="&amp;BudgetsTable[[#This Row],[prop_id]]&amp;PO_id,"&gt;ra"))</f>
        <v/>
      </c>
      <c r="N279" s="79" t="s">
        <v>13</v>
      </c>
      <c r="O279" s="7" t="str">
        <f>IF(BudgetsTable[[#This Row],[pi_last_name]]=" ","",HYPERLINK("mailto:"&amp;BudgetsTable[[#This Row],[pi_email]]&amp;"&amp;subject=Your NSF Proposal:  "&amp;BudgetsTable[[#This Row],[prop_id]],BudgetsTable[[#This Row],[pi_email]]))</f>
        <v/>
      </c>
      <c r="P279" s="79" t="s">
        <v>13</v>
      </c>
      <c r="Q279" s="79">
        <v>0</v>
      </c>
      <c r="R279" s="79">
        <v>0</v>
      </c>
      <c r="S279" s="80">
        <v>0</v>
      </c>
      <c r="T279" s="80">
        <v>4000</v>
      </c>
      <c r="U279" s="80">
        <v>0</v>
      </c>
      <c r="V279" s="81">
        <v>101049</v>
      </c>
      <c r="W279" s="79">
        <v>0</v>
      </c>
      <c r="X279" s="79">
        <v>2</v>
      </c>
      <c r="Y279" s="11" t="str">
        <f ca="1">IF(ISBLANK(BudgetsTable[[#This Row],[budg_seq_yr]]),"FY"&amp;fiscalyear,"FY"&amp;fiscalyear-1+BudgetsTable[[#This Row],[budg_seq_yr]])</f>
        <v>FY19</v>
      </c>
      <c r="Z279" s="80">
        <v>101049</v>
      </c>
      <c r="AA279" s="79" t="s">
        <v>477</v>
      </c>
      <c r="AB279" s="79" t="s">
        <v>578</v>
      </c>
      <c r="AC279" s="77" t="s">
        <v>94</v>
      </c>
      <c r="AD279" s="79" t="s">
        <v>1631</v>
      </c>
    </row>
    <row r="280" spans="1:30" x14ac:dyDescent="0.4">
      <c r="A280" s="10" t="s">
        <v>1164</v>
      </c>
      <c r="B280" s="77" t="s">
        <v>95</v>
      </c>
      <c r="C280" s="77">
        <f>C279+(BudgetsTable[[#This Row],[lead]]&lt;&gt;K279)</f>
        <v>61</v>
      </c>
      <c r="D280" s="77">
        <f>D279*(BudgetsTable[[#This Row],[lead]]=K279)+(BudgetsTable[[#This Row],[prop_id]]&lt;&gt;A279)</f>
        <v>1</v>
      </c>
      <c r="E280" s="78">
        <v>42956.588888888888</v>
      </c>
      <c r="F280" s="79" t="s">
        <v>1621</v>
      </c>
      <c r="G280" s="79" t="s">
        <v>1622</v>
      </c>
      <c r="H280" s="79" t="s">
        <v>580</v>
      </c>
      <c r="I280" s="77" t="s">
        <v>1166</v>
      </c>
      <c r="J280" s="77" t="s">
        <v>1664</v>
      </c>
      <c r="K280" s="79" t="s">
        <v>1164</v>
      </c>
      <c r="L280" s="7" t="str">
        <f>IF(BudgetsTable[[#This Row],[pi_last_name]]=" ","",HYPERLINK("https://www.ejacket.nsf.gov/ej/showProposal.do?Continue=Y&amp;ID="&amp;BudgetsTable[[#This Row],[prop_id]],BudgetsTable[[#This Row],[prop_id]]))</f>
        <v>1755801</v>
      </c>
      <c r="M280" s="15" t="e">
        <f>IF(BudgetsTable[[#This Row],[pi_last_name]]=" ","",HYPERLINK("https://www.ejacket.nsf.gov/ej/processReviewAnalysis.do?dispatch=add&amp;uniqId="&amp;BudgetsTable[[#This Row],[prop_id]]&amp;PO_id,"&gt;ra"))</f>
        <v>#REF!</v>
      </c>
      <c r="N280" s="79" t="s">
        <v>1165</v>
      </c>
      <c r="O280" s="7" t="str">
        <f>IF(BudgetsTable[[#This Row],[pi_last_name]]=" ","",HYPERLINK("mailto:"&amp;BudgetsTable[[#This Row],[pi_email]]&amp;"&amp;subject=Your NSF Proposal:  "&amp;BudgetsTable[[#This Row],[prop_id]],BudgetsTable[[#This Row],[pi_email]]))</f>
        <v>tzhao80@gatech.edu</v>
      </c>
      <c r="P280" s="79" t="s">
        <v>1661</v>
      </c>
      <c r="Q280" s="79"/>
      <c r="R280" s="79"/>
      <c r="S280" s="80"/>
      <c r="T280" s="80"/>
      <c r="U280" s="80"/>
      <c r="V280" s="81"/>
      <c r="W280" s="79">
        <v>0</v>
      </c>
      <c r="X280" s="79"/>
      <c r="Y280" s="11" t="str">
        <f ca="1">IF(ISBLANK(BudgetsTable[[#This Row],[budg_seq_yr]]),"FY"&amp;fiscalyear,"FY"&amp;fiscalyear-1+BudgetsTable[[#This Row],[budg_seq_yr]])</f>
        <v>FY18</v>
      </c>
      <c r="Z280" s="80">
        <v>175000</v>
      </c>
      <c r="AA280" s="79" t="s">
        <v>1622</v>
      </c>
      <c r="AB280" s="79" t="s">
        <v>580</v>
      </c>
      <c r="AC280" s="77" t="s">
        <v>94</v>
      </c>
      <c r="AD280" s="79" t="s">
        <v>1624</v>
      </c>
    </row>
    <row r="281" spans="1:30" x14ac:dyDescent="0.4">
      <c r="A281" s="10" t="s">
        <v>1164</v>
      </c>
      <c r="B281" s="77" t="s">
        <v>95</v>
      </c>
      <c r="C281" s="77">
        <f>C280+(BudgetsTable[[#This Row],[lead]]&lt;&gt;K280)</f>
        <v>61</v>
      </c>
      <c r="D281" s="77">
        <f>D280*(BudgetsTable[[#This Row],[lead]]=K280)+(BudgetsTable[[#This Row],[prop_id]]&lt;&gt;A280)</f>
        <v>1</v>
      </c>
      <c r="E281" s="78">
        <v>42956.588888888888</v>
      </c>
      <c r="F281" s="79" t="s">
        <v>1621</v>
      </c>
      <c r="G281" s="79" t="s">
        <v>1622</v>
      </c>
      <c r="H281" s="79" t="s">
        <v>580</v>
      </c>
      <c r="I281" s="77" t="s">
        <v>1166</v>
      </c>
      <c r="J281" s="77" t="s">
        <v>13</v>
      </c>
      <c r="K281" s="79" t="s">
        <v>1164</v>
      </c>
      <c r="L281" s="7" t="str">
        <f>IF(BudgetsTable[[#This Row],[pi_last_name]]=" ","",HYPERLINK("https://www.ejacket.nsf.gov/ej/showProposal.do?Continue=Y&amp;ID="&amp;BudgetsTable[[#This Row],[prop_id]],BudgetsTable[[#This Row],[prop_id]]))</f>
        <v/>
      </c>
      <c r="M281" s="15" t="str">
        <f>IF(BudgetsTable[[#This Row],[pi_last_name]]=" ","",HYPERLINK("https://www.ejacket.nsf.gov/ej/processReviewAnalysis.do?dispatch=add&amp;uniqId="&amp;BudgetsTable[[#This Row],[prop_id]]&amp;PO_id,"&gt;ra"))</f>
        <v/>
      </c>
      <c r="N281" s="79" t="s">
        <v>13</v>
      </c>
      <c r="O281" s="7" t="str">
        <f>IF(BudgetsTable[[#This Row],[pi_last_name]]=" ","",HYPERLINK("mailto:"&amp;BudgetsTable[[#This Row],[pi_email]]&amp;"&amp;subject=Your NSF Proposal:  "&amp;BudgetsTable[[#This Row],[prop_id]],BudgetsTable[[#This Row],[pi_email]]))</f>
        <v/>
      </c>
      <c r="P281" s="79" t="s">
        <v>13</v>
      </c>
      <c r="Q281" s="79">
        <v>0</v>
      </c>
      <c r="R281" s="79">
        <v>0</v>
      </c>
      <c r="S281" s="80">
        <v>0</v>
      </c>
      <c r="T281" s="80">
        <v>0</v>
      </c>
      <c r="U281" s="80">
        <v>0</v>
      </c>
      <c r="V281" s="81">
        <v>85511</v>
      </c>
      <c r="W281" s="79">
        <v>0</v>
      </c>
      <c r="X281" s="79">
        <v>1</v>
      </c>
      <c r="Y281" s="11" t="str">
        <f ca="1">IF(ISBLANK(BudgetsTable[[#This Row],[budg_seq_yr]]),"FY"&amp;fiscalyear,"FY"&amp;fiscalyear-1+BudgetsTable[[#This Row],[budg_seq_yr]])</f>
        <v>FY18</v>
      </c>
      <c r="Z281" s="80">
        <v>85511</v>
      </c>
      <c r="AA281" s="79" t="s">
        <v>1622</v>
      </c>
      <c r="AB281" s="79" t="s">
        <v>580</v>
      </c>
      <c r="AC281" s="77" t="s">
        <v>94</v>
      </c>
      <c r="AD281" s="79" t="s">
        <v>1624</v>
      </c>
    </row>
    <row r="282" spans="1:30" x14ac:dyDescent="0.4">
      <c r="A282" s="10" t="s">
        <v>1164</v>
      </c>
      <c r="B282" s="77" t="s">
        <v>95</v>
      </c>
      <c r="C282" s="77">
        <f>C281+(BudgetsTable[[#This Row],[lead]]&lt;&gt;K281)</f>
        <v>61</v>
      </c>
      <c r="D282" s="77">
        <f>D281*(BudgetsTable[[#This Row],[lead]]=K281)+(BudgetsTable[[#This Row],[prop_id]]&lt;&gt;A281)</f>
        <v>1</v>
      </c>
      <c r="E282" s="78">
        <v>42956.588888888888</v>
      </c>
      <c r="F282" s="79" t="s">
        <v>1621</v>
      </c>
      <c r="G282" s="79" t="s">
        <v>1622</v>
      </c>
      <c r="H282" s="79" t="s">
        <v>580</v>
      </c>
      <c r="I282" s="77" t="s">
        <v>1166</v>
      </c>
      <c r="J282" s="77" t="s">
        <v>13</v>
      </c>
      <c r="K282" s="79" t="s">
        <v>1164</v>
      </c>
      <c r="L282" s="7" t="str">
        <f>IF(BudgetsTable[[#This Row],[pi_last_name]]=" ","",HYPERLINK("https://www.ejacket.nsf.gov/ej/showProposal.do?Continue=Y&amp;ID="&amp;BudgetsTable[[#This Row],[prop_id]],BudgetsTable[[#This Row],[prop_id]]))</f>
        <v/>
      </c>
      <c r="M282" s="15" t="str">
        <f>IF(BudgetsTable[[#This Row],[pi_last_name]]=" ","",HYPERLINK("https://www.ejacket.nsf.gov/ej/processReviewAnalysis.do?dispatch=add&amp;uniqId="&amp;BudgetsTable[[#This Row],[prop_id]]&amp;PO_id,"&gt;ra"))</f>
        <v/>
      </c>
      <c r="N282" s="79" t="s">
        <v>13</v>
      </c>
      <c r="O282" s="7" t="str">
        <f>IF(BudgetsTable[[#This Row],[pi_last_name]]=" ","",HYPERLINK("mailto:"&amp;BudgetsTable[[#This Row],[pi_email]]&amp;"&amp;subject=Your NSF Proposal:  "&amp;BudgetsTable[[#This Row],[prop_id]],BudgetsTable[[#This Row],[pi_email]]))</f>
        <v/>
      </c>
      <c r="P282" s="79" t="s">
        <v>13</v>
      </c>
      <c r="Q282" s="79">
        <v>0</v>
      </c>
      <c r="R282" s="79">
        <v>0</v>
      </c>
      <c r="S282" s="80">
        <v>0</v>
      </c>
      <c r="T282" s="80">
        <v>0</v>
      </c>
      <c r="U282" s="80">
        <v>0</v>
      </c>
      <c r="V282" s="81">
        <v>89489</v>
      </c>
      <c r="W282" s="79">
        <v>0</v>
      </c>
      <c r="X282" s="79">
        <v>2</v>
      </c>
      <c r="Y282" s="11" t="str">
        <f ca="1">IF(ISBLANK(BudgetsTable[[#This Row],[budg_seq_yr]]),"FY"&amp;fiscalyear,"FY"&amp;fiscalyear-1+BudgetsTable[[#This Row],[budg_seq_yr]])</f>
        <v>FY19</v>
      </c>
      <c r="Z282" s="80">
        <v>89489</v>
      </c>
      <c r="AA282" s="79" t="s">
        <v>1622</v>
      </c>
      <c r="AB282" s="79" t="s">
        <v>580</v>
      </c>
      <c r="AC282" s="77" t="s">
        <v>94</v>
      </c>
      <c r="AD282" s="79" t="s">
        <v>1624</v>
      </c>
    </row>
    <row r="283" spans="1:30" x14ac:dyDescent="0.4">
      <c r="A283" s="10" t="s">
        <v>1194</v>
      </c>
      <c r="B283" s="77" t="s">
        <v>95</v>
      </c>
      <c r="C283" s="77">
        <f>C282+(BudgetsTable[[#This Row],[lead]]&lt;&gt;K282)</f>
        <v>62</v>
      </c>
      <c r="D283" s="77">
        <f>D282*(BudgetsTable[[#This Row],[lead]]=K282)+(BudgetsTable[[#This Row],[prop_id]]&lt;&gt;A282)</f>
        <v>1</v>
      </c>
      <c r="E283" s="78">
        <v>42956.621527777781</v>
      </c>
      <c r="F283" s="79" t="s">
        <v>1621</v>
      </c>
      <c r="G283" s="79" t="s">
        <v>477</v>
      </c>
      <c r="H283" s="79" t="s">
        <v>578</v>
      </c>
      <c r="I283" s="77" t="s">
        <v>611</v>
      </c>
      <c r="J283" s="77" t="s">
        <v>1669</v>
      </c>
      <c r="K283" s="79" t="s">
        <v>1194</v>
      </c>
      <c r="L283" s="7" t="str">
        <f>IF(BudgetsTable[[#This Row],[pi_last_name]]=" ","",HYPERLINK("https://www.ejacket.nsf.gov/ej/showProposal.do?Continue=Y&amp;ID="&amp;BudgetsTable[[#This Row],[prop_id]],BudgetsTable[[#This Row],[prop_id]]))</f>
        <v>1755847</v>
      </c>
      <c r="M283" s="15" t="e">
        <f>IF(BudgetsTable[[#This Row],[pi_last_name]]=" ","",HYPERLINK("https://www.ejacket.nsf.gov/ej/processReviewAnalysis.do?dispatch=add&amp;uniqId="&amp;BudgetsTable[[#This Row],[prop_id]]&amp;PO_id,"&gt;ra"))</f>
        <v>#REF!</v>
      </c>
      <c r="N283" s="79" t="s">
        <v>1195</v>
      </c>
      <c r="O283" s="7" t="str">
        <f>IF(BudgetsTable[[#This Row],[pi_last_name]]=" ","",HYPERLINK("mailto:"&amp;BudgetsTable[[#This Row],[pi_email]]&amp;"&amp;subject=Your NSF Proposal:  "&amp;BudgetsTable[[#This Row],[prop_id]],BudgetsTable[[#This Row],[pi_email]]))</f>
        <v>ruoyus@illinois.edu</v>
      </c>
      <c r="P283" s="79" t="s">
        <v>1477</v>
      </c>
      <c r="Q283" s="79"/>
      <c r="R283" s="79"/>
      <c r="S283" s="80"/>
      <c r="T283" s="80"/>
      <c r="U283" s="80"/>
      <c r="V283" s="81"/>
      <c r="W283" s="79">
        <v>0</v>
      </c>
      <c r="X283" s="79"/>
      <c r="Y283" s="11" t="str">
        <f ca="1">IF(ISBLANK(BudgetsTable[[#This Row],[budg_seq_yr]]),"FY"&amp;fiscalyear,"FY"&amp;fiscalyear-1+BudgetsTable[[#This Row],[budg_seq_yr]])</f>
        <v>FY18</v>
      </c>
      <c r="Z283" s="80">
        <v>175000</v>
      </c>
      <c r="AA283" s="79" t="s">
        <v>477</v>
      </c>
      <c r="AB283" s="79" t="s">
        <v>578</v>
      </c>
      <c r="AC283" s="77" t="s">
        <v>94</v>
      </c>
      <c r="AD283" s="79" t="s">
        <v>1665</v>
      </c>
    </row>
    <row r="284" spans="1:30" x14ac:dyDescent="0.4">
      <c r="A284" s="10" t="s">
        <v>1194</v>
      </c>
      <c r="B284" s="77" t="s">
        <v>95</v>
      </c>
      <c r="C284" s="77">
        <f>C283+(BudgetsTable[[#This Row],[lead]]&lt;&gt;K283)</f>
        <v>62</v>
      </c>
      <c r="D284" s="77">
        <f>D283*(BudgetsTable[[#This Row],[lead]]=K283)+(BudgetsTable[[#This Row],[prop_id]]&lt;&gt;A283)</f>
        <v>1</v>
      </c>
      <c r="E284" s="78">
        <v>42956.621527777781</v>
      </c>
      <c r="F284" s="79" t="s">
        <v>1621</v>
      </c>
      <c r="G284" s="79" t="s">
        <v>477</v>
      </c>
      <c r="H284" s="79" t="s">
        <v>578</v>
      </c>
      <c r="I284" s="77" t="s">
        <v>611</v>
      </c>
      <c r="J284" s="77" t="s">
        <v>13</v>
      </c>
      <c r="K284" s="79" t="s">
        <v>1194</v>
      </c>
      <c r="L284" s="7" t="str">
        <f>IF(BudgetsTable[[#This Row],[pi_last_name]]=" ","",HYPERLINK("https://www.ejacket.nsf.gov/ej/showProposal.do?Continue=Y&amp;ID="&amp;BudgetsTable[[#This Row],[prop_id]],BudgetsTable[[#This Row],[prop_id]]))</f>
        <v/>
      </c>
      <c r="M284" s="15" t="str">
        <f>IF(BudgetsTable[[#This Row],[pi_last_name]]=" ","",HYPERLINK("https://www.ejacket.nsf.gov/ej/processReviewAnalysis.do?dispatch=add&amp;uniqId="&amp;BudgetsTable[[#This Row],[prop_id]]&amp;PO_id,"&gt;ra"))</f>
        <v/>
      </c>
      <c r="N284" s="79" t="s">
        <v>13</v>
      </c>
      <c r="O284" s="7" t="str">
        <f>IF(BudgetsTable[[#This Row],[pi_last_name]]=" ","",HYPERLINK("mailto:"&amp;BudgetsTable[[#This Row],[pi_email]]&amp;"&amp;subject=Your NSF Proposal:  "&amp;BudgetsTable[[#This Row],[prop_id]],BudgetsTable[[#This Row],[pi_email]]))</f>
        <v/>
      </c>
      <c r="P284" s="79" t="s">
        <v>13</v>
      </c>
      <c r="Q284" s="79">
        <v>0</v>
      </c>
      <c r="R284" s="79">
        <v>0</v>
      </c>
      <c r="S284" s="80">
        <v>0</v>
      </c>
      <c r="T284" s="80">
        <v>2000</v>
      </c>
      <c r="U284" s="80">
        <v>0</v>
      </c>
      <c r="V284" s="81">
        <v>86350</v>
      </c>
      <c r="W284" s="79">
        <v>0</v>
      </c>
      <c r="X284" s="79">
        <v>1</v>
      </c>
      <c r="Y284" s="11" t="str">
        <f ca="1">IF(ISBLANK(BudgetsTable[[#This Row],[budg_seq_yr]]),"FY"&amp;fiscalyear,"FY"&amp;fiscalyear-1+BudgetsTable[[#This Row],[budg_seq_yr]])</f>
        <v>FY18</v>
      </c>
      <c r="Z284" s="80">
        <v>86350</v>
      </c>
      <c r="AA284" s="79" t="s">
        <v>477</v>
      </c>
      <c r="AB284" s="79" t="s">
        <v>578</v>
      </c>
      <c r="AC284" s="77" t="s">
        <v>94</v>
      </c>
      <c r="AD284" s="79" t="s">
        <v>1665</v>
      </c>
    </row>
    <row r="285" spans="1:30" x14ac:dyDescent="0.4">
      <c r="A285" s="10" t="s">
        <v>1194</v>
      </c>
      <c r="B285" s="77" t="s">
        <v>95</v>
      </c>
      <c r="C285" s="77">
        <f>C284+(BudgetsTable[[#This Row],[lead]]&lt;&gt;K284)</f>
        <v>62</v>
      </c>
      <c r="D285" s="77">
        <f>D284*(BudgetsTable[[#This Row],[lead]]=K284)+(BudgetsTable[[#This Row],[prop_id]]&lt;&gt;A284)</f>
        <v>1</v>
      </c>
      <c r="E285" s="78">
        <v>42956.621527777781</v>
      </c>
      <c r="F285" s="79" t="s">
        <v>1621</v>
      </c>
      <c r="G285" s="79" t="s">
        <v>477</v>
      </c>
      <c r="H285" s="79" t="s">
        <v>578</v>
      </c>
      <c r="I285" s="77" t="s">
        <v>611</v>
      </c>
      <c r="J285" s="77" t="s">
        <v>13</v>
      </c>
      <c r="K285" s="79" t="s">
        <v>1194</v>
      </c>
      <c r="L285" s="7" t="str">
        <f>IF(BudgetsTable[[#This Row],[pi_last_name]]=" ","",HYPERLINK("https://www.ejacket.nsf.gov/ej/showProposal.do?Continue=Y&amp;ID="&amp;BudgetsTable[[#This Row],[prop_id]],BudgetsTable[[#This Row],[prop_id]]))</f>
        <v/>
      </c>
      <c r="M285" s="15" t="str">
        <f>IF(BudgetsTable[[#This Row],[pi_last_name]]=" ","",HYPERLINK("https://www.ejacket.nsf.gov/ej/processReviewAnalysis.do?dispatch=add&amp;uniqId="&amp;BudgetsTable[[#This Row],[prop_id]]&amp;PO_id,"&gt;ra"))</f>
        <v/>
      </c>
      <c r="N285" s="79" t="s">
        <v>13</v>
      </c>
      <c r="O285" s="7" t="str">
        <f>IF(BudgetsTable[[#This Row],[pi_last_name]]=" ","",HYPERLINK("mailto:"&amp;BudgetsTable[[#This Row],[pi_email]]&amp;"&amp;subject=Your NSF Proposal:  "&amp;BudgetsTable[[#This Row],[prop_id]],BudgetsTable[[#This Row],[pi_email]]))</f>
        <v/>
      </c>
      <c r="P285" s="79" t="s">
        <v>13</v>
      </c>
      <c r="Q285" s="79">
        <v>0</v>
      </c>
      <c r="R285" s="79">
        <v>0</v>
      </c>
      <c r="S285" s="80">
        <v>0</v>
      </c>
      <c r="T285" s="80">
        <v>2000</v>
      </c>
      <c r="U285" s="80">
        <v>0</v>
      </c>
      <c r="V285" s="81">
        <v>88650</v>
      </c>
      <c r="W285" s="79">
        <v>0</v>
      </c>
      <c r="X285" s="79">
        <v>2</v>
      </c>
      <c r="Y285" s="11" t="str">
        <f ca="1">IF(ISBLANK(BudgetsTable[[#This Row],[budg_seq_yr]]),"FY"&amp;fiscalyear,"FY"&amp;fiscalyear-1+BudgetsTable[[#This Row],[budg_seq_yr]])</f>
        <v>FY19</v>
      </c>
      <c r="Z285" s="80">
        <v>88650</v>
      </c>
      <c r="AA285" s="79" t="s">
        <v>477</v>
      </c>
      <c r="AB285" s="79" t="s">
        <v>578</v>
      </c>
      <c r="AC285" s="77" t="s">
        <v>94</v>
      </c>
      <c r="AD285" s="79" t="s">
        <v>1665</v>
      </c>
    </row>
    <row r="286" spans="1:30" x14ac:dyDescent="0.4">
      <c r="A286" s="10" t="s">
        <v>1201</v>
      </c>
      <c r="B286" s="77" t="s">
        <v>95</v>
      </c>
      <c r="C286" s="77">
        <f>C285+(BudgetsTable[[#This Row],[lead]]&lt;&gt;K285)</f>
        <v>63</v>
      </c>
      <c r="D286" s="77">
        <f>D285*(BudgetsTable[[#This Row],[lead]]=K285)+(BudgetsTable[[#This Row],[prop_id]]&lt;&gt;A285)</f>
        <v>1</v>
      </c>
      <c r="E286" s="78">
        <v>42956.647916666669</v>
      </c>
      <c r="F286" s="79" t="s">
        <v>1621</v>
      </c>
      <c r="G286" s="79" t="s">
        <v>477</v>
      </c>
      <c r="H286" s="79" t="s">
        <v>578</v>
      </c>
      <c r="I286" s="77" t="s">
        <v>604</v>
      </c>
      <c r="J286" s="77" t="s">
        <v>1675</v>
      </c>
      <c r="K286" s="79" t="s">
        <v>1201</v>
      </c>
      <c r="L286" s="7" t="str">
        <f>IF(BudgetsTable[[#This Row],[pi_last_name]]=" ","",HYPERLINK("https://www.ejacket.nsf.gov/ej/showProposal.do?Continue=Y&amp;ID="&amp;BudgetsTable[[#This Row],[prop_id]],BudgetsTable[[#This Row],[prop_id]]))</f>
        <v>1755881</v>
      </c>
      <c r="M286" s="15" t="e">
        <f>IF(BudgetsTable[[#This Row],[pi_last_name]]=" ","",HYPERLINK("https://www.ejacket.nsf.gov/ej/processReviewAnalysis.do?dispatch=add&amp;uniqId="&amp;BudgetsTable[[#This Row],[prop_id]]&amp;PO_id,"&gt;ra"))</f>
        <v>#REF!</v>
      </c>
      <c r="N286" s="79" t="s">
        <v>1202</v>
      </c>
      <c r="O286" s="7" t="str">
        <f>IF(BudgetsTable[[#This Row],[pi_last_name]]=" ","",HYPERLINK("mailto:"&amp;BudgetsTable[[#This Row],[pi_email]]&amp;"&amp;subject=Your NSF Proposal:  "&amp;BudgetsTable[[#This Row],[prop_id]],BudgetsTable[[#This Row],[pi_email]]))</f>
        <v>osan@okstate.edu</v>
      </c>
      <c r="P286" s="79" t="s">
        <v>1672</v>
      </c>
      <c r="Q286" s="79"/>
      <c r="R286" s="79"/>
      <c r="S286" s="80"/>
      <c r="T286" s="80"/>
      <c r="U286" s="80"/>
      <c r="V286" s="81"/>
      <c r="W286" s="79">
        <v>0</v>
      </c>
      <c r="X286" s="79"/>
      <c r="Y286" s="11" t="str">
        <f ca="1">IF(ISBLANK(BudgetsTable[[#This Row],[budg_seq_yr]]),"FY"&amp;fiscalyear,"FY"&amp;fiscalyear-1+BudgetsTable[[#This Row],[budg_seq_yr]])</f>
        <v>FY18</v>
      </c>
      <c r="Z286" s="80">
        <v>170144</v>
      </c>
      <c r="AA286" s="79" t="s">
        <v>477</v>
      </c>
      <c r="AB286" s="79" t="s">
        <v>578</v>
      </c>
      <c r="AC286" s="77" t="s">
        <v>94</v>
      </c>
      <c r="AD286" s="79" t="s">
        <v>1670</v>
      </c>
    </row>
    <row r="287" spans="1:30" x14ac:dyDescent="0.4">
      <c r="A287" s="10" t="s">
        <v>1201</v>
      </c>
      <c r="B287" s="77" t="s">
        <v>95</v>
      </c>
      <c r="C287" s="77">
        <f>C286+(BudgetsTable[[#This Row],[lead]]&lt;&gt;K286)</f>
        <v>63</v>
      </c>
      <c r="D287" s="77">
        <f>D286*(BudgetsTable[[#This Row],[lead]]=K286)+(BudgetsTable[[#This Row],[prop_id]]&lt;&gt;A286)</f>
        <v>1</v>
      </c>
      <c r="E287" s="78">
        <v>42956.647916666669</v>
      </c>
      <c r="F287" s="79" t="s">
        <v>1621</v>
      </c>
      <c r="G287" s="79" t="s">
        <v>477</v>
      </c>
      <c r="H287" s="79" t="s">
        <v>578</v>
      </c>
      <c r="I287" s="77" t="s">
        <v>604</v>
      </c>
      <c r="J287" s="77" t="s">
        <v>13</v>
      </c>
      <c r="K287" s="79" t="s">
        <v>1201</v>
      </c>
      <c r="L287" s="7" t="str">
        <f>IF(BudgetsTable[[#This Row],[pi_last_name]]=" ","",HYPERLINK("https://www.ejacket.nsf.gov/ej/showProposal.do?Continue=Y&amp;ID="&amp;BudgetsTable[[#This Row],[prop_id]],BudgetsTable[[#This Row],[prop_id]]))</f>
        <v/>
      </c>
      <c r="M287" s="15" t="str">
        <f>IF(BudgetsTable[[#This Row],[pi_last_name]]=" ","",HYPERLINK("https://www.ejacket.nsf.gov/ej/processReviewAnalysis.do?dispatch=add&amp;uniqId="&amp;BudgetsTable[[#This Row],[prop_id]]&amp;PO_id,"&gt;ra"))</f>
        <v/>
      </c>
      <c r="N287" s="79" t="s">
        <v>13</v>
      </c>
      <c r="O287" s="7" t="str">
        <f>IF(BudgetsTable[[#This Row],[pi_last_name]]=" ","",HYPERLINK("mailto:"&amp;BudgetsTable[[#This Row],[pi_email]]&amp;"&amp;subject=Your NSF Proposal:  "&amp;BudgetsTable[[#This Row],[prop_id]],BudgetsTable[[#This Row],[pi_email]]))</f>
        <v/>
      </c>
      <c r="P287" s="79" t="s">
        <v>13</v>
      </c>
      <c r="Q287" s="79">
        <v>0</v>
      </c>
      <c r="R287" s="79">
        <v>0</v>
      </c>
      <c r="S287" s="80">
        <v>0</v>
      </c>
      <c r="T287" s="80">
        <v>0</v>
      </c>
      <c r="U287" s="80">
        <v>0</v>
      </c>
      <c r="V287" s="81">
        <v>83724</v>
      </c>
      <c r="W287" s="79">
        <v>0</v>
      </c>
      <c r="X287" s="79">
        <v>1</v>
      </c>
      <c r="Y287" s="11" t="str">
        <f ca="1">IF(ISBLANK(BudgetsTable[[#This Row],[budg_seq_yr]]),"FY"&amp;fiscalyear,"FY"&amp;fiscalyear-1+BudgetsTable[[#This Row],[budg_seq_yr]])</f>
        <v>FY18</v>
      </c>
      <c r="Z287" s="80">
        <v>83724</v>
      </c>
      <c r="AA287" s="79" t="s">
        <v>477</v>
      </c>
      <c r="AB287" s="79" t="s">
        <v>578</v>
      </c>
      <c r="AC287" s="77" t="s">
        <v>94</v>
      </c>
      <c r="AD287" s="79" t="s">
        <v>1670</v>
      </c>
    </row>
    <row r="288" spans="1:30" x14ac:dyDescent="0.4">
      <c r="A288" s="10" t="s">
        <v>1201</v>
      </c>
      <c r="B288" s="77" t="s">
        <v>95</v>
      </c>
      <c r="C288" s="77">
        <f>C287+(BudgetsTable[[#This Row],[lead]]&lt;&gt;K287)</f>
        <v>63</v>
      </c>
      <c r="D288" s="77">
        <f>D287*(BudgetsTable[[#This Row],[lead]]=K287)+(BudgetsTable[[#This Row],[prop_id]]&lt;&gt;A287)</f>
        <v>1</v>
      </c>
      <c r="E288" s="78">
        <v>42956.647916666669</v>
      </c>
      <c r="F288" s="79" t="s">
        <v>1621</v>
      </c>
      <c r="G288" s="79" t="s">
        <v>477</v>
      </c>
      <c r="H288" s="79" t="s">
        <v>578</v>
      </c>
      <c r="I288" s="77" t="s">
        <v>604</v>
      </c>
      <c r="J288" s="77" t="s">
        <v>13</v>
      </c>
      <c r="K288" s="79" t="s">
        <v>1201</v>
      </c>
      <c r="L288" s="7" t="str">
        <f>IF(BudgetsTable[[#This Row],[pi_last_name]]=" ","",HYPERLINK("https://www.ejacket.nsf.gov/ej/showProposal.do?Continue=Y&amp;ID="&amp;BudgetsTable[[#This Row],[prop_id]],BudgetsTable[[#This Row],[prop_id]]))</f>
        <v/>
      </c>
      <c r="M288" s="15" t="str">
        <f>IF(BudgetsTable[[#This Row],[pi_last_name]]=" ","",HYPERLINK("https://www.ejacket.nsf.gov/ej/processReviewAnalysis.do?dispatch=add&amp;uniqId="&amp;BudgetsTable[[#This Row],[prop_id]]&amp;PO_id,"&gt;ra"))</f>
        <v/>
      </c>
      <c r="N288" s="79" t="s">
        <v>13</v>
      </c>
      <c r="O288" s="7" t="str">
        <f>IF(BudgetsTable[[#This Row],[pi_last_name]]=" ","",HYPERLINK("mailto:"&amp;BudgetsTable[[#This Row],[pi_email]]&amp;"&amp;subject=Your NSF Proposal:  "&amp;BudgetsTable[[#This Row],[prop_id]],BudgetsTable[[#This Row],[pi_email]]))</f>
        <v/>
      </c>
      <c r="P288" s="79" t="s">
        <v>13</v>
      </c>
      <c r="Q288" s="79">
        <v>0</v>
      </c>
      <c r="R288" s="79">
        <v>0</v>
      </c>
      <c r="S288" s="80">
        <v>0</v>
      </c>
      <c r="T288" s="80">
        <v>0</v>
      </c>
      <c r="U288" s="80">
        <v>0</v>
      </c>
      <c r="V288" s="81">
        <v>86420</v>
      </c>
      <c r="W288" s="79">
        <v>0</v>
      </c>
      <c r="X288" s="79">
        <v>2</v>
      </c>
      <c r="Y288" s="11" t="str">
        <f ca="1">IF(ISBLANK(BudgetsTable[[#This Row],[budg_seq_yr]]),"FY"&amp;fiscalyear,"FY"&amp;fiscalyear-1+BudgetsTable[[#This Row],[budg_seq_yr]])</f>
        <v>FY19</v>
      </c>
      <c r="Z288" s="80">
        <v>86420</v>
      </c>
      <c r="AA288" s="79" t="s">
        <v>477</v>
      </c>
      <c r="AB288" s="79" t="s">
        <v>578</v>
      </c>
      <c r="AC288" s="77" t="s">
        <v>94</v>
      </c>
      <c r="AD288" s="79" t="s">
        <v>1670</v>
      </c>
    </row>
    <row r="289" spans="1:30" x14ac:dyDescent="0.4">
      <c r="A289" s="10" t="s">
        <v>1209</v>
      </c>
      <c r="B289" s="77" t="s">
        <v>95</v>
      </c>
      <c r="C289" s="77">
        <f>C288+(BudgetsTable[[#This Row],[lead]]&lt;&gt;K288)</f>
        <v>64</v>
      </c>
      <c r="D289" s="77">
        <f>D288*(BudgetsTable[[#This Row],[lead]]=K288)+(BudgetsTable[[#This Row],[prop_id]]&lt;&gt;A288)</f>
        <v>1</v>
      </c>
      <c r="E289" s="78">
        <v>42956.648611111108</v>
      </c>
      <c r="F289" s="79" t="s">
        <v>1621</v>
      </c>
      <c r="G289" s="79" t="s">
        <v>477</v>
      </c>
      <c r="H289" s="79" t="s">
        <v>578</v>
      </c>
      <c r="I289" s="77" t="s">
        <v>611</v>
      </c>
      <c r="J289" s="77" t="s">
        <v>1679</v>
      </c>
      <c r="K289" s="79" t="s">
        <v>1209</v>
      </c>
      <c r="L289" s="7" t="str">
        <f>IF(BudgetsTable[[#This Row],[pi_last_name]]=" ","",HYPERLINK("https://www.ejacket.nsf.gov/ej/showProposal.do?Continue=Y&amp;ID="&amp;BudgetsTable[[#This Row],[prop_id]],BudgetsTable[[#This Row],[prop_id]]))</f>
        <v>1755885</v>
      </c>
      <c r="M289" s="15" t="e">
        <f>IF(BudgetsTable[[#This Row],[pi_last_name]]=" ","",HYPERLINK("https://www.ejacket.nsf.gov/ej/processReviewAnalysis.do?dispatch=add&amp;uniqId="&amp;BudgetsTable[[#This Row],[prop_id]]&amp;PO_id,"&gt;ra"))</f>
        <v>#REF!</v>
      </c>
      <c r="N289" s="79" t="s">
        <v>1210</v>
      </c>
      <c r="O289" s="7" t="str">
        <f>IF(BudgetsTable[[#This Row],[pi_last_name]]=" ","",HYPERLINK("mailto:"&amp;BudgetsTable[[#This Row],[pi_email]]&amp;"&amp;subject=Your NSF Proposal:  "&amp;BudgetsTable[[#This Row],[prop_id]],BudgetsTable[[#This Row],[pi_email]]))</f>
        <v>hhvcs@rit.edu</v>
      </c>
      <c r="P289" s="79" t="s">
        <v>1676</v>
      </c>
      <c r="Q289" s="79"/>
      <c r="R289" s="79"/>
      <c r="S289" s="80"/>
      <c r="T289" s="80"/>
      <c r="U289" s="80"/>
      <c r="V289" s="81"/>
      <c r="W289" s="79">
        <v>0</v>
      </c>
      <c r="X289" s="79"/>
      <c r="Y289" s="11" t="str">
        <f ca="1">IF(ISBLANK(BudgetsTable[[#This Row],[budg_seq_yr]]),"FY"&amp;fiscalyear,"FY"&amp;fiscalyear-1+BudgetsTable[[#This Row],[budg_seq_yr]])</f>
        <v>FY18</v>
      </c>
      <c r="Z289" s="80">
        <v>173878</v>
      </c>
      <c r="AA289" s="79" t="s">
        <v>477</v>
      </c>
      <c r="AB289" s="79" t="s">
        <v>578</v>
      </c>
      <c r="AC289" s="77" t="s">
        <v>94</v>
      </c>
      <c r="AD289" s="79" t="s">
        <v>1646</v>
      </c>
    </row>
    <row r="290" spans="1:30" x14ac:dyDescent="0.4">
      <c r="A290" s="10" t="s">
        <v>1209</v>
      </c>
      <c r="B290" s="77" t="s">
        <v>95</v>
      </c>
      <c r="C290" s="77">
        <f>C289+(BudgetsTable[[#This Row],[lead]]&lt;&gt;K289)</f>
        <v>64</v>
      </c>
      <c r="D290" s="77">
        <f>D289*(BudgetsTable[[#This Row],[lead]]=K289)+(BudgetsTable[[#This Row],[prop_id]]&lt;&gt;A289)</f>
        <v>1</v>
      </c>
      <c r="E290" s="78">
        <v>42956.648611111108</v>
      </c>
      <c r="F290" s="79" t="s">
        <v>1621</v>
      </c>
      <c r="G290" s="79" t="s">
        <v>477</v>
      </c>
      <c r="H290" s="79" t="s">
        <v>578</v>
      </c>
      <c r="I290" s="77" t="s">
        <v>611</v>
      </c>
      <c r="J290" s="77" t="s">
        <v>13</v>
      </c>
      <c r="K290" s="79" t="s">
        <v>1209</v>
      </c>
      <c r="L290" s="7" t="str">
        <f>IF(BudgetsTable[[#This Row],[pi_last_name]]=" ","",HYPERLINK("https://www.ejacket.nsf.gov/ej/showProposal.do?Continue=Y&amp;ID="&amp;BudgetsTable[[#This Row],[prop_id]],BudgetsTable[[#This Row],[prop_id]]))</f>
        <v/>
      </c>
      <c r="M290" s="15" t="str">
        <f>IF(BudgetsTable[[#This Row],[pi_last_name]]=" ","",HYPERLINK("https://www.ejacket.nsf.gov/ej/processReviewAnalysis.do?dispatch=add&amp;uniqId="&amp;BudgetsTable[[#This Row],[prop_id]]&amp;PO_id,"&gt;ra"))</f>
        <v/>
      </c>
      <c r="N290" s="79" t="s">
        <v>13</v>
      </c>
      <c r="O290" s="7" t="str">
        <f>IF(BudgetsTable[[#This Row],[pi_last_name]]=" ","",HYPERLINK("mailto:"&amp;BudgetsTable[[#This Row],[pi_email]]&amp;"&amp;subject=Your NSF Proposal:  "&amp;BudgetsTable[[#This Row],[prop_id]],BudgetsTable[[#This Row],[pi_email]]))</f>
        <v/>
      </c>
      <c r="P290" s="79" t="s">
        <v>13</v>
      </c>
      <c r="Q290" s="79">
        <v>0</v>
      </c>
      <c r="R290" s="79">
        <v>0</v>
      </c>
      <c r="S290" s="80">
        <v>0</v>
      </c>
      <c r="T290" s="80">
        <v>0</v>
      </c>
      <c r="U290" s="80">
        <v>0</v>
      </c>
      <c r="V290" s="81">
        <v>93775</v>
      </c>
      <c r="W290" s="79">
        <v>0</v>
      </c>
      <c r="X290" s="79">
        <v>1</v>
      </c>
      <c r="Y290" s="11" t="str">
        <f ca="1">IF(ISBLANK(BudgetsTable[[#This Row],[budg_seq_yr]]),"FY"&amp;fiscalyear,"FY"&amp;fiscalyear-1+BudgetsTable[[#This Row],[budg_seq_yr]])</f>
        <v>FY18</v>
      </c>
      <c r="Z290" s="80">
        <v>93775</v>
      </c>
      <c r="AA290" s="79" t="s">
        <v>477</v>
      </c>
      <c r="AB290" s="79" t="s">
        <v>578</v>
      </c>
      <c r="AC290" s="77" t="s">
        <v>94</v>
      </c>
      <c r="AD290" s="79" t="s">
        <v>1646</v>
      </c>
    </row>
    <row r="291" spans="1:30" x14ac:dyDescent="0.4">
      <c r="A291" s="10" t="s">
        <v>1209</v>
      </c>
      <c r="B291" s="77" t="s">
        <v>95</v>
      </c>
      <c r="C291" s="77">
        <f>C290+(BudgetsTable[[#This Row],[lead]]&lt;&gt;K290)</f>
        <v>64</v>
      </c>
      <c r="D291" s="77">
        <f>D290*(BudgetsTable[[#This Row],[lead]]=K290)+(BudgetsTable[[#This Row],[prop_id]]&lt;&gt;A290)</f>
        <v>1</v>
      </c>
      <c r="E291" s="78">
        <v>42956.648611111108</v>
      </c>
      <c r="F291" s="79" t="s">
        <v>1621</v>
      </c>
      <c r="G291" s="79" t="s">
        <v>477</v>
      </c>
      <c r="H291" s="79" t="s">
        <v>578</v>
      </c>
      <c r="I291" s="77" t="s">
        <v>611</v>
      </c>
      <c r="J291" s="77" t="s">
        <v>13</v>
      </c>
      <c r="K291" s="79" t="s">
        <v>1209</v>
      </c>
      <c r="L291" s="7" t="str">
        <f>IF(BudgetsTable[[#This Row],[pi_last_name]]=" ","",HYPERLINK("https://www.ejacket.nsf.gov/ej/showProposal.do?Continue=Y&amp;ID="&amp;BudgetsTable[[#This Row],[prop_id]],BudgetsTable[[#This Row],[prop_id]]))</f>
        <v/>
      </c>
      <c r="M291" s="15" t="str">
        <f>IF(BudgetsTable[[#This Row],[pi_last_name]]=" ","",HYPERLINK("https://www.ejacket.nsf.gov/ej/processReviewAnalysis.do?dispatch=add&amp;uniqId="&amp;BudgetsTable[[#This Row],[prop_id]]&amp;PO_id,"&gt;ra"))</f>
        <v/>
      </c>
      <c r="N291" s="79" t="s">
        <v>13</v>
      </c>
      <c r="O291" s="7" t="str">
        <f>IF(BudgetsTable[[#This Row],[pi_last_name]]=" ","",HYPERLINK("mailto:"&amp;BudgetsTable[[#This Row],[pi_email]]&amp;"&amp;subject=Your NSF Proposal:  "&amp;BudgetsTable[[#This Row],[prop_id]],BudgetsTable[[#This Row],[pi_email]]))</f>
        <v/>
      </c>
      <c r="P291" s="79" t="s">
        <v>13</v>
      </c>
      <c r="Q291" s="79">
        <v>0</v>
      </c>
      <c r="R291" s="79">
        <v>0</v>
      </c>
      <c r="S291" s="80">
        <v>0</v>
      </c>
      <c r="T291" s="80">
        <v>3000</v>
      </c>
      <c r="U291" s="80">
        <v>0</v>
      </c>
      <c r="V291" s="81">
        <v>80103</v>
      </c>
      <c r="W291" s="79">
        <v>0</v>
      </c>
      <c r="X291" s="79">
        <v>2</v>
      </c>
      <c r="Y291" s="11" t="str">
        <f ca="1">IF(ISBLANK(BudgetsTable[[#This Row],[budg_seq_yr]]),"FY"&amp;fiscalyear,"FY"&amp;fiscalyear-1+BudgetsTable[[#This Row],[budg_seq_yr]])</f>
        <v>FY19</v>
      </c>
      <c r="Z291" s="80">
        <v>80103</v>
      </c>
      <c r="AA291" s="79" t="s">
        <v>477</v>
      </c>
      <c r="AB291" s="79" t="s">
        <v>578</v>
      </c>
      <c r="AC291" s="77" t="s">
        <v>94</v>
      </c>
      <c r="AD291" s="79" t="s">
        <v>1646</v>
      </c>
    </row>
    <row r="292" spans="1:30" x14ac:dyDescent="0.4">
      <c r="A292" s="10" t="s">
        <v>1217</v>
      </c>
      <c r="B292" s="77" t="s">
        <v>95</v>
      </c>
      <c r="C292" s="77">
        <f>C291+(BudgetsTable[[#This Row],[lead]]&lt;&gt;K291)</f>
        <v>65</v>
      </c>
      <c r="D292" s="77">
        <f>D291*(BudgetsTable[[#This Row],[lead]]=K291)+(BudgetsTable[[#This Row],[prop_id]]&lt;&gt;A291)</f>
        <v>1</v>
      </c>
      <c r="E292" s="78">
        <v>42956.678472222222</v>
      </c>
      <c r="F292" s="79" t="s">
        <v>1621</v>
      </c>
      <c r="G292" s="79" t="s">
        <v>477</v>
      </c>
      <c r="H292" s="79" t="s">
        <v>578</v>
      </c>
      <c r="I292" s="77" t="s">
        <v>611</v>
      </c>
      <c r="J292" s="77" t="s">
        <v>1683</v>
      </c>
      <c r="K292" s="79" t="s">
        <v>1217</v>
      </c>
      <c r="L292" s="7" t="str">
        <f>IF(BudgetsTable[[#This Row],[pi_last_name]]=" ","",HYPERLINK("https://www.ejacket.nsf.gov/ej/showProposal.do?Continue=Y&amp;ID="&amp;BudgetsTable[[#This Row],[prop_id]],BudgetsTable[[#This Row],[prop_id]]))</f>
        <v>1755921</v>
      </c>
      <c r="M292" s="15" t="e">
        <f>IF(BudgetsTable[[#This Row],[pi_last_name]]=" ","",HYPERLINK("https://www.ejacket.nsf.gov/ej/processReviewAnalysis.do?dispatch=add&amp;uniqId="&amp;BudgetsTable[[#This Row],[prop_id]]&amp;PO_id,"&gt;ra"))</f>
        <v>#REF!</v>
      </c>
      <c r="N292" s="79" t="s">
        <v>1218</v>
      </c>
      <c r="O292" s="7" t="str">
        <f>IF(BudgetsTable[[#This Row],[pi_last_name]]=" ","",HYPERLINK("mailto:"&amp;BudgetsTable[[#This Row],[pi_email]]&amp;"&amp;subject=Your NSF Proposal:  "&amp;BudgetsTable[[#This Row],[prop_id]],BudgetsTable[[#This Row],[pi_email]]))</f>
        <v>miforbes@illinois.edu</v>
      </c>
      <c r="P292" s="79" t="s">
        <v>1477</v>
      </c>
      <c r="Q292" s="79"/>
      <c r="R292" s="79"/>
      <c r="S292" s="80"/>
      <c r="T292" s="80"/>
      <c r="U292" s="80"/>
      <c r="V292" s="81"/>
      <c r="W292" s="79">
        <v>0</v>
      </c>
      <c r="X292" s="79"/>
      <c r="Y292" s="11" t="str">
        <f ca="1">IF(ISBLANK(BudgetsTable[[#This Row],[budg_seq_yr]]),"FY"&amp;fiscalyear,"FY"&amp;fiscalyear-1+BudgetsTable[[#This Row],[budg_seq_yr]])</f>
        <v>FY18</v>
      </c>
      <c r="Z292" s="80">
        <v>175000</v>
      </c>
      <c r="AA292" s="79" t="s">
        <v>477</v>
      </c>
      <c r="AB292" s="79" t="s">
        <v>578</v>
      </c>
      <c r="AC292" s="77" t="s">
        <v>94</v>
      </c>
      <c r="AD292" s="79" t="s">
        <v>1680</v>
      </c>
    </row>
    <row r="293" spans="1:30" x14ac:dyDescent="0.4">
      <c r="A293" s="10" t="s">
        <v>1217</v>
      </c>
      <c r="B293" s="77" t="s">
        <v>95</v>
      </c>
      <c r="C293" s="77">
        <f>C292+(BudgetsTable[[#This Row],[lead]]&lt;&gt;K292)</f>
        <v>65</v>
      </c>
      <c r="D293" s="77">
        <f>D292*(BudgetsTable[[#This Row],[lead]]=K292)+(BudgetsTable[[#This Row],[prop_id]]&lt;&gt;A292)</f>
        <v>1</v>
      </c>
      <c r="E293" s="78">
        <v>42956.678472222222</v>
      </c>
      <c r="F293" s="79" t="s">
        <v>1621</v>
      </c>
      <c r="G293" s="79" t="s">
        <v>477</v>
      </c>
      <c r="H293" s="79" t="s">
        <v>578</v>
      </c>
      <c r="I293" s="77" t="s">
        <v>611</v>
      </c>
      <c r="J293" s="77" t="s">
        <v>13</v>
      </c>
      <c r="K293" s="79" t="s">
        <v>1217</v>
      </c>
      <c r="L293" s="7" t="str">
        <f>IF(BudgetsTable[[#This Row],[pi_last_name]]=" ","",HYPERLINK("https://www.ejacket.nsf.gov/ej/showProposal.do?Continue=Y&amp;ID="&amp;BudgetsTable[[#This Row],[prop_id]],BudgetsTable[[#This Row],[prop_id]]))</f>
        <v/>
      </c>
      <c r="M293" s="15" t="str">
        <f>IF(BudgetsTable[[#This Row],[pi_last_name]]=" ","",HYPERLINK("https://www.ejacket.nsf.gov/ej/processReviewAnalysis.do?dispatch=add&amp;uniqId="&amp;BudgetsTable[[#This Row],[prop_id]]&amp;PO_id,"&gt;ra"))</f>
        <v/>
      </c>
      <c r="N293" s="79" t="s">
        <v>13</v>
      </c>
      <c r="O293" s="7" t="str">
        <f>IF(BudgetsTable[[#This Row],[pi_last_name]]=" ","",HYPERLINK("mailto:"&amp;BudgetsTable[[#This Row],[pi_email]]&amp;"&amp;subject=Your NSF Proposal:  "&amp;BudgetsTable[[#This Row],[prop_id]],BudgetsTable[[#This Row],[pi_email]]))</f>
        <v/>
      </c>
      <c r="P293" s="79" t="s">
        <v>13</v>
      </c>
      <c r="Q293" s="79">
        <v>0</v>
      </c>
      <c r="R293" s="79">
        <v>0</v>
      </c>
      <c r="S293" s="80">
        <v>0</v>
      </c>
      <c r="T293" s="80">
        <v>4500</v>
      </c>
      <c r="U293" s="80">
        <v>0</v>
      </c>
      <c r="V293" s="81">
        <v>86408</v>
      </c>
      <c r="W293" s="79">
        <v>0</v>
      </c>
      <c r="X293" s="79">
        <v>1</v>
      </c>
      <c r="Y293" s="11" t="str">
        <f ca="1">IF(ISBLANK(BudgetsTable[[#This Row],[budg_seq_yr]]),"FY"&amp;fiscalyear,"FY"&amp;fiscalyear-1+BudgetsTable[[#This Row],[budg_seq_yr]])</f>
        <v>FY18</v>
      </c>
      <c r="Z293" s="80">
        <v>86408</v>
      </c>
      <c r="AA293" s="79" t="s">
        <v>477</v>
      </c>
      <c r="AB293" s="79" t="s">
        <v>578</v>
      </c>
      <c r="AC293" s="77" t="s">
        <v>94</v>
      </c>
      <c r="AD293" s="79" t="s">
        <v>1680</v>
      </c>
    </row>
    <row r="294" spans="1:30" x14ac:dyDescent="0.4">
      <c r="A294" s="10" t="s">
        <v>1217</v>
      </c>
      <c r="B294" s="77" t="s">
        <v>95</v>
      </c>
      <c r="C294" s="77">
        <f>C293+(BudgetsTable[[#This Row],[lead]]&lt;&gt;K293)</f>
        <v>65</v>
      </c>
      <c r="D294" s="77">
        <f>D293*(BudgetsTable[[#This Row],[lead]]=K293)+(BudgetsTable[[#This Row],[prop_id]]&lt;&gt;A293)</f>
        <v>1</v>
      </c>
      <c r="E294" s="78">
        <v>42956.678472222222</v>
      </c>
      <c r="F294" s="79" t="s">
        <v>1621</v>
      </c>
      <c r="G294" s="79" t="s">
        <v>477</v>
      </c>
      <c r="H294" s="79" t="s">
        <v>578</v>
      </c>
      <c r="I294" s="77" t="s">
        <v>611</v>
      </c>
      <c r="J294" s="77" t="s">
        <v>13</v>
      </c>
      <c r="K294" s="79" t="s">
        <v>1217</v>
      </c>
      <c r="L294" s="7" t="str">
        <f>IF(BudgetsTable[[#This Row],[pi_last_name]]=" ","",HYPERLINK("https://www.ejacket.nsf.gov/ej/showProposal.do?Continue=Y&amp;ID="&amp;BudgetsTable[[#This Row],[prop_id]],BudgetsTable[[#This Row],[prop_id]]))</f>
        <v/>
      </c>
      <c r="M294" s="15" t="str">
        <f>IF(BudgetsTable[[#This Row],[pi_last_name]]=" ","",HYPERLINK("https://www.ejacket.nsf.gov/ej/processReviewAnalysis.do?dispatch=add&amp;uniqId="&amp;BudgetsTable[[#This Row],[prop_id]]&amp;PO_id,"&gt;ra"))</f>
        <v/>
      </c>
      <c r="N294" s="79" t="s">
        <v>13</v>
      </c>
      <c r="O294" s="7" t="str">
        <f>IF(BudgetsTable[[#This Row],[pi_last_name]]=" ","",HYPERLINK("mailto:"&amp;BudgetsTable[[#This Row],[pi_email]]&amp;"&amp;subject=Your NSF Proposal:  "&amp;BudgetsTable[[#This Row],[prop_id]],BudgetsTable[[#This Row],[pi_email]]))</f>
        <v/>
      </c>
      <c r="P294" s="79" t="s">
        <v>13</v>
      </c>
      <c r="Q294" s="79">
        <v>0</v>
      </c>
      <c r="R294" s="79">
        <v>0</v>
      </c>
      <c r="S294" s="80">
        <v>0</v>
      </c>
      <c r="T294" s="80">
        <v>4237</v>
      </c>
      <c r="U294" s="80">
        <v>0</v>
      </c>
      <c r="V294" s="81">
        <v>88592</v>
      </c>
      <c r="W294" s="79">
        <v>0</v>
      </c>
      <c r="X294" s="79">
        <v>2</v>
      </c>
      <c r="Y294" s="11" t="str">
        <f ca="1">IF(ISBLANK(BudgetsTable[[#This Row],[budg_seq_yr]]),"FY"&amp;fiscalyear,"FY"&amp;fiscalyear-1+BudgetsTable[[#This Row],[budg_seq_yr]])</f>
        <v>FY19</v>
      </c>
      <c r="Z294" s="80">
        <v>88592</v>
      </c>
      <c r="AA294" s="79" t="s">
        <v>477</v>
      </c>
      <c r="AB294" s="79" t="s">
        <v>578</v>
      </c>
      <c r="AC294" s="77" t="s">
        <v>94</v>
      </c>
      <c r="AD294" s="79" t="s">
        <v>1680</v>
      </c>
    </row>
    <row r="295" spans="1:30" x14ac:dyDescent="0.4">
      <c r="A295" s="10" t="s">
        <v>1224</v>
      </c>
      <c r="B295" s="77" t="s">
        <v>95</v>
      </c>
      <c r="C295" s="77">
        <f>C294+(BudgetsTable[[#This Row],[lead]]&lt;&gt;K294)</f>
        <v>66</v>
      </c>
      <c r="D295" s="77">
        <f>D294*(BudgetsTable[[#This Row],[lead]]=K294)+(BudgetsTable[[#This Row],[prop_id]]&lt;&gt;A294)</f>
        <v>1</v>
      </c>
      <c r="E295" s="78">
        <v>42956.695833333331</v>
      </c>
      <c r="F295" s="79" t="s">
        <v>1621</v>
      </c>
      <c r="G295" s="79" t="s">
        <v>477</v>
      </c>
      <c r="H295" s="79" t="s">
        <v>578</v>
      </c>
      <c r="I295" s="77" t="s">
        <v>611</v>
      </c>
      <c r="J295" s="77" t="s">
        <v>1688</v>
      </c>
      <c r="K295" s="79" t="s">
        <v>1224</v>
      </c>
      <c r="L295" s="7" t="str">
        <f>IF(BudgetsTable[[#This Row],[pi_last_name]]=" ","",HYPERLINK("https://www.ejacket.nsf.gov/ej/showProposal.do?Continue=Y&amp;ID="&amp;BudgetsTable[[#This Row],[prop_id]],BudgetsTable[[#This Row],[prop_id]]))</f>
        <v>1755950</v>
      </c>
      <c r="M295" s="15" t="e">
        <f>IF(BudgetsTable[[#This Row],[pi_last_name]]=" ","",HYPERLINK("https://www.ejacket.nsf.gov/ej/processReviewAnalysis.do?dispatch=add&amp;uniqId="&amp;BudgetsTable[[#This Row],[prop_id]]&amp;PO_id,"&gt;ra"))</f>
        <v>#REF!</v>
      </c>
      <c r="N295" s="79" t="s">
        <v>1225</v>
      </c>
      <c r="O295" s="7" t="str">
        <f>IF(BudgetsTable[[#This Row],[pi_last_name]]=" ","",HYPERLINK("mailto:"&amp;BudgetsTable[[#This Row],[pi_email]]&amp;"&amp;subject=Your NSF Proposal:  "&amp;BudgetsTable[[#This Row],[prop_id]],BudgetsTable[[#This Row],[pi_email]]))</f>
        <v>adres@asu.edu</v>
      </c>
      <c r="P295" s="79" t="s">
        <v>1685</v>
      </c>
      <c r="Q295" s="79"/>
      <c r="R295" s="79"/>
      <c r="S295" s="80"/>
      <c r="T295" s="80"/>
      <c r="U295" s="80"/>
      <c r="V295" s="81"/>
      <c r="W295" s="79">
        <v>0</v>
      </c>
      <c r="X295" s="79"/>
      <c r="Y295" s="11" t="str">
        <f ca="1">IF(ISBLANK(BudgetsTable[[#This Row],[budg_seq_yr]]),"FY"&amp;fiscalyear,"FY"&amp;fiscalyear-1+BudgetsTable[[#This Row],[budg_seq_yr]])</f>
        <v>FY18</v>
      </c>
      <c r="Z295" s="80">
        <v>175000</v>
      </c>
      <c r="AA295" s="79" t="s">
        <v>477</v>
      </c>
      <c r="AB295" s="79" t="s">
        <v>578</v>
      </c>
      <c r="AC295" s="77" t="s">
        <v>94</v>
      </c>
      <c r="AD295" s="79" t="s">
        <v>1646</v>
      </c>
    </row>
    <row r="296" spans="1:30" x14ac:dyDescent="0.4">
      <c r="A296" s="10" t="s">
        <v>1224</v>
      </c>
      <c r="B296" s="77" t="s">
        <v>95</v>
      </c>
      <c r="C296" s="77">
        <f>C295+(BudgetsTable[[#This Row],[lead]]&lt;&gt;K295)</f>
        <v>66</v>
      </c>
      <c r="D296" s="77">
        <f>D295*(BudgetsTable[[#This Row],[lead]]=K295)+(BudgetsTable[[#This Row],[prop_id]]&lt;&gt;A295)</f>
        <v>1</v>
      </c>
      <c r="E296" s="78">
        <v>42956.695833333331</v>
      </c>
      <c r="F296" s="79" t="s">
        <v>1621</v>
      </c>
      <c r="G296" s="79" t="s">
        <v>477</v>
      </c>
      <c r="H296" s="79" t="s">
        <v>578</v>
      </c>
      <c r="I296" s="77" t="s">
        <v>611</v>
      </c>
      <c r="J296" s="77" t="s">
        <v>13</v>
      </c>
      <c r="K296" s="79" t="s">
        <v>1224</v>
      </c>
      <c r="L296" s="7" t="str">
        <f>IF(BudgetsTable[[#This Row],[pi_last_name]]=" ","",HYPERLINK("https://www.ejacket.nsf.gov/ej/showProposal.do?Continue=Y&amp;ID="&amp;BudgetsTable[[#This Row],[prop_id]],BudgetsTable[[#This Row],[prop_id]]))</f>
        <v/>
      </c>
      <c r="M296" s="15" t="str">
        <f>IF(BudgetsTable[[#This Row],[pi_last_name]]=" ","",HYPERLINK("https://www.ejacket.nsf.gov/ej/processReviewAnalysis.do?dispatch=add&amp;uniqId="&amp;BudgetsTable[[#This Row],[prop_id]]&amp;PO_id,"&gt;ra"))</f>
        <v/>
      </c>
      <c r="N296" s="79" t="s">
        <v>13</v>
      </c>
      <c r="O296" s="7" t="str">
        <f>IF(BudgetsTable[[#This Row],[pi_last_name]]=" ","",HYPERLINK("mailto:"&amp;BudgetsTable[[#This Row],[pi_email]]&amp;"&amp;subject=Your NSF Proposal:  "&amp;BudgetsTable[[#This Row],[prop_id]],BudgetsTable[[#This Row],[pi_email]]))</f>
        <v/>
      </c>
      <c r="P296" s="79" t="s">
        <v>13</v>
      </c>
      <c r="Q296" s="79">
        <v>0</v>
      </c>
      <c r="R296" s="79">
        <v>0</v>
      </c>
      <c r="S296" s="80">
        <v>0</v>
      </c>
      <c r="T296" s="80">
        <v>3300</v>
      </c>
      <c r="U296" s="80">
        <v>0</v>
      </c>
      <c r="V296" s="81">
        <v>67667</v>
      </c>
      <c r="W296" s="79">
        <v>0</v>
      </c>
      <c r="X296" s="79">
        <v>1</v>
      </c>
      <c r="Y296" s="11" t="str">
        <f ca="1">IF(ISBLANK(BudgetsTable[[#This Row],[budg_seq_yr]]),"FY"&amp;fiscalyear,"FY"&amp;fiscalyear-1+BudgetsTable[[#This Row],[budg_seq_yr]])</f>
        <v>FY18</v>
      </c>
      <c r="Z296" s="80">
        <v>67667</v>
      </c>
      <c r="AA296" s="79" t="s">
        <v>477</v>
      </c>
      <c r="AB296" s="79" t="s">
        <v>578</v>
      </c>
      <c r="AC296" s="77" t="s">
        <v>94</v>
      </c>
      <c r="AD296" s="79" t="s">
        <v>1646</v>
      </c>
    </row>
    <row r="297" spans="1:30" x14ac:dyDescent="0.4">
      <c r="A297" s="10" t="s">
        <v>1224</v>
      </c>
      <c r="B297" s="77" t="s">
        <v>95</v>
      </c>
      <c r="C297" s="77">
        <f>C296+(BudgetsTable[[#This Row],[lead]]&lt;&gt;K296)</f>
        <v>66</v>
      </c>
      <c r="D297" s="77">
        <f>D296*(BudgetsTable[[#This Row],[lead]]=K296)+(BudgetsTable[[#This Row],[prop_id]]&lt;&gt;A296)</f>
        <v>1</v>
      </c>
      <c r="E297" s="78">
        <v>42956.695833333331</v>
      </c>
      <c r="F297" s="79" t="s">
        <v>1621</v>
      </c>
      <c r="G297" s="79" t="s">
        <v>477</v>
      </c>
      <c r="H297" s="79" t="s">
        <v>578</v>
      </c>
      <c r="I297" s="77" t="s">
        <v>611</v>
      </c>
      <c r="J297" s="77" t="s">
        <v>13</v>
      </c>
      <c r="K297" s="79" t="s">
        <v>1224</v>
      </c>
      <c r="L297" s="7" t="str">
        <f>IF(BudgetsTable[[#This Row],[pi_last_name]]=" ","",HYPERLINK("https://www.ejacket.nsf.gov/ej/showProposal.do?Continue=Y&amp;ID="&amp;BudgetsTable[[#This Row],[prop_id]],BudgetsTable[[#This Row],[prop_id]]))</f>
        <v/>
      </c>
      <c r="M297" s="15" t="str">
        <f>IF(BudgetsTable[[#This Row],[pi_last_name]]=" ","",HYPERLINK("https://www.ejacket.nsf.gov/ej/processReviewAnalysis.do?dispatch=add&amp;uniqId="&amp;BudgetsTable[[#This Row],[prop_id]]&amp;PO_id,"&gt;ra"))</f>
        <v/>
      </c>
      <c r="N297" s="79" t="s">
        <v>13</v>
      </c>
      <c r="O297" s="7" t="str">
        <f>IF(BudgetsTable[[#This Row],[pi_last_name]]=" ","",HYPERLINK("mailto:"&amp;BudgetsTable[[#This Row],[pi_email]]&amp;"&amp;subject=Your NSF Proposal:  "&amp;BudgetsTable[[#This Row],[prop_id]],BudgetsTable[[#This Row],[pi_email]]))</f>
        <v/>
      </c>
      <c r="P297" s="79" t="s">
        <v>13</v>
      </c>
      <c r="Q297" s="79">
        <v>0</v>
      </c>
      <c r="R297" s="79">
        <v>0</v>
      </c>
      <c r="S297" s="80">
        <v>0</v>
      </c>
      <c r="T297" s="80">
        <v>3281</v>
      </c>
      <c r="U297" s="80">
        <v>0</v>
      </c>
      <c r="V297" s="81">
        <v>107333</v>
      </c>
      <c r="W297" s="79">
        <v>0</v>
      </c>
      <c r="X297" s="79">
        <v>2</v>
      </c>
      <c r="Y297" s="11" t="str">
        <f ca="1">IF(ISBLANK(BudgetsTable[[#This Row],[budg_seq_yr]]),"FY"&amp;fiscalyear,"FY"&amp;fiscalyear-1+BudgetsTable[[#This Row],[budg_seq_yr]])</f>
        <v>FY19</v>
      </c>
      <c r="Z297" s="80">
        <v>107333</v>
      </c>
      <c r="AA297" s="79" t="s">
        <v>477</v>
      </c>
      <c r="AB297" s="79" t="s">
        <v>578</v>
      </c>
      <c r="AC297" s="77" t="s">
        <v>94</v>
      </c>
      <c r="AD297" s="79" t="s">
        <v>1646</v>
      </c>
    </row>
    <row r="298" spans="1:30" x14ac:dyDescent="0.4">
      <c r="A298" s="10" t="s">
        <v>1232</v>
      </c>
      <c r="B298" s="77" t="s">
        <v>95</v>
      </c>
      <c r="C298" s="77">
        <f>C297+(BudgetsTable[[#This Row],[lead]]&lt;&gt;K297)</f>
        <v>67</v>
      </c>
      <c r="D298" s="77">
        <f>D297*(BudgetsTable[[#This Row],[lead]]=K297)+(BudgetsTable[[#This Row],[prop_id]]&lt;&gt;A297)</f>
        <v>1</v>
      </c>
      <c r="E298" s="78">
        <v>42956.697222222225</v>
      </c>
      <c r="F298" s="79" t="s">
        <v>1621</v>
      </c>
      <c r="G298" s="79" t="s">
        <v>477</v>
      </c>
      <c r="H298" s="79" t="s">
        <v>578</v>
      </c>
      <c r="I298" s="77" t="s">
        <v>604</v>
      </c>
      <c r="J298" s="77" t="s">
        <v>1693</v>
      </c>
      <c r="K298" s="79" t="s">
        <v>1232</v>
      </c>
      <c r="L298" s="7" t="str">
        <f>IF(BudgetsTable[[#This Row],[pi_last_name]]=" ","",HYPERLINK("https://www.ejacket.nsf.gov/ej/showProposal.do?Continue=Y&amp;ID="&amp;BudgetsTable[[#This Row],[prop_id]],BudgetsTable[[#This Row],[prop_id]]))</f>
        <v>1755954</v>
      </c>
      <c r="M298" s="15" t="e">
        <f>IF(BudgetsTable[[#This Row],[pi_last_name]]=" ","",HYPERLINK("https://www.ejacket.nsf.gov/ej/processReviewAnalysis.do?dispatch=add&amp;uniqId="&amp;BudgetsTable[[#This Row],[prop_id]]&amp;PO_id,"&gt;ra"))</f>
        <v>#REF!</v>
      </c>
      <c r="N298" s="79" t="s">
        <v>1233</v>
      </c>
      <c r="O298" s="7" t="str">
        <f>IF(BudgetsTable[[#This Row],[pi_last_name]]=" ","",HYPERLINK("mailto:"&amp;BudgetsTable[[#This Row],[pi_email]]&amp;"&amp;subject=Your NSF Proposal:  "&amp;BudgetsTable[[#This Row],[prop_id]],BudgetsTable[[#This Row],[pi_email]]))</f>
        <v>shima.hm@tamu.edu</v>
      </c>
      <c r="P298" s="79" t="s">
        <v>1690</v>
      </c>
      <c r="Q298" s="79"/>
      <c r="R298" s="79"/>
      <c r="S298" s="80"/>
      <c r="T298" s="80"/>
      <c r="U298" s="80"/>
      <c r="V298" s="81"/>
      <c r="W298" s="79">
        <v>0</v>
      </c>
      <c r="X298" s="79"/>
      <c r="Y298" s="11" t="str">
        <f ca="1">IF(ISBLANK(BudgetsTable[[#This Row],[budg_seq_yr]]),"FY"&amp;fiscalyear,"FY"&amp;fiscalyear-1+BudgetsTable[[#This Row],[budg_seq_yr]])</f>
        <v>FY18</v>
      </c>
      <c r="Z298" s="80">
        <v>175000</v>
      </c>
      <c r="AA298" s="79" t="s">
        <v>477</v>
      </c>
      <c r="AB298" s="79" t="s">
        <v>578</v>
      </c>
      <c r="AC298" s="77" t="s">
        <v>94</v>
      </c>
      <c r="AD298" s="79" t="s">
        <v>1665</v>
      </c>
    </row>
    <row r="299" spans="1:30" x14ac:dyDescent="0.4">
      <c r="A299" s="10" t="s">
        <v>1232</v>
      </c>
      <c r="B299" s="77" t="s">
        <v>95</v>
      </c>
      <c r="C299" s="77">
        <f>C298+(BudgetsTable[[#This Row],[lead]]&lt;&gt;K298)</f>
        <v>67</v>
      </c>
      <c r="D299" s="77">
        <f>D298*(BudgetsTable[[#This Row],[lead]]=K298)+(BudgetsTable[[#This Row],[prop_id]]&lt;&gt;A298)</f>
        <v>1</v>
      </c>
      <c r="E299" s="78">
        <v>42956.697222222225</v>
      </c>
      <c r="F299" s="79" t="s">
        <v>1621</v>
      </c>
      <c r="G299" s="79" t="s">
        <v>477</v>
      </c>
      <c r="H299" s="79" t="s">
        <v>578</v>
      </c>
      <c r="I299" s="77" t="s">
        <v>604</v>
      </c>
      <c r="J299" s="77" t="s">
        <v>13</v>
      </c>
      <c r="K299" s="79" t="s">
        <v>1232</v>
      </c>
      <c r="L299" s="7" t="str">
        <f>IF(BudgetsTable[[#This Row],[pi_last_name]]=" ","",HYPERLINK("https://www.ejacket.nsf.gov/ej/showProposal.do?Continue=Y&amp;ID="&amp;BudgetsTable[[#This Row],[prop_id]],BudgetsTable[[#This Row],[prop_id]]))</f>
        <v/>
      </c>
      <c r="M299" s="15" t="str">
        <f>IF(BudgetsTable[[#This Row],[pi_last_name]]=" ","",HYPERLINK("https://www.ejacket.nsf.gov/ej/processReviewAnalysis.do?dispatch=add&amp;uniqId="&amp;BudgetsTable[[#This Row],[prop_id]]&amp;PO_id,"&gt;ra"))</f>
        <v/>
      </c>
      <c r="N299" s="79" t="s">
        <v>13</v>
      </c>
      <c r="O299" s="7" t="str">
        <f>IF(BudgetsTable[[#This Row],[pi_last_name]]=" ","",HYPERLINK("mailto:"&amp;BudgetsTable[[#This Row],[pi_email]]&amp;"&amp;subject=Your NSF Proposal:  "&amp;BudgetsTable[[#This Row],[prop_id]],BudgetsTable[[#This Row],[pi_email]]))</f>
        <v/>
      </c>
      <c r="P299" s="79" t="s">
        <v>13</v>
      </c>
      <c r="Q299" s="79">
        <v>0</v>
      </c>
      <c r="R299" s="79">
        <v>0</v>
      </c>
      <c r="S299" s="80">
        <v>0</v>
      </c>
      <c r="T299" s="80">
        <v>0</v>
      </c>
      <c r="U299" s="80">
        <v>0</v>
      </c>
      <c r="V299" s="81">
        <v>86245</v>
      </c>
      <c r="W299" s="79">
        <v>0</v>
      </c>
      <c r="X299" s="79">
        <v>1</v>
      </c>
      <c r="Y299" s="11" t="str">
        <f ca="1">IF(ISBLANK(BudgetsTable[[#This Row],[budg_seq_yr]]),"FY"&amp;fiscalyear,"FY"&amp;fiscalyear-1+BudgetsTable[[#This Row],[budg_seq_yr]])</f>
        <v>FY18</v>
      </c>
      <c r="Z299" s="80">
        <v>86245</v>
      </c>
      <c r="AA299" s="79" t="s">
        <v>477</v>
      </c>
      <c r="AB299" s="79" t="s">
        <v>578</v>
      </c>
      <c r="AC299" s="77" t="s">
        <v>94</v>
      </c>
      <c r="AD299" s="79" t="s">
        <v>1665</v>
      </c>
    </row>
    <row r="300" spans="1:30" x14ac:dyDescent="0.4">
      <c r="A300" s="10" t="s">
        <v>1232</v>
      </c>
      <c r="B300" s="77" t="s">
        <v>95</v>
      </c>
      <c r="C300" s="77">
        <f>C299+(BudgetsTable[[#This Row],[lead]]&lt;&gt;K299)</f>
        <v>67</v>
      </c>
      <c r="D300" s="77">
        <f>D299*(BudgetsTable[[#This Row],[lead]]=K299)+(BudgetsTable[[#This Row],[prop_id]]&lt;&gt;A299)</f>
        <v>1</v>
      </c>
      <c r="E300" s="78">
        <v>42956.697222222225</v>
      </c>
      <c r="F300" s="79" t="s">
        <v>1621</v>
      </c>
      <c r="G300" s="79" t="s">
        <v>477</v>
      </c>
      <c r="H300" s="79" t="s">
        <v>578</v>
      </c>
      <c r="I300" s="77" t="s">
        <v>604</v>
      </c>
      <c r="J300" s="77" t="s">
        <v>13</v>
      </c>
      <c r="K300" s="79" t="s">
        <v>1232</v>
      </c>
      <c r="L300" s="7" t="str">
        <f>IF(BudgetsTable[[#This Row],[pi_last_name]]=" ","",HYPERLINK("https://www.ejacket.nsf.gov/ej/showProposal.do?Continue=Y&amp;ID="&amp;BudgetsTable[[#This Row],[prop_id]],BudgetsTable[[#This Row],[prop_id]]))</f>
        <v/>
      </c>
      <c r="M300" s="15" t="str">
        <f>IF(BudgetsTable[[#This Row],[pi_last_name]]=" ","",HYPERLINK("https://www.ejacket.nsf.gov/ej/processReviewAnalysis.do?dispatch=add&amp;uniqId="&amp;BudgetsTable[[#This Row],[prop_id]]&amp;PO_id,"&gt;ra"))</f>
        <v/>
      </c>
      <c r="N300" s="79" t="s">
        <v>13</v>
      </c>
      <c r="O300" s="7" t="str">
        <f>IF(BudgetsTable[[#This Row],[pi_last_name]]=" ","",HYPERLINK("mailto:"&amp;BudgetsTable[[#This Row],[pi_email]]&amp;"&amp;subject=Your NSF Proposal:  "&amp;BudgetsTable[[#This Row],[prop_id]],BudgetsTable[[#This Row],[pi_email]]))</f>
        <v/>
      </c>
      <c r="P300" s="79" t="s">
        <v>13</v>
      </c>
      <c r="Q300" s="79">
        <v>0</v>
      </c>
      <c r="R300" s="79">
        <v>0</v>
      </c>
      <c r="S300" s="80">
        <v>0</v>
      </c>
      <c r="T300" s="80">
        <v>0</v>
      </c>
      <c r="U300" s="80">
        <v>0</v>
      </c>
      <c r="V300" s="81">
        <v>88755</v>
      </c>
      <c r="W300" s="79">
        <v>0</v>
      </c>
      <c r="X300" s="79">
        <v>2</v>
      </c>
      <c r="Y300" s="11" t="str">
        <f ca="1">IF(ISBLANK(BudgetsTable[[#This Row],[budg_seq_yr]]),"FY"&amp;fiscalyear,"FY"&amp;fiscalyear-1+BudgetsTable[[#This Row],[budg_seq_yr]])</f>
        <v>FY19</v>
      </c>
      <c r="Z300" s="80">
        <v>88755</v>
      </c>
      <c r="AA300" s="79" t="s">
        <v>477</v>
      </c>
      <c r="AB300" s="79" t="s">
        <v>578</v>
      </c>
      <c r="AC300" s="77" t="s">
        <v>94</v>
      </c>
      <c r="AD300" s="79" t="s">
        <v>1665</v>
      </c>
    </row>
    <row r="301" spans="1:30" x14ac:dyDescent="0.4">
      <c r="A301" s="10" t="s">
        <v>1241</v>
      </c>
      <c r="B301" s="77" t="s">
        <v>95</v>
      </c>
      <c r="C301" s="77">
        <f>C300+(BudgetsTable[[#This Row],[lead]]&lt;&gt;K300)</f>
        <v>68</v>
      </c>
      <c r="D301" s="77">
        <f>D300*(BudgetsTable[[#This Row],[lead]]=K300)+(BudgetsTable[[#This Row],[prop_id]]&lt;&gt;A300)</f>
        <v>1</v>
      </c>
      <c r="E301" s="78">
        <v>42956.697916666664</v>
      </c>
      <c r="F301" s="79" t="s">
        <v>1621</v>
      </c>
      <c r="G301" s="79" t="s">
        <v>477</v>
      </c>
      <c r="H301" s="79" t="s">
        <v>578</v>
      </c>
      <c r="I301" s="77" t="s">
        <v>611</v>
      </c>
      <c r="J301" s="77" t="s">
        <v>1288</v>
      </c>
      <c r="K301" s="79" t="s">
        <v>1241</v>
      </c>
      <c r="L301" s="7" t="str">
        <f>IF(BudgetsTable[[#This Row],[pi_last_name]]=" ","",HYPERLINK("https://www.ejacket.nsf.gov/ej/showProposal.do?Continue=Y&amp;ID="&amp;BudgetsTable[[#This Row],[prop_id]],BudgetsTable[[#This Row],[prop_id]]))</f>
        <v>1755955</v>
      </c>
      <c r="M301" s="15" t="e">
        <f>IF(BudgetsTable[[#This Row],[pi_last_name]]=" ","",HYPERLINK("https://www.ejacket.nsf.gov/ej/processReviewAnalysis.do?dispatch=add&amp;uniqId="&amp;BudgetsTable[[#This Row],[prop_id]]&amp;PO_id,"&gt;ra"))</f>
        <v>#REF!</v>
      </c>
      <c r="N301" s="79" t="s">
        <v>1031</v>
      </c>
      <c r="O301" s="7" t="str">
        <f>IF(BudgetsTable[[#This Row],[pi_last_name]]=" ","",HYPERLINK("mailto:"&amp;BudgetsTable[[#This Row],[pi_email]]&amp;"&amp;subject=Your NSF Proposal:  "&amp;BudgetsTable[[#This Row],[prop_id]],BudgetsTable[[#This Row],[pi_email]]))</f>
        <v>gkatz@drexel.edu</v>
      </c>
      <c r="P301" s="79" t="s">
        <v>1594</v>
      </c>
      <c r="Q301" s="79"/>
      <c r="R301" s="79"/>
      <c r="S301" s="80"/>
      <c r="T301" s="80"/>
      <c r="U301" s="80"/>
      <c r="V301" s="81"/>
      <c r="W301" s="79">
        <v>0</v>
      </c>
      <c r="X301" s="79"/>
      <c r="Y301" s="11" t="str">
        <f ca="1">IF(ISBLANK(BudgetsTable[[#This Row],[budg_seq_yr]]),"FY"&amp;fiscalyear,"FY"&amp;fiscalyear-1+BudgetsTable[[#This Row],[budg_seq_yr]])</f>
        <v>FY18</v>
      </c>
      <c r="Z301" s="80">
        <v>174930</v>
      </c>
      <c r="AA301" s="79" t="s">
        <v>477</v>
      </c>
      <c r="AB301" s="79" t="s">
        <v>578</v>
      </c>
      <c r="AC301" s="77" t="s">
        <v>94</v>
      </c>
      <c r="AD301" s="79" t="s">
        <v>1646</v>
      </c>
    </row>
    <row r="302" spans="1:30" x14ac:dyDescent="0.4">
      <c r="A302" s="10" t="s">
        <v>1241</v>
      </c>
      <c r="B302" s="77" t="s">
        <v>95</v>
      </c>
      <c r="C302" s="77">
        <f>C301+(BudgetsTable[[#This Row],[lead]]&lt;&gt;K301)</f>
        <v>68</v>
      </c>
      <c r="D302" s="77">
        <f>D301*(BudgetsTable[[#This Row],[lead]]=K301)+(BudgetsTable[[#This Row],[prop_id]]&lt;&gt;A301)</f>
        <v>1</v>
      </c>
      <c r="E302" s="78">
        <v>42956.697916666664</v>
      </c>
      <c r="F302" s="79" t="s">
        <v>1621</v>
      </c>
      <c r="G302" s="79" t="s">
        <v>477</v>
      </c>
      <c r="H302" s="79" t="s">
        <v>578</v>
      </c>
      <c r="I302" s="77" t="s">
        <v>611</v>
      </c>
      <c r="J302" s="77" t="s">
        <v>13</v>
      </c>
      <c r="K302" s="79" t="s">
        <v>1241</v>
      </c>
      <c r="L302" s="7" t="str">
        <f>IF(BudgetsTable[[#This Row],[pi_last_name]]=" ","",HYPERLINK("https://www.ejacket.nsf.gov/ej/showProposal.do?Continue=Y&amp;ID="&amp;BudgetsTable[[#This Row],[prop_id]],BudgetsTable[[#This Row],[prop_id]]))</f>
        <v/>
      </c>
      <c r="M302" s="15" t="str">
        <f>IF(BudgetsTable[[#This Row],[pi_last_name]]=" ","",HYPERLINK("https://www.ejacket.nsf.gov/ej/processReviewAnalysis.do?dispatch=add&amp;uniqId="&amp;BudgetsTable[[#This Row],[prop_id]]&amp;PO_id,"&gt;ra"))</f>
        <v/>
      </c>
      <c r="N302" s="79" t="s">
        <v>13</v>
      </c>
      <c r="O302" s="7" t="str">
        <f>IF(BudgetsTable[[#This Row],[pi_last_name]]=" ","",HYPERLINK("mailto:"&amp;BudgetsTable[[#This Row],[pi_email]]&amp;"&amp;subject=Your NSF Proposal:  "&amp;BudgetsTable[[#This Row],[prop_id]],BudgetsTable[[#This Row],[pi_email]]))</f>
        <v/>
      </c>
      <c r="P302" s="79" t="s">
        <v>13</v>
      </c>
      <c r="Q302" s="79">
        <v>0</v>
      </c>
      <c r="R302" s="79">
        <v>0</v>
      </c>
      <c r="S302" s="80">
        <v>0</v>
      </c>
      <c r="T302" s="80">
        <v>4500</v>
      </c>
      <c r="U302" s="80">
        <v>0</v>
      </c>
      <c r="V302" s="81">
        <v>90272</v>
      </c>
      <c r="W302" s="79">
        <v>0</v>
      </c>
      <c r="X302" s="79">
        <v>1</v>
      </c>
      <c r="Y302" s="11" t="str">
        <f ca="1">IF(ISBLANK(BudgetsTable[[#This Row],[budg_seq_yr]]),"FY"&amp;fiscalyear,"FY"&amp;fiscalyear-1+BudgetsTable[[#This Row],[budg_seq_yr]])</f>
        <v>FY18</v>
      </c>
      <c r="Z302" s="80">
        <v>90272</v>
      </c>
      <c r="AA302" s="79" t="s">
        <v>477</v>
      </c>
      <c r="AB302" s="79" t="s">
        <v>578</v>
      </c>
      <c r="AC302" s="77" t="s">
        <v>94</v>
      </c>
      <c r="AD302" s="79" t="s">
        <v>1646</v>
      </c>
    </row>
    <row r="303" spans="1:30" x14ac:dyDescent="0.4">
      <c r="A303" s="10" t="s">
        <v>1241</v>
      </c>
      <c r="B303" s="77" t="s">
        <v>95</v>
      </c>
      <c r="C303" s="77">
        <f>C302+(BudgetsTable[[#This Row],[lead]]&lt;&gt;K302)</f>
        <v>68</v>
      </c>
      <c r="D303" s="77">
        <f>D302*(BudgetsTable[[#This Row],[lead]]=K302)+(BudgetsTable[[#This Row],[prop_id]]&lt;&gt;A302)</f>
        <v>1</v>
      </c>
      <c r="E303" s="78">
        <v>42956.697916666664</v>
      </c>
      <c r="F303" s="79" t="s">
        <v>1621</v>
      </c>
      <c r="G303" s="79" t="s">
        <v>477</v>
      </c>
      <c r="H303" s="79" t="s">
        <v>578</v>
      </c>
      <c r="I303" s="77" t="s">
        <v>611</v>
      </c>
      <c r="J303" s="77" t="s">
        <v>13</v>
      </c>
      <c r="K303" s="79" t="s">
        <v>1241</v>
      </c>
      <c r="L303" s="7" t="str">
        <f>IF(BudgetsTable[[#This Row],[pi_last_name]]=" ","",HYPERLINK("https://www.ejacket.nsf.gov/ej/showProposal.do?Continue=Y&amp;ID="&amp;BudgetsTable[[#This Row],[prop_id]],BudgetsTable[[#This Row],[prop_id]]))</f>
        <v/>
      </c>
      <c r="M303" s="15" t="str">
        <f>IF(BudgetsTable[[#This Row],[pi_last_name]]=" ","",HYPERLINK("https://www.ejacket.nsf.gov/ej/processReviewAnalysis.do?dispatch=add&amp;uniqId="&amp;BudgetsTable[[#This Row],[prop_id]]&amp;PO_id,"&gt;ra"))</f>
        <v/>
      </c>
      <c r="N303" s="79" t="s">
        <v>13</v>
      </c>
      <c r="O303" s="7" t="str">
        <f>IF(BudgetsTable[[#This Row],[pi_last_name]]=" ","",HYPERLINK("mailto:"&amp;BudgetsTable[[#This Row],[pi_email]]&amp;"&amp;subject=Your NSF Proposal:  "&amp;BudgetsTable[[#This Row],[prop_id]],BudgetsTable[[#This Row],[pi_email]]))</f>
        <v/>
      </c>
      <c r="P303" s="79" t="s">
        <v>13</v>
      </c>
      <c r="Q303" s="79">
        <v>0</v>
      </c>
      <c r="R303" s="79">
        <v>0</v>
      </c>
      <c r="S303" s="80">
        <v>0</v>
      </c>
      <c r="T303" s="80">
        <v>4500</v>
      </c>
      <c r="U303" s="80">
        <v>0</v>
      </c>
      <c r="V303" s="81">
        <v>84658</v>
      </c>
      <c r="W303" s="79">
        <v>0</v>
      </c>
      <c r="X303" s="79">
        <v>2</v>
      </c>
      <c r="Y303" s="11" t="str">
        <f ca="1">IF(ISBLANK(BudgetsTable[[#This Row],[budg_seq_yr]]),"FY"&amp;fiscalyear,"FY"&amp;fiscalyear-1+BudgetsTable[[#This Row],[budg_seq_yr]])</f>
        <v>FY19</v>
      </c>
      <c r="Z303" s="80">
        <v>84658</v>
      </c>
      <c r="AA303" s="79" t="s">
        <v>477</v>
      </c>
      <c r="AB303" s="79" t="s">
        <v>578</v>
      </c>
      <c r="AC303" s="77" t="s">
        <v>94</v>
      </c>
      <c r="AD303" s="79" t="s">
        <v>1646</v>
      </c>
    </row>
    <row r="304" spans="1:30" x14ac:dyDescent="0.4">
      <c r="A304" s="10" t="s">
        <v>1247</v>
      </c>
      <c r="B304" s="77" t="s">
        <v>95</v>
      </c>
      <c r="C304" s="77">
        <f>C303+(BudgetsTable[[#This Row],[lead]]&lt;&gt;K303)</f>
        <v>69</v>
      </c>
      <c r="D304" s="77">
        <f>D303*(BudgetsTable[[#This Row],[lead]]=K303)+(BudgetsTable[[#This Row],[prop_id]]&lt;&gt;A303)</f>
        <v>1</v>
      </c>
      <c r="E304" s="78">
        <v>42956.717361111114</v>
      </c>
      <c r="F304" s="79" t="s">
        <v>1621</v>
      </c>
      <c r="G304" s="79" t="s">
        <v>477</v>
      </c>
      <c r="H304" s="79" t="s">
        <v>578</v>
      </c>
      <c r="I304" s="77" t="s">
        <v>604</v>
      </c>
      <c r="J304" s="77" t="s">
        <v>1699</v>
      </c>
      <c r="K304" s="79" t="s">
        <v>1247</v>
      </c>
      <c r="L304" s="7" t="str">
        <f>IF(BudgetsTable[[#This Row],[pi_last_name]]=" ","",HYPERLINK("https://www.ejacket.nsf.gov/ej/showProposal.do?Continue=Y&amp;ID="&amp;BudgetsTable[[#This Row],[prop_id]],BudgetsTable[[#This Row],[prop_id]]))</f>
        <v>1755978</v>
      </c>
      <c r="M304" s="15" t="e">
        <f>IF(BudgetsTable[[#This Row],[pi_last_name]]=" ","",HYPERLINK("https://www.ejacket.nsf.gov/ej/processReviewAnalysis.do?dispatch=add&amp;uniqId="&amp;BudgetsTable[[#This Row],[prop_id]]&amp;PO_id,"&gt;ra"))</f>
        <v>#REF!</v>
      </c>
      <c r="N304" s="79" t="s">
        <v>1248</v>
      </c>
      <c r="O304" s="7" t="str">
        <f>IF(BudgetsTable[[#This Row],[pi_last_name]]=" ","",HYPERLINK("mailto:"&amp;BudgetsTable[[#This Row],[pi_email]]&amp;"&amp;subject=Your NSF Proposal:  "&amp;BudgetsTable[[#This Row],[prop_id]],BudgetsTable[[#This Row],[pi_email]]))</f>
        <v>harsha@smu.edu</v>
      </c>
      <c r="P304" s="79" t="s">
        <v>1696</v>
      </c>
      <c r="Q304" s="79"/>
      <c r="R304" s="79"/>
      <c r="S304" s="80"/>
      <c r="T304" s="80"/>
      <c r="U304" s="80"/>
      <c r="V304" s="81"/>
      <c r="W304" s="79">
        <v>0</v>
      </c>
      <c r="X304" s="79"/>
      <c r="Y304" s="11" t="str">
        <f ca="1">IF(ISBLANK(BudgetsTable[[#This Row],[budg_seq_yr]]),"FY"&amp;fiscalyear,"FY"&amp;fiscalyear-1+BudgetsTable[[#This Row],[budg_seq_yr]])</f>
        <v>FY18</v>
      </c>
      <c r="Z304" s="80">
        <v>175000</v>
      </c>
      <c r="AA304" s="79" t="s">
        <v>477</v>
      </c>
      <c r="AB304" s="79" t="s">
        <v>578</v>
      </c>
      <c r="AC304" s="77" t="s">
        <v>94</v>
      </c>
      <c r="AD304" s="79" t="s">
        <v>598</v>
      </c>
    </row>
    <row r="305" spans="1:30" x14ac:dyDescent="0.4">
      <c r="A305" s="10" t="s">
        <v>1247</v>
      </c>
      <c r="B305" s="77" t="s">
        <v>95</v>
      </c>
      <c r="C305" s="77">
        <f>C304+(BudgetsTable[[#This Row],[lead]]&lt;&gt;K304)</f>
        <v>69</v>
      </c>
      <c r="D305" s="77">
        <f>D304*(BudgetsTable[[#This Row],[lead]]=K304)+(BudgetsTable[[#This Row],[prop_id]]&lt;&gt;A304)</f>
        <v>1</v>
      </c>
      <c r="E305" s="78">
        <v>42956.717361111114</v>
      </c>
      <c r="F305" s="79" t="s">
        <v>1621</v>
      </c>
      <c r="G305" s="79" t="s">
        <v>477</v>
      </c>
      <c r="H305" s="79" t="s">
        <v>578</v>
      </c>
      <c r="I305" s="77" t="s">
        <v>604</v>
      </c>
      <c r="J305" s="77" t="s">
        <v>13</v>
      </c>
      <c r="K305" s="79" t="s">
        <v>1247</v>
      </c>
      <c r="L305" s="7" t="str">
        <f>IF(BudgetsTable[[#This Row],[pi_last_name]]=" ","",HYPERLINK("https://www.ejacket.nsf.gov/ej/showProposal.do?Continue=Y&amp;ID="&amp;BudgetsTable[[#This Row],[prop_id]],BudgetsTable[[#This Row],[prop_id]]))</f>
        <v/>
      </c>
      <c r="M305" s="15" t="str">
        <f>IF(BudgetsTable[[#This Row],[pi_last_name]]=" ","",HYPERLINK("https://www.ejacket.nsf.gov/ej/processReviewAnalysis.do?dispatch=add&amp;uniqId="&amp;BudgetsTable[[#This Row],[prop_id]]&amp;PO_id,"&gt;ra"))</f>
        <v/>
      </c>
      <c r="N305" s="79" t="s">
        <v>13</v>
      </c>
      <c r="O305" s="7" t="str">
        <f>IF(BudgetsTable[[#This Row],[pi_last_name]]=" ","",HYPERLINK("mailto:"&amp;BudgetsTable[[#This Row],[pi_email]]&amp;"&amp;subject=Your NSF Proposal:  "&amp;BudgetsTable[[#This Row],[prop_id]],BudgetsTable[[#This Row],[pi_email]]))</f>
        <v/>
      </c>
      <c r="P305" s="79" t="s">
        <v>13</v>
      </c>
      <c r="Q305" s="79">
        <v>0</v>
      </c>
      <c r="R305" s="79">
        <v>0</v>
      </c>
      <c r="S305" s="80">
        <v>0</v>
      </c>
      <c r="T305" s="80">
        <v>0</v>
      </c>
      <c r="U305" s="80">
        <v>0</v>
      </c>
      <c r="V305" s="81">
        <v>85200</v>
      </c>
      <c r="W305" s="79">
        <v>0</v>
      </c>
      <c r="X305" s="79">
        <v>1</v>
      </c>
      <c r="Y305" s="11" t="str">
        <f ca="1">IF(ISBLANK(BudgetsTable[[#This Row],[budg_seq_yr]]),"FY"&amp;fiscalyear,"FY"&amp;fiscalyear-1+BudgetsTable[[#This Row],[budg_seq_yr]])</f>
        <v>FY18</v>
      </c>
      <c r="Z305" s="80">
        <v>85200</v>
      </c>
      <c r="AA305" s="79" t="s">
        <v>477</v>
      </c>
      <c r="AB305" s="79" t="s">
        <v>578</v>
      </c>
      <c r="AC305" s="77" t="s">
        <v>94</v>
      </c>
      <c r="AD305" s="79" t="s">
        <v>598</v>
      </c>
    </row>
    <row r="306" spans="1:30" x14ac:dyDescent="0.4">
      <c r="A306" s="10" t="s">
        <v>1247</v>
      </c>
      <c r="B306" s="77" t="s">
        <v>95</v>
      </c>
      <c r="C306" s="77">
        <f>C305+(BudgetsTable[[#This Row],[lead]]&lt;&gt;K305)</f>
        <v>69</v>
      </c>
      <c r="D306" s="77">
        <f>D305*(BudgetsTable[[#This Row],[lead]]=K305)+(BudgetsTable[[#This Row],[prop_id]]&lt;&gt;A305)</f>
        <v>1</v>
      </c>
      <c r="E306" s="78">
        <v>42956.717361111114</v>
      </c>
      <c r="F306" s="79" t="s">
        <v>1621</v>
      </c>
      <c r="G306" s="79" t="s">
        <v>477</v>
      </c>
      <c r="H306" s="79" t="s">
        <v>578</v>
      </c>
      <c r="I306" s="77" t="s">
        <v>604</v>
      </c>
      <c r="J306" s="77" t="s">
        <v>13</v>
      </c>
      <c r="K306" s="79" t="s">
        <v>1247</v>
      </c>
      <c r="L306" s="7" t="str">
        <f>IF(BudgetsTable[[#This Row],[pi_last_name]]=" ","",HYPERLINK("https://www.ejacket.nsf.gov/ej/showProposal.do?Continue=Y&amp;ID="&amp;BudgetsTable[[#This Row],[prop_id]],BudgetsTable[[#This Row],[prop_id]]))</f>
        <v/>
      </c>
      <c r="M306" s="15" t="str">
        <f>IF(BudgetsTable[[#This Row],[pi_last_name]]=" ","",HYPERLINK("https://www.ejacket.nsf.gov/ej/processReviewAnalysis.do?dispatch=add&amp;uniqId="&amp;BudgetsTable[[#This Row],[prop_id]]&amp;PO_id,"&gt;ra"))</f>
        <v/>
      </c>
      <c r="N306" s="79" t="s">
        <v>13</v>
      </c>
      <c r="O306" s="7" t="str">
        <f>IF(BudgetsTable[[#This Row],[pi_last_name]]=" ","",HYPERLINK("mailto:"&amp;BudgetsTable[[#This Row],[pi_email]]&amp;"&amp;subject=Your NSF Proposal:  "&amp;BudgetsTable[[#This Row],[prop_id]],BudgetsTable[[#This Row],[pi_email]]))</f>
        <v/>
      </c>
      <c r="P306" s="79" t="s">
        <v>13</v>
      </c>
      <c r="Q306" s="79">
        <v>0</v>
      </c>
      <c r="R306" s="79">
        <v>0</v>
      </c>
      <c r="S306" s="80">
        <v>0</v>
      </c>
      <c r="T306" s="80">
        <v>0</v>
      </c>
      <c r="U306" s="80">
        <v>0</v>
      </c>
      <c r="V306" s="81">
        <v>89800</v>
      </c>
      <c r="W306" s="79">
        <v>0</v>
      </c>
      <c r="X306" s="79">
        <v>2</v>
      </c>
      <c r="Y306" s="11" t="str">
        <f ca="1">IF(ISBLANK(BudgetsTable[[#This Row],[budg_seq_yr]]),"FY"&amp;fiscalyear,"FY"&amp;fiscalyear-1+BudgetsTable[[#This Row],[budg_seq_yr]])</f>
        <v>FY19</v>
      </c>
      <c r="Z306" s="80">
        <v>89800</v>
      </c>
      <c r="AA306" s="79" t="s">
        <v>477</v>
      </c>
      <c r="AB306" s="79" t="s">
        <v>578</v>
      </c>
      <c r="AC306" s="77" t="s">
        <v>94</v>
      </c>
      <c r="AD306" s="79" t="s">
        <v>598</v>
      </c>
    </row>
    <row r="307" spans="1:30" x14ac:dyDescent="0.4">
      <c r="A307" s="10" t="s">
        <v>1255</v>
      </c>
      <c r="B307" s="77" t="s">
        <v>95</v>
      </c>
      <c r="C307" s="77">
        <f>C306+(BudgetsTable[[#This Row],[lead]]&lt;&gt;K306)</f>
        <v>70</v>
      </c>
      <c r="D307" s="77">
        <f>D306*(BudgetsTable[[#This Row],[lead]]=K306)+(BudgetsTable[[#This Row],[prop_id]]&lt;&gt;A306)</f>
        <v>1</v>
      </c>
      <c r="E307" s="78">
        <v>42956.746527777781</v>
      </c>
      <c r="F307" s="79" t="s">
        <v>1621</v>
      </c>
      <c r="G307" s="79" t="s">
        <v>477</v>
      </c>
      <c r="H307" s="79" t="s">
        <v>578</v>
      </c>
      <c r="I307" s="77" t="s">
        <v>654</v>
      </c>
      <c r="J307" s="77" t="s">
        <v>1703</v>
      </c>
      <c r="K307" s="79" t="s">
        <v>1255</v>
      </c>
      <c r="L307" s="7" t="str">
        <f>IF(BudgetsTable[[#This Row],[pi_last_name]]=" ","",HYPERLINK("https://www.ejacket.nsf.gov/ej/showProposal.do?Continue=Y&amp;ID="&amp;BudgetsTable[[#This Row],[prop_id]],BudgetsTable[[#This Row],[prop_id]]))</f>
        <v>1756014</v>
      </c>
      <c r="M307" s="15" t="e">
        <f>IF(BudgetsTable[[#This Row],[pi_last_name]]=" ","",HYPERLINK("https://www.ejacket.nsf.gov/ej/processReviewAnalysis.do?dispatch=add&amp;uniqId="&amp;BudgetsTable[[#This Row],[prop_id]]&amp;PO_id,"&gt;ra"))</f>
        <v>#REF!</v>
      </c>
      <c r="N307" s="79" t="s">
        <v>750</v>
      </c>
      <c r="O307" s="7" t="str">
        <f>IF(BudgetsTable[[#This Row],[pi_last_name]]=" ","",HYPERLINK("mailto:"&amp;BudgetsTable[[#This Row],[pi_email]]&amp;"&amp;subject=Your NSF Proposal:  "&amp;BudgetsTable[[#This Row],[prop_id]],BudgetsTable[[#This Row],[pi_email]]))</f>
        <v>lchen49@central.uh.edu</v>
      </c>
      <c r="P307" s="79" t="s">
        <v>1701</v>
      </c>
      <c r="Q307" s="79"/>
      <c r="R307" s="79"/>
      <c r="S307" s="80"/>
      <c r="T307" s="80"/>
      <c r="U307" s="80"/>
      <c r="V307" s="81"/>
      <c r="W307" s="79">
        <v>0</v>
      </c>
      <c r="X307" s="79"/>
      <c r="Y307" s="11" t="str">
        <f ca="1">IF(ISBLANK(BudgetsTable[[#This Row],[budg_seq_yr]]),"FY"&amp;fiscalyear,"FY"&amp;fiscalyear-1+BudgetsTable[[#This Row],[budg_seq_yr]])</f>
        <v>FY18</v>
      </c>
      <c r="Z307" s="80">
        <v>148477</v>
      </c>
      <c r="AA307" s="79" t="s">
        <v>477</v>
      </c>
      <c r="AB307" s="79" t="s">
        <v>578</v>
      </c>
      <c r="AC307" s="77" t="s">
        <v>94</v>
      </c>
      <c r="AD307" s="79" t="s">
        <v>1631</v>
      </c>
    </row>
    <row r="308" spans="1:30" x14ac:dyDescent="0.4">
      <c r="A308" s="10" t="s">
        <v>1255</v>
      </c>
      <c r="B308" s="77" t="s">
        <v>95</v>
      </c>
      <c r="C308" s="77">
        <f>C307+(BudgetsTable[[#This Row],[lead]]&lt;&gt;K307)</f>
        <v>70</v>
      </c>
      <c r="D308" s="77">
        <f>D307*(BudgetsTable[[#This Row],[lead]]=K307)+(BudgetsTable[[#This Row],[prop_id]]&lt;&gt;A307)</f>
        <v>1</v>
      </c>
      <c r="E308" s="78">
        <v>42956.746527777781</v>
      </c>
      <c r="F308" s="79" t="s">
        <v>1621</v>
      </c>
      <c r="G308" s="79" t="s">
        <v>477</v>
      </c>
      <c r="H308" s="79" t="s">
        <v>578</v>
      </c>
      <c r="I308" s="77" t="s">
        <v>654</v>
      </c>
      <c r="J308" s="77" t="s">
        <v>13</v>
      </c>
      <c r="K308" s="79" t="s">
        <v>1255</v>
      </c>
      <c r="L308" s="7" t="str">
        <f>IF(BudgetsTable[[#This Row],[pi_last_name]]=" ","",HYPERLINK("https://www.ejacket.nsf.gov/ej/showProposal.do?Continue=Y&amp;ID="&amp;BudgetsTable[[#This Row],[prop_id]],BudgetsTable[[#This Row],[prop_id]]))</f>
        <v/>
      </c>
      <c r="M308" s="15" t="str">
        <f>IF(BudgetsTable[[#This Row],[pi_last_name]]=" ","",HYPERLINK("https://www.ejacket.nsf.gov/ej/processReviewAnalysis.do?dispatch=add&amp;uniqId="&amp;BudgetsTable[[#This Row],[prop_id]]&amp;PO_id,"&gt;ra"))</f>
        <v/>
      </c>
      <c r="N308" s="79" t="s">
        <v>13</v>
      </c>
      <c r="O308" s="7" t="str">
        <f>IF(BudgetsTable[[#This Row],[pi_last_name]]=" ","",HYPERLINK("mailto:"&amp;BudgetsTable[[#This Row],[pi_email]]&amp;"&amp;subject=Your NSF Proposal:  "&amp;BudgetsTable[[#This Row],[prop_id]],BudgetsTable[[#This Row],[pi_email]]))</f>
        <v/>
      </c>
      <c r="P308" s="79" t="s">
        <v>13</v>
      </c>
      <c r="Q308" s="79">
        <v>0</v>
      </c>
      <c r="R308" s="79">
        <v>0</v>
      </c>
      <c r="S308" s="80">
        <v>0</v>
      </c>
      <c r="T308" s="80">
        <v>3500</v>
      </c>
      <c r="U308" s="80">
        <v>0</v>
      </c>
      <c r="V308" s="81">
        <v>53317</v>
      </c>
      <c r="W308" s="79">
        <v>0</v>
      </c>
      <c r="X308" s="79">
        <v>1</v>
      </c>
      <c r="Y308" s="11" t="str">
        <f ca="1">IF(ISBLANK(BudgetsTable[[#This Row],[budg_seq_yr]]),"FY"&amp;fiscalyear,"FY"&amp;fiscalyear-1+BudgetsTable[[#This Row],[budg_seq_yr]])</f>
        <v>FY18</v>
      </c>
      <c r="Z308" s="80">
        <v>53317</v>
      </c>
      <c r="AA308" s="79" t="s">
        <v>477</v>
      </c>
      <c r="AB308" s="79" t="s">
        <v>578</v>
      </c>
      <c r="AC308" s="77" t="s">
        <v>94</v>
      </c>
      <c r="AD308" s="79" t="s">
        <v>1631</v>
      </c>
    </row>
    <row r="309" spans="1:30" x14ac:dyDescent="0.4">
      <c r="A309" s="10" t="s">
        <v>1255</v>
      </c>
      <c r="B309" s="77" t="s">
        <v>95</v>
      </c>
      <c r="C309" s="77">
        <f>C308+(BudgetsTable[[#This Row],[lead]]&lt;&gt;K308)</f>
        <v>70</v>
      </c>
      <c r="D309" s="77">
        <f>D308*(BudgetsTable[[#This Row],[lead]]=K308)+(BudgetsTable[[#This Row],[prop_id]]&lt;&gt;A308)</f>
        <v>1</v>
      </c>
      <c r="E309" s="78">
        <v>42956.746527777781</v>
      </c>
      <c r="F309" s="79" t="s">
        <v>1621</v>
      </c>
      <c r="G309" s="79" t="s">
        <v>477</v>
      </c>
      <c r="H309" s="79" t="s">
        <v>578</v>
      </c>
      <c r="I309" s="77" t="s">
        <v>654</v>
      </c>
      <c r="J309" s="77" t="s">
        <v>13</v>
      </c>
      <c r="K309" s="79" t="s">
        <v>1255</v>
      </c>
      <c r="L309" s="7" t="str">
        <f>IF(BudgetsTable[[#This Row],[pi_last_name]]=" ","",HYPERLINK("https://www.ejacket.nsf.gov/ej/showProposal.do?Continue=Y&amp;ID="&amp;BudgetsTable[[#This Row],[prop_id]],BudgetsTable[[#This Row],[prop_id]]))</f>
        <v/>
      </c>
      <c r="M309" s="15" t="str">
        <f>IF(BudgetsTable[[#This Row],[pi_last_name]]=" ","",HYPERLINK("https://www.ejacket.nsf.gov/ej/processReviewAnalysis.do?dispatch=add&amp;uniqId="&amp;BudgetsTable[[#This Row],[prop_id]]&amp;PO_id,"&gt;ra"))</f>
        <v/>
      </c>
      <c r="N309" s="79" t="s">
        <v>13</v>
      </c>
      <c r="O309" s="7" t="str">
        <f>IF(BudgetsTable[[#This Row],[pi_last_name]]=" ","",HYPERLINK("mailto:"&amp;BudgetsTable[[#This Row],[pi_email]]&amp;"&amp;subject=Your NSF Proposal:  "&amp;BudgetsTable[[#This Row],[prop_id]],BudgetsTable[[#This Row],[pi_email]]))</f>
        <v/>
      </c>
      <c r="P309" s="79" t="s">
        <v>13</v>
      </c>
      <c r="Q309" s="79">
        <v>0</v>
      </c>
      <c r="R309" s="79">
        <v>0</v>
      </c>
      <c r="S309" s="80">
        <v>0</v>
      </c>
      <c r="T309" s="80">
        <v>3500</v>
      </c>
      <c r="U309" s="80">
        <v>0</v>
      </c>
      <c r="V309" s="81">
        <v>95160</v>
      </c>
      <c r="W309" s="79">
        <v>0</v>
      </c>
      <c r="X309" s="79">
        <v>2</v>
      </c>
      <c r="Y309" s="11" t="str">
        <f ca="1">IF(ISBLANK(BudgetsTable[[#This Row],[budg_seq_yr]]),"FY"&amp;fiscalyear,"FY"&amp;fiscalyear-1+BudgetsTable[[#This Row],[budg_seq_yr]])</f>
        <v>FY19</v>
      </c>
      <c r="Z309" s="80">
        <v>95160</v>
      </c>
      <c r="AA309" s="79" t="s">
        <v>477</v>
      </c>
      <c r="AB309" s="79" t="s">
        <v>578</v>
      </c>
      <c r="AC309" s="77" t="s">
        <v>94</v>
      </c>
      <c r="AD309" s="79" t="s">
        <v>1631</v>
      </c>
    </row>
    <row r="310" spans="1:30" x14ac:dyDescent="0.4">
      <c r="A310" s="10" t="s">
        <v>1260</v>
      </c>
      <c r="B310" s="77" t="s">
        <v>491</v>
      </c>
      <c r="C310" s="77">
        <f>C309+(BudgetsTable[[#This Row],[lead]]&lt;&gt;K309)</f>
        <v>71</v>
      </c>
      <c r="D310" s="77">
        <f>D309*(BudgetsTable[[#This Row],[lead]]=K309)+(BudgetsTable[[#This Row],[prop_id]]&lt;&gt;A309)</f>
        <v>1</v>
      </c>
      <c r="E310" s="78">
        <v>43003.681944444441</v>
      </c>
      <c r="F310" s="79" t="s">
        <v>524</v>
      </c>
      <c r="G310" s="79" t="s">
        <v>477</v>
      </c>
      <c r="H310" s="79" t="s">
        <v>582</v>
      </c>
      <c r="I310" s="77" t="s">
        <v>611</v>
      </c>
      <c r="J310" s="77" t="s">
        <v>1707</v>
      </c>
      <c r="K310" s="79" t="s">
        <v>1260</v>
      </c>
      <c r="L310" s="7" t="str">
        <f>IF(BudgetsTable[[#This Row],[pi_last_name]]=" ","",HYPERLINK("https://www.ejacket.nsf.gov/ej/showProposal.do?Continue=Y&amp;ID="&amp;BudgetsTable[[#This Row],[prop_id]],BudgetsTable[[#This Row],[prop_id]]))</f>
        <v>1763240</v>
      </c>
      <c r="M310" s="15" t="e">
        <f>IF(BudgetsTable[[#This Row],[pi_last_name]]=" ","",HYPERLINK("https://www.ejacket.nsf.gov/ej/processReviewAnalysis.do?dispatch=add&amp;uniqId="&amp;BudgetsTable[[#This Row],[prop_id]]&amp;PO_id,"&gt;ra"))</f>
        <v>#REF!</v>
      </c>
      <c r="N310" s="79" t="s">
        <v>1261</v>
      </c>
      <c r="O310" s="7" t="str">
        <f>IF(BudgetsTable[[#This Row],[pi_last_name]]=" ","",HYPERLINK("mailto:"&amp;BudgetsTable[[#This Row],[pi_email]]&amp;"&amp;subject=Your NSF Proposal:  "&amp;BudgetsTable[[#This Row],[prop_id]],BudgetsTable[[#This Row],[pi_email]]))</f>
        <v>anupamg@cs.cmu.edu</v>
      </c>
      <c r="P310" s="79" t="s">
        <v>497</v>
      </c>
      <c r="Q310" s="79"/>
      <c r="R310" s="79"/>
      <c r="S310" s="80"/>
      <c r="T310" s="80"/>
      <c r="U310" s="80"/>
      <c r="V310" s="81"/>
      <c r="W310" s="79">
        <v>0</v>
      </c>
      <c r="X310" s="79"/>
      <c r="Y310" s="11" t="str">
        <f ca="1">IF(ISBLANK(BudgetsTable[[#This Row],[budg_seq_yr]]),"FY"&amp;fiscalyear,"FY"&amp;fiscalyear-1+BudgetsTable[[#This Row],[budg_seq_yr]])</f>
        <v>FY18</v>
      </c>
      <c r="Z310" s="80">
        <v>600000</v>
      </c>
      <c r="AA310" s="79" t="s">
        <v>477</v>
      </c>
      <c r="AB310" s="79" t="s">
        <v>582</v>
      </c>
      <c r="AC310" s="77" t="s">
        <v>94</v>
      </c>
      <c r="AD310" s="79" t="s">
        <v>1704</v>
      </c>
    </row>
    <row r="311" spans="1:30" x14ac:dyDescent="0.4">
      <c r="A311" s="10" t="s">
        <v>1260</v>
      </c>
      <c r="B311" s="77" t="s">
        <v>491</v>
      </c>
      <c r="C311" s="77">
        <f>C310+(BudgetsTable[[#This Row],[lead]]&lt;&gt;K310)</f>
        <v>71</v>
      </c>
      <c r="D311" s="77">
        <f>D310*(BudgetsTable[[#This Row],[lead]]=K310)+(BudgetsTable[[#This Row],[prop_id]]&lt;&gt;A310)</f>
        <v>1</v>
      </c>
      <c r="E311" s="78">
        <v>43003.681944444441</v>
      </c>
      <c r="F311" s="79" t="s">
        <v>524</v>
      </c>
      <c r="G311" s="79" t="s">
        <v>477</v>
      </c>
      <c r="H311" s="79" t="s">
        <v>582</v>
      </c>
      <c r="I311" s="77" t="s">
        <v>611</v>
      </c>
      <c r="J311" s="77" t="s">
        <v>13</v>
      </c>
      <c r="K311" s="79" t="s">
        <v>1260</v>
      </c>
      <c r="L311" s="7" t="str">
        <f>IF(BudgetsTable[[#This Row],[pi_last_name]]=" ","",HYPERLINK("https://www.ejacket.nsf.gov/ej/showProposal.do?Continue=Y&amp;ID="&amp;BudgetsTable[[#This Row],[prop_id]],BudgetsTable[[#This Row],[prop_id]]))</f>
        <v/>
      </c>
      <c r="M311" s="15" t="str">
        <f>IF(BudgetsTable[[#This Row],[pi_last_name]]=" ","",HYPERLINK("https://www.ejacket.nsf.gov/ej/processReviewAnalysis.do?dispatch=add&amp;uniqId="&amp;BudgetsTable[[#This Row],[prop_id]]&amp;PO_id,"&gt;ra"))</f>
        <v/>
      </c>
      <c r="N311" s="79" t="s">
        <v>13</v>
      </c>
      <c r="O311" s="7" t="str">
        <f>IF(BudgetsTable[[#This Row],[pi_last_name]]=" ","",HYPERLINK("mailto:"&amp;BudgetsTable[[#This Row],[pi_email]]&amp;"&amp;subject=Your NSF Proposal:  "&amp;BudgetsTable[[#This Row],[prop_id]],BudgetsTable[[#This Row],[pi_email]]))</f>
        <v/>
      </c>
      <c r="P311" s="79" t="s">
        <v>13</v>
      </c>
      <c r="Q311" s="79">
        <v>1</v>
      </c>
      <c r="R311" s="79">
        <v>1</v>
      </c>
      <c r="S311" s="80">
        <v>0</v>
      </c>
      <c r="T311" s="80">
        <v>0</v>
      </c>
      <c r="U311" s="80">
        <v>0</v>
      </c>
      <c r="V311" s="81">
        <v>143405</v>
      </c>
      <c r="W311" s="79">
        <v>0</v>
      </c>
      <c r="X311" s="79">
        <v>1</v>
      </c>
      <c r="Y311" s="11" t="str">
        <f ca="1">IF(ISBLANK(BudgetsTable[[#This Row],[budg_seq_yr]]),"FY"&amp;fiscalyear,"FY"&amp;fiscalyear-1+BudgetsTable[[#This Row],[budg_seq_yr]])</f>
        <v>FY18</v>
      </c>
      <c r="Z311" s="80">
        <v>143405</v>
      </c>
      <c r="AA311" s="79" t="s">
        <v>477</v>
      </c>
      <c r="AB311" s="79" t="s">
        <v>582</v>
      </c>
      <c r="AC311" s="77" t="s">
        <v>94</v>
      </c>
      <c r="AD311" s="79" t="s">
        <v>1704</v>
      </c>
    </row>
    <row r="312" spans="1:30" x14ac:dyDescent="0.4">
      <c r="A312" s="10" t="s">
        <v>1260</v>
      </c>
      <c r="B312" s="77" t="s">
        <v>491</v>
      </c>
      <c r="C312" s="77">
        <f>C311+(BudgetsTable[[#This Row],[lead]]&lt;&gt;K311)</f>
        <v>71</v>
      </c>
      <c r="D312" s="77">
        <f>D311*(BudgetsTable[[#This Row],[lead]]=K311)+(BudgetsTable[[#This Row],[prop_id]]&lt;&gt;A311)</f>
        <v>1</v>
      </c>
      <c r="E312" s="78">
        <v>43003.681944444441</v>
      </c>
      <c r="F312" s="79" t="s">
        <v>524</v>
      </c>
      <c r="G312" s="79" t="s">
        <v>477</v>
      </c>
      <c r="H312" s="79" t="s">
        <v>582</v>
      </c>
      <c r="I312" s="77" t="s">
        <v>611</v>
      </c>
      <c r="J312" s="77" t="s">
        <v>13</v>
      </c>
      <c r="K312" s="79" t="s">
        <v>1260</v>
      </c>
      <c r="L312" s="7" t="str">
        <f>IF(BudgetsTable[[#This Row],[pi_last_name]]=" ","",HYPERLINK("https://www.ejacket.nsf.gov/ej/showProposal.do?Continue=Y&amp;ID="&amp;BudgetsTable[[#This Row],[prop_id]],BudgetsTable[[#This Row],[prop_id]]))</f>
        <v/>
      </c>
      <c r="M312" s="15" t="str">
        <f>IF(BudgetsTable[[#This Row],[pi_last_name]]=" ","",HYPERLINK("https://www.ejacket.nsf.gov/ej/processReviewAnalysis.do?dispatch=add&amp;uniqId="&amp;BudgetsTable[[#This Row],[prop_id]]&amp;PO_id,"&gt;ra"))</f>
        <v/>
      </c>
      <c r="N312" s="79" t="s">
        <v>13</v>
      </c>
      <c r="O312" s="7" t="str">
        <f>IF(BudgetsTable[[#This Row],[pi_last_name]]=" ","",HYPERLINK("mailto:"&amp;BudgetsTable[[#This Row],[pi_email]]&amp;"&amp;subject=Your NSF Proposal:  "&amp;BudgetsTable[[#This Row],[prop_id]],BudgetsTable[[#This Row],[pi_email]]))</f>
        <v/>
      </c>
      <c r="P312" s="79" t="s">
        <v>13</v>
      </c>
      <c r="Q312" s="79">
        <v>1</v>
      </c>
      <c r="R312" s="79">
        <v>1</v>
      </c>
      <c r="S312" s="80">
        <v>0</v>
      </c>
      <c r="T312" s="80">
        <v>0</v>
      </c>
      <c r="U312" s="80">
        <v>0</v>
      </c>
      <c r="V312" s="81">
        <v>147716</v>
      </c>
      <c r="W312" s="79">
        <v>0</v>
      </c>
      <c r="X312" s="79">
        <v>2</v>
      </c>
      <c r="Y312" s="11" t="str">
        <f ca="1">IF(ISBLANK(BudgetsTable[[#This Row],[budg_seq_yr]]),"FY"&amp;fiscalyear,"FY"&amp;fiscalyear-1+BudgetsTable[[#This Row],[budg_seq_yr]])</f>
        <v>FY19</v>
      </c>
      <c r="Z312" s="80">
        <v>147716</v>
      </c>
      <c r="AA312" s="79" t="s">
        <v>477</v>
      </c>
      <c r="AB312" s="79" t="s">
        <v>582</v>
      </c>
      <c r="AC312" s="77" t="s">
        <v>94</v>
      </c>
      <c r="AD312" s="79" t="s">
        <v>1704</v>
      </c>
    </row>
    <row r="313" spans="1:30" x14ac:dyDescent="0.4">
      <c r="A313" s="10" t="s">
        <v>1260</v>
      </c>
      <c r="B313" s="77" t="s">
        <v>491</v>
      </c>
      <c r="C313" s="77">
        <f>C312+(BudgetsTable[[#This Row],[lead]]&lt;&gt;K312)</f>
        <v>71</v>
      </c>
      <c r="D313" s="77">
        <f>D312*(BudgetsTable[[#This Row],[lead]]=K312)+(BudgetsTable[[#This Row],[prop_id]]&lt;&gt;A312)</f>
        <v>1</v>
      </c>
      <c r="E313" s="78">
        <v>43003.681944444441</v>
      </c>
      <c r="F313" s="79" t="s">
        <v>524</v>
      </c>
      <c r="G313" s="79" t="s">
        <v>477</v>
      </c>
      <c r="H313" s="79" t="s">
        <v>582</v>
      </c>
      <c r="I313" s="77" t="s">
        <v>611</v>
      </c>
      <c r="J313" s="77" t="s">
        <v>13</v>
      </c>
      <c r="K313" s="79" t="s">
        <v>1260</v>
      </c>
      <c r="L313" s="7" t="str">
        <f>IF(BudgetsTable[[#This Row],[pi_last_name]]=" ","",HYPERLINK("https://www.ejacket.nsf.gov/ej/showProposal.do?Continue=Y&amp;ID="&amp;BudgetsTable[[#This Row],[prop_id]],BudgetsTable[[#This Row],[prop_id]]))</f>
        <v/>
      </c>
      <c r="M313" s="15" t="str">
        <f>IF(BudgetsTable[[#This Row],[pi_last_name]]=" ","",HYPERLINK("https://www.ejacket.nsf.gov/ej/processReviewAnalysis.do?dispatch=add&amp;uniqId="&amp;BudgetsTable[[#This Row],[prop_id]]&amp;PO_id,"&gt;ra"))</f>
        <v/>
      </c>
      <c r="N313" s="79" t="s">
        <v>13</v>
      </c>
      <c r="O313" s="7" t="str">
        <f>IF(BudgetsTable[[#This Row],[pi_last_name]]=" ","",HYPERLINK("mailto:"&amp;BudgetsTable[[#This Row],[pi_email]]&amp;"&amp;subject=Your NSF Proposal:  "&amp;BudgetsTable[[#This Row],[prop_id]],BudgetsTable[[#This Row],[pi_email]]))</f>
        <v/>
      </c>
      <c r="P313" s="79" t="s">
        <v>13</v>
      </c>
      <c r="Q313" s="79">
        <v>1</v>
      </c>
      <c r="R313" s="79">
        <v>1</v>
      </c>
      <c r="S313" s="80">
        <v>0</v>
      </c>
      <c r="T313" s="80">
        <v>0</v>
      </c>
      <c r="U313" s="80">
        <v>0</v>
      </c>
      <c r="V313" s="81">
        <v>152157</v>
      </c>
      <c r="W313" s="79">
        <v>0</v>
      </c>
      <c r="X313" s="79">
        <v>3</v>
      </c>
      <c r="Y313" s="11" t="str">
        <f ca="1">IF(ISBLANK(BudgetsTable[[#This Row],[budg_seq_yr]]),"FY"&amp;fiscalyear,"FY"&amp;fiscalyear-1+BudgetsTable[[#This Row],[budg_seq_yr]])</f>
        <v>FY20</v>
      </c>
      <c r="Z313" s="80">
        <v>152157</v>
      </c>
      <c r="AA313" s="79" t="s">
        <v>477</v>
      </c>
      <c r="AB313" s="79" t="s">
        <v>582</v>
      </c>
      <c r="AC313" s="77" t="s">
        <v>94</v>
      </c>
      <c r="AD313" s="79" t="s">
        <v>1704</v>
      </c>
    </row>
    <row r="314" spans="1:30" x14ac:dyDescent="0.4">
      <c r="A314" s="10" t="s">
        <v>1260</v>
      </c>
      <c r="B314" s="77" t="s">
        <v>491</v>
      </c>
      <c r="C314" s="77">
        <f>C313+(BudgetsTable[[#This Row],[lead]]&lt;&gt;K313)</f>
        <v>71</v>
      </c>
      <c r="D314" s="77">
        <f>D313*(BudgetsTable[[#This Row],[lead]]=K313)+(BudgetsTable[[#This Row],[prop_id]]&lt;&gt;A313)</f>
        <v>1</v>
      </c>
      <c r="E314" s="78">
        <v>43003.681944444441</v>
      </c>
      <c r="F314" s="79" t="s">
        <v>524</v>
      </c>
      <c r="G314" s="79" t="s">
        <v>477</v>
      </c>
      <c r="H314" s="79" t="s">
        <v>582</v>
      </c>
      <c r="I314" s="77" t="s">
        <v>611</v>
      </c>
      <c r="J314" s="77" t="s">
        <v>13</v>
      </c>
      <c r="K314" s="79" t="s">
        <v>1260</v>
      </c>
      <c r="L314" s="7" t="str">
        <f>IF(BudgetsTable[[#This Row],[pi_last_name]]=" ","",HYPERLINK("https://www.ejacket.nsf.gov/ej/showProposal.do?Continue=Y&amp;ID="&amp;BudgetsTable[[#This Row],[prop_id]],BudgetsTable[[#This Row],[prop_id]]))</f>
        <v/>
      </c>
      <c r="M314" s="15" t="str">
        <f>IF(BudgetsTable[[#This Row],[pi_last_name]]=" ","",HYPERLINK("https://www.ejacket.nsf.gov/ej/processReviewAnalysis.do?dispatch=add&amp;uniqId="&amp;BudgetsTable[[#This Row],[prop_id]]&amp;PO_id,"&gt;ra"))</f>
        <v/>
      </c>
      <c r="N314" s="79" t="s">
        <v>13</v>
      </c>
      <c r="O314" s="7" t="str">
        <f>IF(BudgetsTable[[#This Row],[pi_last_name]]=" ","",HYPERLINK("mailto:"&amp;BudgetsTable[[#This Row],[pi_email]]&amp;"&amp;subject=Your NSF Proposal:  "&amp;BudgetsTable[[#This Row],[prop_id]],BudgetsTable[[#This Row],[pi_email]]))</f>
        <v/>
      </c>
      <c r="P314" s="79" t="s">
        <v>13</v>
      </c>
      <c r="Q314" s="79">
        <v>1</v>
      </c>
      <c r="R314" s="79">
        <v>1</v>
      </c>
      <c r="S314" s="80">
        <v>0</v>
      </c>
      <c r="T314" s="80">
        <v>0</v>
      </c>
      <c r="U314" s="80">
        <v>0</v>
      </c>
      <c r="V314" s="81">
        <v>156722</v>
      </c>
      <c r="W314" s="79">
        <v>0</v>
      </c>
      <c r="X314" s="79">
        <v>4</v>
      </c>
      <c r="Y314" s="11" t="str">
        <f ca="1">IF(ISBLANK(BudgetsTable[[#This Row],[budg_seq_yr]]),"FY"&amp;fiscalyear,"FY"&amp;fiscalyear-1+BudgetsTable[[#This Row],[budg_seq_yr]])</f>
        <v>FY21</v>
      </c>
      <c r="Z314" s="80">
        <v>156722</v>
      </c>
      <c r="AA314" s="79" t="s">
        <v>477</v>
      </c>
      <c r="AB314" s="79" t="s">
        <v>582</v>
      </c>
      <c r="AC314" s="77" t="s">
        <v>94</v>
      </c>
      <c r="AD314" s="79" t="s">
        <v>1704</v>
      </c>
    </row>
    <row r="315" spans="1:30" x14ac:dyDescent="0.4">
      <c r="A315" s="10" t="s">
        <v>1708</v>
      </c>
      <c r="B315" s="77" t="s">
        <v>493</v>
      </c>
      <c r="C315" s="77">
        <f>C314+(BudgetsTable[[#This Row],[lead]]&lt;&gt;K314)</f>
        <v>71</v>
      </c>
      <c r="D315" s="77">
        <f>D314*(BudgetsTable[[#This Row],[lead]]=K314)+(BudgetsTable[[#This Row],[prop_id]]&lt;&gt;A314)</f>
        <v>2</v>
      </c>
      <c r="E315" s="78">
        <v>43004.43472222222</v>
      </c>
      <c r="F315" s="79" t="s">
        <v>524</v>
      </c>
      <c r="G315" s="79" t="s">
        <v>477</v>
      </c>
      <c r="H315" s="79" t="s">
        <v>582</v>
      </c>
      <c r="I315" s="77" t="s">
        <v>611</v>
      </c>
      <c r="J315" s="77" t="s">
        <v>1518</v>
      </c>
      <c r="K315" s="79" t="s">
        <v>1260</v>
      </c>
      <c r="L315" s="7" t="str">
        <f>IF(BudgetsTable[[#This Row],[pi_last_name]]=" ","",HYPERLINK("https://www.ejacket.nsf.gov/ej/showProposal.do?Continue=Y&amp;ID="&amp;BudgetsTable[[#This Row],[prop_id]],BudgetsTable[[#This Row],[prop_id]]))</f>
        <v>1763293</v>
      </c>
      <c r="M315" s="15" t="e">
        <f>IF(BudgetsTable[[#This Row],[pi_last_name]]=" ","",HYPERLINK("https://www.ejacket.nsf.gov/ej/processReviewAnalysis.do?dispatch=add&amp;uniqId="&amp;BudgetsTable[[#This Row],[prop_id]]&amp;PO_id,"&gt;ra"))</f>
        <v>#REF!</v>
      </c>
      <c r="N315" s="79" t="s">
        <v>844</v>
      </c>
      <c r="O315" s="7" t="str">
        <f>IF(BudgetsTable[[#This Row],[pi_last_name]]=" ","",HYPERLINK("mailto:"&amp;BudgetsTable[[#This Row],[pi_email]]&amp;"&amp;subject=Your NSF Proposal:  "&amp;BudgetsTable[[#This Row],[prop_id]],BudgetsTable[[#This Row],[pi_email]]))</f>
        <v>viswa@umich.edu</v>
      </c>
      <c r="P315" s="79" t="s">
        <v>307</v>
      </c>
      <c r="Q315" s="79"/>
      <c r="R315" s="79"/>
      <c r="S315" s="80"/>
      <c r="T315" s="80"/>
      <c r="U315" s="80"/>
      <c r="V315" s="81"/>
      <c r="W315" s="79">
        <v>0</v>
      </c>
      <c r="X315" s="79"/>
      <c r="Y315" s="11" t="str">
        <f ca="1">IF(ISBLANK(BudgetsTable[[#This Row],[budg_seq_yr]]),"FY"&amp;fiscalyear,"FY"&amp;fiscalyear-1+BudgetsTable[[#This Row],[budg_seq_yr]])</f>
        <v>FY18</v>
      </c>
      <c r="Z315" s="80">
        <v>599999</v>
      </c>
      <c r="AA315" s="79" t="s">
        <v>477</v>
      </c>
      <c r="AB315" s="79" t="s">
        <v>582</v>
      </c>
      <c r="AC315" s="77" t="s">
        <v>94</v>
      </c>
      <c r="AD315" s="79" t="s">
        <v>1704</v>
      </c>
    </row>
    <row r="316" spans="1:30" x14ac:dyDescent="0.4">
      <c r="A316" s="10" t="s">
        <v>1708</v>
      </c>
      <c r="B316" s="77" t="s">
        <v>493</v>
      </c>
      <c r="C316" s="77">
        <f>C315+(BudgetsTable[[#This Row],[lead]]&lt;&gt;K315)</f>
        <v>71</v>
      </c>
      <c r="D316" s="77">
        <f>D315*(BudgetsTable[[#This Row],[lead]]=K315)+(BudgetsTable[[#This Row],[prop_id]]&lt;&gt;A315)</f>
        <v>2</v>
      </c>
      <c r="E316" s="78">
        <v>43004.43472222222</v>
      </c>
      <c r="F316" s="79" t="s">
        <v>524</v>
      </c>
      <c r="G316" s="79" t="s">
        <v>477</v>
      </c>
      <c r="H316" s="79" t="s">
        <v>582</v>
      </c>
      <c r="I316" s="77" t="s">
        <v>611</v>
      </c>
      <c r="J316" s="77" t="s">
        <v>13</v>
      </c>
      <c r="K316" s="79" t="s">
        <v>1260</v>
      </c>
      <c r="L316" s="7" t="str">
        <f>IF(BudgetsTable[[#This Row],[pi_last_name]]=" ","",HYPERLINK("https://www.ejacket.nsf.gov/ej/showProposal.do?Continue=Y&amp;ID="&amp;BudgetsTable[[#This Row],[prop_id]],BudgetsTable[[#This Row],[prop_id]]))</f>
        <v/>
      </c>
      <c r="M316" s="15" t="str">
        <f>IF(BudgetsTable[[#This Row],[pi_last_name]]=" ","",HYPERLINK("https://www.ejacket.nsf.gov/ej/processReviewAnalysis.do?dispatch=add&amp;uniqId="&amp;BudgetsTable[[#This Row],[prop_id]]&amp;PO_id,"&gt;ra"))</f>
        <v/>
      </c>
      <c r="N316" s="79" t="s">
        <v>13</v>
      </c>
      <c r="O316" s="7" t="str">
        <f>IF(BudgetsTable[[#This Row],[pi_last_name]]=" ","",HYPERLINK("mailto:"&amp;BudgetsTable[[#This Row],[pi_email]]&amp;"&amp;subject=Your NSF Proposal:  "&amp;BudgetsTable[[#This Row],[prop_id]],BudgetsTable[[#This Row],[pi_email]]))</f>
        <v/>
      </c>
      <c r="P316" s="79" t="s">
        <v>13</v>
      </c>
      <c r="Q316" s="79">
        <v>1</v>
      </c>
      <c r="R316" s="79">
        <v>0</v>
      </c>
      <c r="S316" s="80">
        <v>0</v>
      </c>
      <c r="T316" s="80">
        <v>0</v>
      </c>
      <c r="U316" s="80">
        <v>0</v>
      </c>
      <c r="V316" s="81">
        <v>119833</v>
      </c>
      <c r="W316" s="79">
        <v>0</v>
      </c>
      <c r="X316" s="79">
        <v>1</v>
      </c>
      <c r="Y316" s="11" t="str">
        <f ca="1">IF(ISBLANK(BudgetsTable[[#This Row],[budg_seq_yr]]),"FY"&amp;fiscalyear,"FY"&amp;fiscalyear-1+BudgetsTable[[#This Row],[budg_seq_yr]])</f>
        <v>FY18</v>
      </c>
      <c r="Z316" s="80">
        <v>119833</v>
      </c>
      <c r="AA316" s="79" t="s">
        <v>477</v>
      </c>
      <c r="AB316" s="79" t="s">
        <v>582</v>
      </c>
      <c r="AC316" s="77" t="s">
        <v>94</v>
      </c>
      <c r="AD316" s="79" t="s">
        <v>1704</v>
      </c>
    </row>
    <row r="317" spans="1:30" x14ac:dyDescent="0.4">
      <c r="A317" s="10" t="s">
        <v>1708</v>
      </c>
      <c r="B317" s="77" t="s">
        <v>493</v>
      </c>
      <c r="C317" s="77">
        <f>C316+(BudgetsTable[[#This Row],[lead]]&lt;&gt;K316)</f>
        <v>71</v>
      </c>
      <c r="D317" s="77">
        <f>D316*(BudgetsTable[[#This Row],[lead]]=K316)+(BudgetsTable[[#This Row],[prop_id]]&lt;&gt;A316)</f>
        <v>2</v>
      </c>
      <c r="E317" s="78">
        <v>43004.43472222222</v>
      </c>
      <c r="F317" s="79" t="s">
        <v>524</v>
      </c>
      <c r="G317" s="79" t="s">
        <v>477</v>
      </c>
      <c r="H317" s="79" t="s">
        <v>582</v>
      </c>
      <c r="I317" s="77" t="s">
        <v>611</v>
      </c>
      <c r="J317" s="77" t="s">
        <v>13</v>
      </c>
      <c r="K317" s="79" t="s">
        <v>1260</v>
      </c>
      <c r="L317" s="7" t="str">
        <f>IF(BudgetsTable[[#This Row],[pi_last_name]]=" ","",HYPERLINK("https://www.ejacket.nsf.gov/ej/showProposal.do?Continue=Y&amp;ID="&amp;BudgetsTable[[#This Row],[prop_id]],BudgetsTable[[#This Row],[prop_id]]))</f>
        <v/>
      </c>
      <c r="M317" s="15" t="str">
        <f>IF(BudgetsTable[[#This Row],[pi_last_name]]=" ","",HYPERLINK("https://www.ejacket.nsf.gov/ej/processReviewAnalysis.do?dispatch=add&amp;uniqId="&amp;BudgetsTable[[#This Row],[prop_id]]&amp;PO_id,"&gt;ra"))</f>
        <v/>
      </c>
      <c r="N317" s="79" t="s">
        <v>13</v>
      </c>
      <c r="O317" s="7" t="str">
        <f>IF(BudgetsTable[[#This Row],[pi_last_name]]=" ","",HYPERLINK("mailto:"&amp;BudgetsTable[[#This Row],[pi_email]]&amp;"&amp;subject=Your NSF Proposal:  "&amp;BudgetsTable[[#This Row],[prop_id]],BudgetsTable[[#This Row],[pi_email]]))</f>
        <v/>
      </c>
      <c r="P317" s="79" t="s">
        <v>13</v>
      </c>
      <c r="Q317" s="79">
        <v>1</v>
      </c>
      <c r="R317" s="79">
        <v>0</v>
      </c>
      <c r="S317" s="80">
        <v>0</v>
      </c>
      <c r="T317" s="80">
        <v>0</v>
      </c>
      <c r="U317" s="80">
        <v>0</v>
      </c>
      <c r="V317" s="81">
        <v>153654</v>
      </c>
      <c r="W317" s="79">
        <v>0</v>
      </c>
      <c r="X317" s="79">
        <v>2</v>
      </c>
      <c r="Y317" s="11" t="str">
        <f ca="1">IF(ISBLANK(BudgetsTable[[#This Row],[budg_seq_yr]]),"FY"&amp;fiscalyear,"FY"&amp;fiscalyear-1+BudgetsTable[[#This Row],[budg_seq_yr]])</f>
        <v>FY19</v>
      </c>
      <c r="Z317" s="80">
        <v>153654</v>
      </c>
      <c r="AA317" s="79" t="s">
        <v>477</v>
      </c>
      <c r="AB317" s="79" t="s">
        <v>582</v>
      </c>
      <c r="AC317" s="77" t="s">
        <v>94</v>
      </c>
      <c r="AD317" s="79" t="s">
        <v>1704</v>
      </c>
    </row>
    <row r="318" spans="1:30" x14ac:dyDescent="0.4">
      <c r="A318" s="10" t="s">
        <v>1708</v>
      </c>
      <c r="B318" s="77" t="s">
        <v>493</v>
      </c>
      <c r="C318" s="77">
        <f>C317+(BudgetsTable[[#This Row],[lead]]&lt;&gt;K317)</f>
        <v>71</v>
      </c>
      <c r="D318" s="77">
        <f>D317*(BudgetsTable[[#This Row],[lead]]=K317)+(BudgetsTable[[#This Row],[prop_id]]&lt;&gt;A317)</f>
        <v>2</v>
      </c>
      <c r="E318" s="78">
        <v>43004.43472222222</v>
      </c>
      <c r="F318" s="79" t="s">
        <v>524</v>
      </c>
      <c r="G318" s="79" t="s">
        <v>477</v>
      </c>
      <c r="H318" s="79" t="s">
        <v>582</v>
      </c>
      <c r="I318" s="77" t="s">
        <v>611</v>
      </c>
      <c r="J318" s="77" t="s">
        <v>13</v>
      </c>
      <c r="K318" s="79" t="s">
        <v>1260</v>
      </c>
      <c r="L318" s="7" t="str">
        <f>IF(BudgetsTable[[#This Row],[pi_last_name]]=" ","",HYPERLINK("https://www.ejacket.nsf.gov/ej/showProposal.do?Continue=Y&amp;ID="&amp;BudgetsTable[[#This Row],[prop_id]],BudgetsTable[[#This Row],[prop_id]]))</f>
        <v/>
      </c>
      <c r="M318" s="15" t="str">
        <f>IF(BudgetsTable[[#This Row],[pi_last_name]]=" ","",HYPERLINK("https://www.ejacket.nsf.gov/ej/processReviewAnalysis.do?dispatch=add&amp;uniqId="&amp;BudgetsTable[[#This Row],[prop_id]]&amp;PO_id,"&gt;ra"))</f>
        <v/>
      </c>
      <c r="N318" s="79" t="s">
        <v>13</v>
      </c>
      <c r="O318" s="7" t="str">
        <f>IF(BudgetsTable[[#This Row],[pi_last_name]]=" ","",HYPERLINK("mailto:"&amp;BudgetsTable[[#This Row],[pi_email]]&amp;"&amp;subject=Your NSF Proposal:  "&amp;BudgetsTable[[#This Row],[prop_id]],BudgetsTable[[#This Row],[pi_email]]))</f>
        <v/>
      </c>
      <c r="P318" s="79" t="s">
        <v>13</v>
      </c>
      <c r="Q318" s="79">
        <v>1</v>
      </c>
      <c r="R318" s="79">
        <v>0</v>
      </c>
      <c r="S318" s="80">
        <v>0</v>
      </c>
      <c r="T318" s="80">
        <v>0</v>
      </c>
      <c r="U318" s="80">
        <v>0</v>
      </c>
      <c r="V318" s="81">
        <v>159940</v>
      </c>
      <c r="W318" s="79">
        <v>0</v>
      </c>
      <c r="X318" s="79">
        <v>3</v>
      </c>
      <c r="Y318" s="11" t="str">
        <f ca="1">IF(ISBLANK(BudgetsTable[[#This Row],[budg_seq_yr]]),"FY"&amp;fiscalyear,"FY"&amp;fiscalyear-1+BudgetsTable[[#This Row],[budg_seq_yr]])</f>
        <v>FY20</v>
      </c>
      <c r="Z318" s="80">
        <v>159940</v>
      </c>
      <c r="AA318" s="79" t="s">
        <v>477</v>
      </c>
      <c r="AB318" s="79" t="s">
        <v>582</v>
      </c>
      <c r="AC318" s="77" t="s">
        <v>94</v>
      </c>
      <c r="AD318" s="79" t="s">
        <v>1704</v>
      </c>
    </row>
    <row r="319" spans="1:30" x14ac:dyDescent="0.4">
      <c r="A319" s="10" t="s">
        <v>1708</v>
      </c>
      <c r="B319" s="77" t="s">
        <v>493</v>
      </c>
      <c r="C319" s="77">
        <f>C318+(BudgetsTable[[#This Row],[lead]]&lt;&gt;K318)</f>
        <v>71</v>
      </c>
      <c r="D319" s="77">
        <f>D318*(BudgetsTable[[#This Row],[lead]]=K318)+(BudgetsTable[[#This Row],[prop_id]]&lt;&gt;A318)</f>
        <v>2</v>
      </c>
      <c r="E319" s="78">
        <v>43004.43472222222</v>
      </c>
      <c r="F319" s="79" t="s">
        <v>524</v>
      </c>
      <c r="G319" s="79" t="s">
        <v>477</v>
      </c>
      <c r="H319" s="79" t="s">
        <v>582</v>
      </c>
      <c r="I319" s="77" t="s">
        <v>611</v>
      </c>
      <c r="J319" s="77" t="s">
        <v>13</v>
      </c>
      <c r="K319" s="79" t="s">
        <v>1260</v>
      </c>
      <c r="L319" s="7" t="str">
        <f>IF(BudgetsTable[[#This Row],[pi_last_name]]=" ","",HYPERLINK("https://www.ejacket.nsf.gov/ej/showProposal.do?Continue=Y&amp;ID="&amp;BudgetsTable[[#This Row],[prop_id]],BudgetsTable[[#This Row],[prop_id]]))</f>
        <v/>
      </c>
      <c r="M319" s="15" t="str">
        <f>IF(BudgetsTable[[#This Row],[pi_last_name]]=" ","",HYPERLINK("https://www.ejacket.nsf.gov/ej/processReviewAnalysis.do?dispatch=add&amp;uniqId="&amp;BudgetsTable[[#This Row],[prop_id]]&amp;PO_id,"&gt;ra"))</f>
        <v/>
      </c>
      <c r="N319" s="79" t="s">
        <v>13</v>
      </c>
      <c r="O319" s="7" t="str">
        <f>IF(BudgetsTable[[#This Row],[pi_last_name]]=" ","",HYPERLINK("mailto:"&amp;BudgetsTable[[#This Row],[pi_email]]&amp;"&amp;subject=Your NSF Proposal:  "&amp;BudgetsTable[[#This Row],[prop_id]],BudgetsTable[[#This Row],[pi_email]]))</f>
        <v/>
      </c>
      <c r="P319" s="79" t="s">
        <v>13</v>
      </c>
      <c r="Q319" s="79">
        <v>1</v>
      </c>
      <c r="R319" s="79">
        <v>0</v>
      </c>
      <c r="S319" s="80">
        <v>0</v>
      </c>
      <c r="T319" s="80">
        <v>0</v>
      </c>
      <c r="U319" s="80">
        <v>0</v>
      </c>
      <c r="V319" s="81">
        <v>166572</v>
      </c>
      <c r="W319" s="79">
        <v>0</v>
      </c>
      <c r="X319" s="79">
        <v>4</v>
      </c>
      <c r="Y319" s="11" t="str">
        <f ca="1">IF(ISBLANK(BudgetsTable[[#This Row],[budg_seq_yr]]),"FY"&amp;fiscalyear,"FY"&amp;fiscalyear-1+BudgetsTable[[#This Row],[budg_seq_yr]])</f>
        <v>FY21</v>
      </c>
      <c r="Z319" s="80">
        <v>166572</v>
      </c>
      <c r="AA319" s="79" t="s">
        <v>477</v>
      </c>
      <c r="AB319" s="79" t="s">
        <v>582</v>
      </c>
      <c r="AC319" s="77" t="s">
        <v>94</v>
      </c>
      <c r="AD319" s="79" t="s">
        <v>1704</v>
      </c>
    </row>
    <row r="320" spans="1:30" x14ac:dyDescent="0.4">
      <c r="A320" s="10" t="s">
        <v>1279</v>
      </c>
      <c r="B320" s="77" t="s">
        <v>95</v>
      </c>
      <c r="C320" s="77">
        <f>C319+(BudgetsTable[[#This Row],[lead]]&lt;&gt;K319)</f>
        <v>72</v>
      </c>
      <c r="D320" s="77">
        <f>D319*(BudgetsTable[[#This Row],[lead]]=K319)+(BudgetsTable[[#This Row],[prop_id]]&lt;&gt;A319)</f>
        <v>1</v>
      </c>
      <c r="E320" s="78">
        <v>43003.736805555556</v>
      </c>
      <c r="F320" s="79" t="s">
        <v>524</v>
      </c>
      <c r="G320" s="79" t="s">
        <v>477</v>
      </c>
      <c r="H320" s="79" t="s">
        <v>582</v>
      </c>
      <c r="I320" s="77" t="s">
        <v>654</v>
      </c>
      <c r="J320" s="77" t="s">
        <v>1711</v>
      </c>
      <c r="K320" s="79" t="s">
        <v>1279</v>
      </c>
      <c r="L320" s="7" t="str">
        <f>IF(BudgetsTable[[#This Row],[pi_last_name]]=" ","",HYPERLINK("https://www.ejacket.nsf.gov/ej/showProposal.do?Continue=Y&amp;ID="&amp;BudgetsTable[[#This Row],[prop_id]],BudgetsTable[[#This Row],[prop_id]]))</f>
        <v>1763258</v>
      </c>
      <c r="M320" s="15" t="e">
        <f>IF(BudgetsTable[[#This Row],[pi_last_name]]=" ","",HYPERLINK("https://www.ejacket.nsf.gov/ej/processReviewAnalysis.do?dispatch=add&amp;uniqId="&amp;BudgetsTable[[#This Row],[prop_id]]&amp;PO_id,"&gt;ra"))</f>
        <v>#REF!</v>
      </c>
      <c r="N320" s="79" t="s">
        <v>1280</v>
      </c>
      <c r="O320" s="7" t="str">
        <f>IF(BudgetsTable[[#This Row],[pi_last_name]]=" ","",HYPERLINK("mailto:"&amp;BudgetsTable[[#This Row],[pi_email]]&amp;"&amp;subject=Your NSF Proposal:  "&amp;BudgetsTable[[#This Row],[prop_id]],BudgetsTable[[#This Row],[pi_email]]))</f>
        <v>goodrich@acm.org</v>
      </c>
      <c r="P320" s="79" t="s">
        <v>1709</v>
      </c>
      <c r="Q320" s="79"/>
      <c r="R320" s="79"/>
      <c r="S320" s="80"/>
      <c r="T320" s="80"/>
      <c r="U320" s="80"/>
      <c r="V320" s="81"/>
      <c r="W320" s="79">
        <v>0</v>
      </c>
      <c r="X320" s="79"/>
      <c r="Y320" s="11" t="str">
        <f ca="1">IF(ISBLANK(BudgetsTable[[#This Row],[budg_seq_yr]]),"FY"&amp;fiscalyear,"FY"&amp;fiscalyear-1+BudgetsTable[[#This Row],[budg_seq_yr]])</f>
        <v>FY18</v>
      </c>
      <c r="Z320" s="80">
        <v>1199544</v>
      </c>
      <c r="AA320" s="79" t="s">
        <v>477</v>
      </c>
      <c r="AB320" s="79" t="s">
        <v>582</v>
      </c>
      <c r="AC320" s="77" t="s">
        <v>94</v>
      </c>
      <c r="AD320" s="79" t="s">
        <v>1704</v>
      </c>
    </row>
    <row r="321" spans="1:30" x14ac:dyDescent="0.4">
      <c r="A321" s="10" t="s">
        <v>1279</v>
      </c>
      <c r="B321" s="77" t="s">
        <v>95</v>
      </c>
      <c r="C321" s="77">
        <f>C320+(BudgetsTable[[#This Row],[lead]]&lt;&gt;K320)</f>
        <v>72</v>
      </c>
      <c r="D321" s="77">
        <f>D320*(BudgetsTable[[#This Row],[lead]]=K320)+(BudgetsTable[[#This Row],[prop_id]]&lt;&gt;A320)</f>
        <v>1</v>
      </c>
      <c r="E321" s="78">
        <v>43003.736805555556</v>
      </c>
      <c r="F321" s="79" t="s">
        <v>524</v>
      </c>
      <c r="G321" s="79" t="s">
        <v>477</v>
      </c>
      <c r="H321" s="79" t="s">
        <v>582</v>
      </c>
      <c r="I321" s="77" t="s">
        <v>654</v>
      </c>
      <c r="J321" s="77" t="s">
        <v>13</v>
      </c>
      <c r="K321" s="79" t="s">
        <v>1279</v>
      </c>
      <c r="L321" s="7" t="str">
        <f>IF(BudgetsTable[[#This Row],[pi_last_name]]=" ","",HYPERLINK("https://www.ejacket.nsf.gov/ej/showProposal.do?Continue=Y&amp;ID="&amp;BudgetsTable[[#This Row],[prop_id]],BudgetsTable[[#This Row],[prop_id]]))</f>
        <v/>
      </c>
      <c r="M321" s="15" t="str">
        <f>IF(BudgetsTable[[#This Row],[pi_last_name]]=" ","",HYPERLINK("https://www.ejacket.nsf.gov/ej/processReviewAnalysis.do?dispatch=add&amp;uniqId="&amp;BudgetsTable[[#This Row],[prop_id]]&amp;PO_id,"&gt;ra"))</f>
        <v/>
      </c>
      <c r="N321" s="79" t="s">
        <v>13</v>
      </c>
      <c r="O321" s="7" t="str">
        <f>IF(BudgetsTable[[#This Row],[pi_last_name]]=" ","",HYPERLINK("mailto:"&amp;BudgetsTable[[#This Row],[pi_email]]&amp;"&amp;subject=Your NSF Proposal:  "&amp;BudgetsTable[[#This Row],[prop_id]],BudgetsTable[[#This Row],[pi_email]]))</f>
        <v/>
      </c>
      <c r="P321" s="79" t="s">
        <v>13</v>
      </c>
      <c r="Q321" s="79">
        <v>3</v>
      </c>
      <c r="R321" s="79">
        <v>2.5</v>
      </c>
      <c r="S321" s="80">
        <v>0</v>
      </c>
      <c r="T321" s="80">
        <v>7950</v>
      </c>
      <c r="U321" s="80">
        <v>0</v>
      </c>
      <c r="V321" s="81">
        <v>264254</v>
      </c>
      <c r="W321" s="79">
        <v>0</v>
      </c>
      <c r="X321" s="79">
        <v>1</v>
      </c>
      <c r="Y321" s="11" t="str">
        <f ca="1">IF(ISBLANK(BudgetsTable[[#This Row],[budg_seq_yr]]),"FY"&amp;fiscalyear,"FY"&amp;fiscalyear-1+BudgetsTable[[#This Row],[budg_seq_yr]])</f>
        <v>FY18</v>
      </c>
      <c r="Z321" s="80">
        <v>264254</v>
      </c>
      <c r="AA321" s="79" t="s">
        <v>477</v>
      </c>
      <c r="AB321" s="79" t="s">
        <v>582</v>
      </c>
      <c r="AC321" s="77" t="s">
        <v>94</v>
      </c>
      <c r="AD321" s="79" t="s">
        <v>1704</v>
      </c>
    </row>
    <row r="322" spans="1:30" x14ac:dyDescent="0.4">
      <c r="A322" s="10" t="s">
        <v>1279</v>
      </c>
      <c r="B322" s="77" t="s">
        <v>95</v>
      </c>
      <c r="C322" s="77">
        <f>C321+(BudgetsTable[[#This Row],[lead]]&lt;&gt;K321)</f>
        <v>72</v>
      </c>
      <c r="D322" s="77">
        <f>D321*(BudgetsTable[[#This Row],[lead]]=K321)+(BudgetsTable[[#This Row],[prop_id]]&lt;&gt;A321)</f>
        <v>1</v>
      </c>
      <c r="E322" s="78">
        <v>43003.736805555556</v>
      </c>
      <c r="F322" s="79" t="s">
        <v>524</v>
      </c>
      <c r="G322" s="79" t="s">
        <v>477</v>
      </c>
      <c r="H322" s="79" t="s">
        <v>582</v>
      </c>
      <c r="I322" s="77" t="s">
        <v>654</v>
      </c>
      <c r="J322" s="77" t="s">
        <v>13</v>
      </c>
      <c r="K322" s="79" t="s">
        <v>1279</v>
      </c>
      <c r="L322" s="7" t="str">
        <f>IF(BudgetsTable[[#This Row],[pi_last_name]]=" ","",HYPERLINK("https://www.ejacket.nsf.gov/ej/showProposal.do?Continue=Y&amp;ID="&amp;BudgetsTable[[#This Row],[prop_id]],BudgetsTable[[#This Row],[prop_id]]))</f>
        <v/>
      </c>
      <c r="M322" s="15" t="str">
        <f>IF(BudgetsTable[[#This Row],[pi_last_name]]=" ","",HYPERLINK("https://www.ejacket.nsf.gov/ej/processReviewAnalysis.do?dispatch=add&amp;uniqId="&amp;BudgetsTable[[#This Row],[prop_id]]&amp;PO_id,"&gt;ra"))</f>
        <v/>
      </c>
      <c r="N322" s="79" t="s">
        <v>13</v>
      </c>
      <c r="O322" s="7" t="str">
        <f>IF(BudgetsTable[[#This Row],[pi_last_name]]=" ","",HYPERLINK("mailto:"&amp;BudgetsTable[[#This Row],[pi_email]]&amp;"&amp;subject=Your NSF Proposal:  "&amp;BudgetsTable[[#This Row],[prop_id]],BudgetsTable[[#This Row],[pi_email]]))</f>
        <v/>
      </c>
      <c r="P322" s="79" t="s">
        <v>13</v>
      </c>
      <c r="Q322" s="79">
        <v>3</v>
      </c>
      <c r="R322" s="79">
        <v>2.5</v>
      </c>
      <c r="S322" s="80">
        <v>0</v>
      </c>
      <c r="T322" s="80">
        <v>8190</v>
      </c>
      <c r="U322" s="80">
        <v>0</v>
      </c>
      <c r="V322" s="81">
        <v>272689</v>
      </c>
      <c r="W322" s="79">
        <v>0</v>
      </c>
      <c r="X322" s="79">
        <v>2</v>
      </c>
      <c r="Y322" s="11" t="str">
        <f ca="1">IF(ISBLANK(BudgetsTable[[#This Row],[budg_seq_yr]]),"FY"&amp;fiscalyear,"FY"&amp;fiscalyear-1+BudgetsTable[[#This Row],[budg_seq_yr]])</f>
        <v>FY19</v>
      </c>
      <c r="Z322" s="80">
        <v>272689</v>
      </c>
      <c r="AA322" s="79" t="s">
        <v>477</v>
      </c>
      <c r="AB322" s="79" t="s">
        <v>582</v>
      </c>
      <c r="AC322" s="77" t="s">
        <v>94</v>
      </c>
      <c r="AD322" s="79" t="s">
        <v>1704</v>
      </c>
    </row>
    <row r="323" spans="1:30" x14ac:dyDescent="0.4">
      <c r="A323" s="10" t="s">
        <v>1279</v>
      </c>
      <c r="B323" s="77" t="s">
        <v>95</v>
      </c>
      <c r="C323" s="77">
        <f>C322+(BudgetsTable[[#This Row],[lead]]&lt;&gt;K322)</f>
        <v>72</v>
      </c>
      <c r="D323" s="77">
        <f>D322*(BudgetsTable[[#This Row],[lead]]=K322)+(BudgetsTable[[#This Row],[prop_id]]&lt;&gt;A322)</f>
        <v>1</v>
      </c>
      <c r="E323" s="78">
        <v>43003.736805555556</v>
      </c>
      <c r="F323" s="79" t="s">
        <v>524</v>
      </c>
      <c r="G323" s="79" t="s">
        <v>477</v>
      </c>
      <c r="H323" s="79" t="s">
        <v>582</v>
      </c>
      <c r="I323" s="77" t="s">
        <v>654</v>
      </c>
      <c r="J323" s="77" t="s">
        <v>13</v>
      </c>
      <c r="K323" s="79" t="s">
        <v>1279</v>
      </c>
      <c r="L323" s="7" t="str">
        <f>IF(BudgetsTable[[#This Row],[pi_last_name]]=" ","",HYPERLINK("https://www.ejacket.nsf.gov/ej/showProposal.do?Continue=Y&amp;ID="&amp;BudgetsTable[[#This Row],[prop_id]],BudgetsTable[[#This Row],[prop_id]]))</f>
        <v/>
      </c>
      <c r="M323" s="15" t="str">
        <f>IF(BudgetsTable[[#This Row],[pi_last_name]]=" ","",HYPERLINK("https://www.ejacket.nsf.gov/ej/processReviewAnalysis.do?dispatch=add&amp;uniqId="&amp;BudgetsTable[[#This Row],[prop_id]]&amp;PO_id,"&gt;ra"))</f>
        <v/>
      </c>
      <c r="N323" s="79" t="s">
        <v>13</v>
      </c>
      <c r="O323" s="7" t="str">
        <f>IF(BudgetsTable[[#This Row],[pi_last_name]]=" ","",HYPERLINK("mailto:"&amp;BudgetsTable[[#This Row],[pi_email]]&amp;"&amp;subject=Your NSF Proposal:  "&amp;BudgetsTable[[#This Row],[prop_id]],BudgetsTable[[#This Row],[pi_email]]))</f>
        <v/>
      </c>
      <c r="P323" s="79" t="s">
        <v>13</v>
      </c>
      <c r="Q323" s="79">
        <v>3</v>
      </c>
      <c r="R323" s="79">
        <v>3.5</v>
      </c>
      <c r="S323" s="80">
        <v>0</v>
      </c>
      <c r="T323" s="80">
        <v>8435</v>
      </c>
      <c r="U323" s="80">
        <v>0</v>
      </c>
      <c r="V323" s="81">
        <v>326266</v>
      </c>
      <c r="W323" s="79">
        <v>0</v>
      </c>
      <c r="X323" s="79">
        <v>3</v>
      </c>
      <c r="Y323" s="11" t="str">
        <f ca="1">IF(ISBLANK(BudgetsTable[[#This Row],[budg_seq_yr]]),"FY"&amp;fiscalyear,"FY"&amp;fiscalyear-1+BudgetsTable[[#This Row],[budg_seq_yr]])</f>
        <v>FY20</v>
      </c>
      <c r="Z323" s="80">
        <v>326266</v>
      </c>
      <c r="AA323" s="79" t="s">
        <v>477</v>
      </c>
      <c r="AB323" s="79" t="s">
        <v>582</v>
      </c>
      <c r="AC323" s="77" t="s">
        <v>94</v>
      </c>
      <c r="AD323" s="79" t="s">
        <v>1704</v>
      </c>
    </row>
    <row r="324" spans="1:30" x14ac:dyDescent="0.4">
      <c r="A324" s="10" t="s">
        <v>1279</v>
      </c>
      <c r="B324" s="77" t="s">
        <v>95</v>
      </c>
      <c r="C324" s="77">
        <f>C323+(BudgetsTable[[#This Row],[lead]]&lt;&gt;K323)</f>
        <v>72</v>
      </c>
      <c r="D324" s="77">
        <f>D323*(BudgetsTable[[#This Row],[lead]]=K323)+(BudgetsTable[[#This Row],[prop_id]]&lt;&gt;A323)</f>
        <v>1</v>
      </c>
      <c r="E324" s="78">
        <v>43003.736805555556</v>
      </c>
      <c r="F324" s="79" t="s">
        <v>524</v>
      </c>
      <c r="G324" s="79" t="s">
        <v>477</v>
      </c>
      <c r="H324" s="79" t="s">
        <v>582</v>
      </c>
      <c r="I324" s="77" t="s">
        <v>654</v>
      </c>
      <c r="J324" s="77" t="s">
        <v>13</v>
      </c>
      <c r="K324" s="79" t="s">
        <v>1279</v>
      </c>
      <c r="L324" s="7" t="str">
        <f>IF(BudgetsTable[[#This Row],[pi_last_name]]=" ","",HYPERLINK("https://www.ejacket.nsf.gov/ej/showProposal.do?Continue=Y&amp;ID="&amp;BudgetsTable[[#This Row],[prop_id]],BudgetsTable[[#This Row],[prop_id]]))</f>
        <v/>
      </c>
      <c r="M324" s="15" t="str">
        <f>IF(BudgetsTable[[#This Row],[pi_last_name]]=" ","",HYPERLINK("https://www.ejacket.nsf.gov/ej/processReviewAnalysis.do?dispatch=add&amp;uniqId="&amp;BudgetsTable[[#This Row],[prop_id]]&amp;PO_id,"&gt;ra"))</f>
        <v/>
      </c>
      <c r="N324" s="79" t="s">
        <v>13</v>
      </c>
      <c r="O324" s="7" t="str">
        <f>IF(BudgetsTable[[#This Row],[pi_last_name]]=" ","",HYPERLINK("mailto:"&amp;BudgetsTable[[#This Row],[pi_email]]&amp;"&amp;subject=Your NSF Proposal:  "&amp;BudgetsTable[[#This Row],[prop_id]],BudgetsTable[[#This Row],[pi_email]]))</f>
        <v/>
      </c>
      <c r="P324" s="79" t="s">
        <v>13</v>
      </c>
      <c r="Q324" s="79">
        <v>3</v>
      </c>
      <c r="R324" s="79">
        <v>3.5</v>
      </c>
      <c r="S324" s="80">
        <v>0</v>
      </c>
      <c r="T324" s="80">
        <v>8690</v>
      </c>
      <c r="U324" s="80">
        <v>0</v>
      </c>
      <c r="V324" s="81">
        <v>336335</v>
      </c>
      <c r="W324" s="79">
        <v>0</v>
      </c>
      <c r="X324" s="79">
        <v>4</v>
      </c>
      <c r="Y324" s="11" t="str">
        <f ca="1">IF(ISBLANK(BudgetsTable[[#This Row],[budg_seq_yr]]),"FY"&amp;fiscalyear,"FY"&amp;fiscalyear-1+BudgetsTable[[#This Row],[budg_seq_yr]])</f>
        <v>FY21</v>
      </c>
      <c r="Z324" s="80">
        <v>336335</v>
      </c>
      <c r="AA324" s="79" t="s">
        <v>477</v>
      </c>
      <c r="AB324" s="79" t="s">
        <v>582</v>
      </c>
      <c r="AC324" s="77" t="s">
        <v>94</v>
      </c>
      <c r="AD324" s="79" t="s">
        <v>1704</v>
      </c>
    </row>
    <row r="325" spans="1:30" x14ac:dyDescent="0.4">
      <c r="A325" s="10" t="s">
        <v>1295</v>
      </c>
      <c r="B325" s="77" t="s">
        <v>491</v>
      </c>
      <c r="C325" s="77">
        <f>C324+(BudgetsTable[[#This Row],[lead]]&lt;&gt;K324)</f>
        <v>73</v>
      </c>
      <c r="D325" s="77">
        <f>D324*(BudgetsTable[[#This Row],[lead]]=K324)+(BudgetsTable[[#This Row],[prop_id]]&lt;&gt;A324)</f>
        <v>1</v>
      </c>
      <c r="E325" s="78">
        <v>43004.474999999999</v>
      </c>
      <c r="F325" s="79" t="s">
        <v>524</v>
      </c>
      <c r="G325" s="79" t="s">
        <v>477</v>
      </c>
      <c r="H325" s="79" t="s">
        <v>582</v>
      </c>
      <c r="I325" s="77" t="s">
        <v>611</v>
      </c>
      <c r="J325" s="77" t="s">
        <v>1716</v>
      </c>
      <c r="K325" s="79" t="s">
        <v>1295</v>
      </c>
      <c r="L325" s="7" t="str">
        <f>IF(BudgetsTable[[#This Row],[pi_last_name]]=" ","",HYPERLINK("https://www.ejacket.nsf.gov/ej/showProposal.do?Continue=Y&amp;ID="&amp;BudgetsTable[[#This Row],[prop_id]],BudgetsTable[[#This Row],[prop_id]]))</f>
        <v>1763307</v>
      </c>
      <c r="M325" s="15" t="e">
        <f>IF(BudgetsTable[[#This Row],[pi_last_name]]=" ","",HYPERLINK("https://www.ejacket.nsf.gov/ej/processReviewAnalysis.do?dispatch=add&amp;uniqId="&amp;BudgetsTable[[#This Row],[prop_id]]&amp;PO_id,"&gt;ra"))</f>
        <v>#REF!</v>
      </c>
      <c r="N325" s="79" t="s">
        <v>1296</v>
      </c>
      <c r="O325" s="7" t="str">
        <f>IF(BudgetsTable[[#This Row],[pi_last_name]]=" ","",HYPERLINK("mailto:"&amp;BudgetsTable[[#This Row],[pi_email]]&amp;"&amp;subject=Your NSF Proposal:  "&amp;BudgetsTable[[#This Row],[prop_id]],BudgetsTable[[#This Row],[pi_email]]))</f>
        <v>aaroth@cis.upenn.edu</v>
      </c>
      <c r="P325" s="79" t="s">
        <v>527</v>
      </c>
      <c r="Q325" s="79"/>
      <c r="R325" s="79"/>
      <c r="S325" s="80"/>
      <c r="T325" s="80"/>
      <c r="U325" s="80"/>
      <c r="V325" s="81"/>
      <c r="W325" s="79">
        <v>0</v>
      </c>
      <c r="X325" s="79"/>
      <c r="Y325" s="11" t="str">
        <f ca="1">IF(ISBLANK(BudgetsTable[[#This Row],[budg_seq_yr]]),"FY"&amp;fiscalyear,"FY"&amp;fiscalyear-1+BudgetsTable[[#This Row],[budg_seq_yr]])</f>
        <v>FY18</v>
      </c>
      <c r="Z325" s="80">
        <v>950000</v>
      </c>
      <c r="AA325" s="79" t="s">
        <v>477</v>
      </c>
      <c r="AB325" s="79" t="s">
        <v>582</v>
      </c>
      <c r="AC325" s="77" t="s">
        <v>94</v>
      </c>
      <c r="AD325" s="79" t="s">
        <v>1712</v>
      </c>
    </row>
    <row r="326" spans="1:30" x14ac:dyDescent="0.4">
      <c r="A326" s="10" t="s">
        <v>1295</v>
      </c>
      <c r="B326" s="77" t="s">
        <v>491</v>
      </c>
      <c r="C326" s="77">
        <f>C325+(BudgetsTable[[#This Row],[lead]]&lt;&gt;K325)</f>
        <v>73</v>
      </c>
      <c r="D326" s="77">
        <f>D325*(BudgetsTable[[#This Row],[lead]]=K325)+(BudgetsTable[[#This Row],[prop_id]]&lt;&gt;A325)</f>
        <v>1</v>
      </c>
      <c r="E326" s="78">
        <v>43004.474999999999</v>
      </c>
      <c r="F326" s="79" t="s">
        <v>524</v>
      </c>
      <c r="G326" s="79" t="s">
        <v>477</v>
      </c>
      <c r="H326" s="79" t="s">
        <v>582</v>
      </c>
      <c r="I326" s="77" t="s">
        <v>611</v>
      </c>
      <c r="J326" s="77" t="s">
        <v>13</v>
      </c>
      <c r="K326" s="79" t="s">
        <v>1295</v>
      </c>
      <c r="L326" s="7" t="str">
        <f>IF(BudgetsTable[[#This Row],[pi_last_name]]=" ","",HYPERLINK("https://www.ejacket.nsf.gov/ej/showProposal.do?Continue=Y&amp;ID="&amp;BudgetsTable[[#This Row],[prop_id]],BudgetsTable[[#This Row],[prop_id]]))</f>
        <v/>
      </c>
      <c r="M326" s="15" t="str">
        <f>IF(BudgetsTable[[#This Row],[pi_last_name]]=" ","",HYPERLINK("https://www.ejacket.nsf.gov/ej/processReviewAnalysis.do?dispatch=add&amp;uniqId="&amp;BudgetsTable[[#This Row],[prop_id]]&amp;PO_id,"&gt;ra"))</f>
        <v/>
      </c>
      <c r="N326" s="79" t="s">
        <v>13</v>
      </c>
      <c r="O326" s="7" t="str">
        <f>IF(BudgetsTable[[#This Row],[pi_last_name]]=" ","",HYPERLINK("mailto:"&amp;BudgetsTable[[#This Row],[pi_email]]&amp;"&amp;subject=Your NSF Proposal:  "&amp;BudgetsTable[[#This Row],[prop_id]],BudgetsTable[[#This Row],[pi_email]]))</f>
        <v/>
      </c>
      <c r="P326" s="79" t="s">
        <v>13</v>
      </c>
      <c r="Q326" s="79">
        <v>3</v>
      </c>
      <c r="R326" s="79">
        <v>1.75</v>
      </c>
      <c r="S326" s="80">
        <v>0</v>
      </c>
      <c r="T326" s="80">
        <v>0</v>
      </c>
      <c r="U326" s="80">
        <v>0</v>
      </c>
      <c r="V326" s="81">
        <v>181622</v>
      </c>
      <c r="W326" s="79">
        <v>0</v>
      </c>
      <c r="X326" s="79">
        <v>1</v>
      </c>
      <c r="Y326" s="11" t="str">
        <f ca="1">IF(ISBLANK(BudgetsTable[[#This Row],[budg_seq_yr]]),"FY"&amp;fiscalyear,"FY"&amp;fiscalyear-1+BudgetsTable[[#This Row],[budg_seq_yr]])</f>
        <v>FY18</v>
      </c>
      <c r="Z326" s="80">
        <v>181622</v>
      </c>
      <c r="AA326" s="79" t="s">
        <v>477</v>
      </c>
      <c r="AB326" s="79" t="s">
        <v>582</v>
      </c>
      <c r="AC326" s="77" t="s">
        <v>94</v>
      </c>
      <c r="AD326" s="79" t="s">
        <v>1712</v>
      </c>
    </row>
    <row r="327" spans="1:30" x14ac:dyDescent="0.4">
      <c r="A327" s="10" t="s">
        <v>1295</v>
      </c>
      <c r="B327" s="77" t="s">
        <v>491</v>
      </c>
      <c r="C327" s="77">
        <f>C326+(BudgetsTable[[#This Row],[lead]]&lt;&gt;K326)</f>
        <v>73</v>
      </c>
      <c r="D327" s="77">
        <f>D326*(BudgetsTable[[#This Row],[lead]]=K326)+(BudgetsTable[[#This Row],[prop_id]]&lt;&gt;A326)</f>
        <v>1</v>
      </c>
      <c r="E327" s="78">
        <v>43004.474999999999</v>
      </c>
      <c r="F327" s="79" t="s">
        <v>524</v>
      </c>
      <c r="G327" s="79" t="s">
        <v>477</v>
      </c>
      <c r="H327" s="79" t="s">
        <v>582</v>
      </c>
      <c r="I327" s="77" t="s">
        <v>611</v>
      </c>
      <c r="J327" s="77" t="s">
        <v>13</v>
      </c>
      <c r="K327" s="79" t="s">
        <v>1295</v>
      </c>
      <c r="L327" s="7" t="str">
        <f>IF(BudgetsTable[[#This Row],[pi_last_name]]=" ","",HYPERLINK("https://www.ejacket.nsf.gov/ej/showProposal.do?Continue=Y&amp;ID="&amp;BudgetsTable[[#This Row],[prop_id]],BudgetsTable[[#This Row],[prop_id]]))</f>
        <v/>
      </c>
      <c r="M327" s="15" t="str">
        <f>IF(BudgetsTable[[#This Row],[pi_last_name]]=" ","",HYPERLINK("https://www.ejacket.nsf.gov/ej/processReviewAnalysis.do?dispatch=add&amp;uniqId="&amp;BudgetsTable[[#This Row],[prop_id]]&amp;PO_id,"&gt;ra"))</f>
        <v/>
      </c>
      <c r="N327" s="79" t="s">
        <v>13</v>
      </c>
      <c r="O327" s="7" t="str">
        <f>IF(BudgetsTable[[#This Row],[pi_last_name]]=" ","",HYPERLINK("mailto:"&amp;BudgetsTable[[#This Row],[pi_email]]&amp;"&amp;subject=Your NSF Proposal:  "&amp;BudgetsTable[[#This Row],[prop_id]],BudgetsTable[[#This Row],[pi_email]]))</f>
        <v/>
      </c>
      <c r="P327" s="79" t="s">
        <v>13</v>
      </c>
      <c r="Q327" s="79">
        <v>3</v>
      </c>
      <c r="R327" s="79">
        <v>1.75</v>
      </c>
      <c r="S327" s="80">
        <v>0</v>
      </c>
      <c r="T327" s="80">
        <v>0</v>
      </c>
      <c r="U327" s="80">
        <v>0</v>
      </c>
      <c r="V327" s="81">
        <v>223997</v>
      </c>
      <c r="W327" s="79">
        <v>0</v>
      </c>
      <c r="X327" s="79">
        <v>2</v>
      </c>
      <c r="Y327" s="11" t="str">
        <f ca="1">IF(ISBLANK(BudgetsTable[[#This Row],[budg_seq_yr]]),"FY"&amp;fiscalyear,"FY"&amp;fiscalyear-1+BudgetsTable[[#This Row],[budg_seq_yr]])</f>
        <v>FY19</v>
      </c>
      <c r="Z327" s="80">
        <v>223997</v>
      </c>
      <c r="AA327" s="79" t="s">
        <v>477</v>
      </c>
      <c r="AB327" s="79" t="s">
        <v>582</v>
      </c>
      <c r="AC327" s="77" t="s">
        <v>94</v>
      </c>
      <c r="AD327" s="79" t="s">
        <v>1712</v>
      </c>
    </row>
    <row r="328" spans="1:30" x14ac:dyDescent="0.4">
      <c r="A328" s="10" t="s">
        <v>1295</v>
      </c>
      <c r="B328" s="77" t="s">
        <v>491</v>
      </c>
      <c r="C328" s="77">
        <f>C327+(BudgetsTable[[#This Row],[lead]]&lt;&gt;K327)</f>
        <v>73</v>
      </c>
      <c r="D328" s="77">
        <f>D327*(BudgetsTable[[#This Row],[lead]]=K327)+(BudgetsTable[[#This Row],[prop_id]]&lt;&gt;A327)</f>
        <v>1</v>
      </c>
      <c r="E328" s="78">
        <v>43004.474999999999</v>
      </c>
      <c r="F328" s="79" t="s">
        <v>524</v>
      </c>
      <c r="G328" s="79" t="s">
        <v>477</v>
      </c>
      <c r="H328" s="79" t="s">
        <v>582</v>
      </c>
      <c r="I328" s="77" t="s">
        <v>611</v>
      </c>
      <c r="J328" s="77" t="s">
        <v>13</v>
      </c>
      <c r="K328" s="79" t="s">
        <v>1295</v>
      </c>
      <c r="L328" s="7" t="str">
        <f>IF(BudgetsTable[[#This Row],[pi_last_name]]=" ","",HYPERLINK("https://www.ejacket.nsf.gov/ej/showProposal.do?Continue=Y&amp;ID="&amp;BudgetsTable[[#This Row],[prop_id]],BudgetsTable[[#This Row],[prop_id]]))</f>
        <v/>
      </c>
      <c r="M328" s="15" t="str">
        <f>IF(BudgetsTable[[#This Row],[pi_last_name]]=" ","",HYPERLINK("https://www.ejacket.nsf.gov/ej/processReviewAnalysis.do?dispatch=add&amp;uniqId="&amp;BudgetsTable[[#This Row],[prop_id]]&amp;PO_id,"&gt;ra"))</f>
        <v/>
      </c>
      <c r="N328" s="79" t="s">
        <v>13</v>
      </c>
      <c r="O328" s="7" t="str">
        <f>IF(BudgetsTable[[#This Row],[pi_last_name]]=" ","",HYPERLINK("mailto:"&amp;BudgetsTable[[#This Row],[pi_email]]&amp;"&amp;subject=Your NSF Proposal:  "&amp;BudgetsTable[[#This Row],[prop_id]],BudgetsTable[[#This Row],[pi_email]]))</f>
        <v/>
      </c>
      <c r="P328" s="79" t="s">
        <v>13</v>
      </c>
      <c r="Q328" s="79">
        <v>3</v>
      </c>
      <c r="R328" s="79">
        <v>1.75</v>
      </c>
      <c r="S328" s="80">
        <v>0</v>
      </c>
      <c r="T328" s="80">
        <v>0</v>
      </c>
      <c r="U328" s="80">
        <v>0</v>
      </c>
      <c r="V328" s="81">
        <v>267615</v>
      </c>
      <c r="W328" s="79">
        <v>0</v>
      </c>
      <c r="X328" s="79">
        <v>3</v>
      </c>
      <c r="Y328" s="11" t="str">
        <f ca="1">IF(ISBLANK(BudgetsTable[[#This Row],[budg_seq_yr]]),"FY"&amp;fiscalyear,"FY"&amp;fiscalyear-1+BudgetsTable[[#This Row],[budg_seq_yr]])</f>
        <v>FY20</v>
      </c>
      <c r="Z328" s="80">
        <v>267615</v>
      </c>
      <c r="AA328" s="79" t="s">
        <v>477</v>
      </c>
      <c r="AB328" s="79" t="s">
        <v>582</v>
      </c>
      <c r="AC328" s="77" t="s">
        <v>94</v>
      </c>
      <c r="AD328" s="79" t="s">
        <v>1712</v>
      </c>
    </row>
    <row r="329" spans="1:30" x14ac:dyDescent="0.4">
      <c r="A329" s="10" t="s">
        <v>1295</v>
      </c>
      <c r="B329" s="77" t="s">
        <v>491</v>
      </c>
      <c r="C329" s="77">
        <f>C328+(BudgetsTable[[#This Row],[lead]]&lt;&gt;K328)</f>
        <v>73</v>
      </c>
      <c r="D329" s="77">
        <f>D328*(BudgetsTable[[#This Row],[lead]]=K328)+(BudgetsTable[[#This Row],[prop_id]]&lt;&gt;A328)</f>
        <v>1</v>
      </c>
      <c r="E329" s="78">
        <v>43004.474999999999</v>
      </c>
      <c r="F329" s="79" t="s">
        <v>524</v>
      </c>
      <c r="G329" s="79" t="s">
        <v>477</v>
      </c>
      <c r="H329" s="79" t="s">
        <v>582</v>
      </c>
      <c r="I329" s="77" t="s">
        <v>611</v>
      </c>
      <c r="J329" s="77" t="s">
        <v>13</v>
      </c>
      <c r="K329" s="79" t="s">
        <v>1295</v>
      </c>
      <c r="L329" s="7" t="str">
        <f>IF(BudgetsTable[[#This Row],[pi_last_name]]=" ","",HYPERLINK("https://www.ejacket.nsf.gov/ej/showProposal.do?Continue=Y&amp;ID="&amp;BudgetsTable[[#This Row],[prop_id]],BudgetsTable[[#This Row],[prop_id]]))</f>
        <v/>
      </c>
      <c r="M329" s="15" t="str">
        <f>IF(BudgetsTable[[#This Row],[pi_last_name]]=" ","",HYPERLINK("https://www.ejacket.nsf.gov/ej/processReviewAnalysis.do?dispatch=add&amp;uniqId="&amp;BudgetsTable[[#This Row],[prop_id]]&amp;PO_id,"&gt;ra"))</f>
        <v/>
      </c>
      <c r="N329" s="79" t="s">
        <v>13</v>
      </c>
      <c r="O329" s="7" t="str">
        <f>IF(BudgetsTable[[#This Row],[pi_last_name]]=" ","",HYPERLINK("mailto:"&amp;BudgetsTable[[#This Row],[pi_email]]&amp;"&amp;subject=Your NSF Proposal:  "&amp;BudgetsTable[[#This Row],[prop_id]],BudgetsTable[[#This Row],[pi_email]]))</f>
        <v/>
      </c>
      <c r="P329" s="79" t="s">
        <v>13</v>
      </c>
      <c r="Q329" s="79">
        <v>3</v>
      </c>
      <c r="R329" s="79">
        <v>1.75</v>
      </c>
      <c r="S329" s="80">
        <v>0</v>
      </c>
      <c r="T329" s="80">
        <v>0</v>
      </c>
      <c r="U329" s="80">
        <v>0</v>
      </c>
      <c r="V329" s="81">
        <v>276766</v>
      </c>
      <c r="W329" s="79">
        <v>0</v>
      </c>
      <c r="X329" s="79">
        <v>4</v>
      </c>
      <c r="Y329" s="11" t="str">
        <f ca="1">IF(ISBLANK(BudgetsTable[[#This Row],[budg_seq_yr]]),"FY"&amp;fiscalyear,"FY"&amp;fiscalyear-1+BudgetsTable[[#This Row],[budg_seq_yr]])</f>
        <v>FY21</v>
      </c>
      <c r="Z329" s="80">
        <v>276766</v>
      </c>
      <c r="AA329" s="79" t="s">
        <v>477</v>
      </c>
      <c r="AB329" s="79" t="s">
        <v>582</v>
      </c>
      <c r="AC329" s="77" t="s">
        <v>94</v>
      </c>
      <c r="AD329" s="79" t="s">
        <v>1712</v>
      </c>
    </row>
    <row r="330" spans="1:30" x14ac:dyDescent="0.4">
      <c r="A330" s="10" t="s">
        <v>1717</v>
      </c>
      <c r="B330" s="77" t="s">
        <v>493</v>
      </c>
      <c r="C330" s="77">
        <f>C329+(BudgetsTable[[#This Row],[lead]]&lt;&gt;K329)</f>
        <v>73</v>
      </c>
      <c r="D330" s="77">
        <f>D329*(BudgetsTable[[#This Row],[lead]]=K329)+(BudgetsTable[[#This Row],[prop_id]]&lt;&gt;A329)</f>
        <v>2</v>
      </c>
      <c r="E330" s="78">
        <v>43004.605555555558</v>
      </c>
      <c r="F330" s="79" t="s">
        <v>524</v>
      </c>
      <c r="G330" s="79" t="s">
        <v>477</v>
      </c>
      <c r="H330" s="79" t="s">
        <v>582</v>
      </c>
      <c r="I330" s="77" t="s">
        <v>611</v>
      </c>
      <c r="J330" s="77" t="s">
        <v>1721</v>
      </c>
      <c r="K330" s="79" t="s">
        <v>1295</v>
      </c>
      <c r="L330" s="7" t="str">
        <f>IF(BudgetsTable[[#This Row],[pi_last_name]]=" ","",HYPERLINK("https://www.ejacket.nsf.gov/ej/showProposal.do?Continue=Y&amp;ID="&amp;BudgetsTable[[#This Row],[prop_id]],BudgetsTable[[#This Row],[prop_id]]))</f>
        <v>1763349</v>
      </c>
      <c r="M330" s="15" t="e">
        <f>IF(BudgetsTable[[#This Row],[pi_last_name]]=" ","",HYPERLINK("https://www.ejacket.nsf.gov/ej/processReviewAnalysis.do?dispatch=add&amp;uniqId="&amp;BudgetsTable[[#This Row],[prop_id]]&amp;PO_id,"&gt;ra"))</f>
        <v>#REF!</v>
      </c>
      <c r="N330" s="79" t="s">
        <v>1718</v>
      </c>
      <c r="O330" s="7" t="str">
        <f>IF(BudgetsTable[[#This Row],[pi_last_name]]=" ","",HYPERLINK("mailto:"&amp;BudgetsTable[[#This Row],[pi_email]]&amp;"&amp;subject=Your NSF Proposal:  "&amp;BudgetsTable[[#This Row],[prop_id]],BudgetsTable[[#This Row],[pi_email]]))</f>
        <v>Mallesh.Pai@rice.edu</v>
      </c>
      <c r="P330" s="79" t="s">
        <v>499</v>
      </c>
      <c r="Q330" s="79"/>
      <c r="R330" s="79"/>
      <c r="S330" s="80"/>
      <c r="T330" s="80"/>
      <c r="U330" s="80"/>
      <c r="V330" s="81"/>
      <c r="W330" s="79">
        <v>0</v>
      </c>
      <c r="X330" s="79"/>
      <c r="Y330" s="11" t="str">
        <f ca="1">IF(ISBLANK(BudgetsTable[[#This Row],[budg_seq_yr]]),"FY"&amp;fiscalyear,"FY"&amp;fiscalyear-1+BudgetsTable[[#This Row],[budg_seq_yr]])</f>
        <v>FY18</v>
      </c>
      <c r="Z330" s="80">
        <v>250000</v>
      </c>
      <c r="AA330" s="79" t="s">
        <v>477</v>
      </c>
      <c r="AB330" s="79" t="s">
        <v>582</v>
      </c>
      <c r="AC330" s="77" t="s">
        <v>94</v>
      </c>
      <c r="AD330" s="79" t="s">
        <v>1712</v>
      </c>
    </row>
    <row r="331" spans="1:30" x14ac:dyDescent="0.4">
      <c r="A331" s="10" t="s">
        <v>1717</v>
      </c>
      <c r="B331" s="77" t="s">
        <v>493</v>
      </c>
      <c r="C331" s="77">
        <f>C330+(BudgetsTable[[#This Row],[lead]]&lt;&gt;K330)</f>
        <v>73</v>
      </c>
      <c r="D331" s="77">
        <f>D330*(BudgetsTable[[#This Row],[lead]]=K330)+(BudgetsTable[[#This Row],[prop_id]]&lt;&gt;A330)</f>
        <v>2</v>
      </c>
      <c r="E331" s="78">
        <v>43004.605555555558</v>
      </c>
      <c r="F331" s="79" t="s">
        <v>524</v>
      </c>
      <c r="G331" s="79" t="s">
        <v>477</v>
      </c>
      <c r="H331" s="79" t="s">
        <v>582</v>
      </c>
      <c r="I331" s="77" t="s">
        <v>611</v>
      </c>
      <c r="J331" s="77" t="s">
        <v>13</v>
      </c>
      <c r="K331" s="79" t="s">
        <v>1295</v>
      </c>
      <c r="L331" s="7" t="str">
        <f>IF(BudgetsTable[[#This Row],[pi_last_name]]=" ","",HYPERLINK("https://www.ejacket.nsf.gov/ej/showProposal.do?Continue=Y&amp;ID="&amp;BudgetsTable[[#This Row],[prop_id]],BudgetsTable[[#This Row],[prop_id]]))</f>
        <v/>
      </c>
      <c r="M331" s="15" t="str">
        <f>IF(BudgetsTable[[#This Row],[pi_last_name]]=" ","",HYPERLINK("https://www.ejacket.nsf.gov/ej/processReviewAnalysis.do?dispatch=add&amp;uniqId="&amp;BudgetsTable[[#This Row],[prop_id]]&amp;PO_id,"&gt;ra"))</f>
        <v/>
      </c>
      <c r="N331" s="79" t="s">
        <v>13</v>
      </c>
      <c r="O331" s="7" t="str">
        <f>IF(BudgetsTable[[#This Row],[pi_last_name]]=" ","",HYPERLINK("mailto:"&amp;BudgetsTable[[#This Row],[pi_email]]&amp;"&amp;subject=Your NSF Proposal:  "&amp;BudgetsTable[[#This Row],[prop_id]],BudgetsTable[[#This Row],[pi_email]]))</f>
        <v/>
      </c>
      <c r="P331" s="79" t="s">
        <v>13</v>
      </c>
      <c r="Q331" s="79">
        <v>1</v>
      </c>
      <c r="R331" s="79">
        <v>0.5</v>
      </c>
      <c r="S331" s="80">
        <v>0</v>
      </c>
      <c r="T331" s="80">
        <v>0</v>
      </c>
      <c r="U331" s="80">
        <v>0</v>
      </c>
      <c r="V331" s="81">
        <v>63168</v>
      </c>
      <c r="W331" s="79">
        <v>0</v>
      </c>
      <c r="X331" s="79">
        <v>1</v>
      </c>
      <c r="Y331" s="11" t="str">
        <f ca="1">IF(ISBLANK(BudgetsTable[[#This Row],[budg_seq_yr]]),"FY"&amp;fiscalyear,"FY"&amp;fiscalyear-1+BudgetsTable[[#This Row],[budg_seq_yr]])</f>
        <v>FY18</v>
      </c>
      <c r="Z331" s="80">
        <v>63168</v>
      </c>
      <c r="AA331" s="79" t="s">
        <v>477</v>
      </c>
      <c r="AB331" s="79" t="s">
        <v>582</v>
      </c>
      <c r="AC331" s="77" t="s">
        <v>94</v>
      </c>
      <c r="AD331" s="79" t="s">
        <v>1712</v>
      </c>
    </row>
    <row r="332" spans="1:30" x14ac:dyDescent="0.4">
      <c r="A332" s="10" t="s">
        <v>1717</v>
      </c>
      <c r="B332" s="77" t="s">
        <v>493</v>
      </c>
      <c r="C332" s="77">
        <f>C331+(BudgetsTable[[#This Row],[lead]]&lt;&gt;K331)</f>
        <v>73</v>
      </c>
      <c r="D332" s="77">
        <f>D331*(BudgetsTable[[#This Row],[lead]]=K331)+(BudgetsTable[[#This Row],[prop_id]]&lt;&gt;A331)</f>
        <v>2</v>
      </c>
      <c r="E332" s="78">
        <v>43004.605555555558</v>
      </c>
      <c r="F332" s="79" t="s">
        <v>524</v>
      </c>
      <c r="G332" s="79" t="s">
        <v>477</v>
      </c>
      <c r="H332" s="79" t="s">
        <v>582</v>
      </c>
      <c r="I332" s="77" t="s">
        <v>611</v>
      </c>
      <c r="J332" s="77" t="s">
        <v>13</v>
      </c>
      <c r="K332" s="79" t="s">
        <v>1295</v>
      </c>
      <c r="L332" s="7" t="str">
        <f>IF(BudgetsTable[[#This Row],[pi_last_name]]=" ","",HYPERLINK("https://www.ejacket.nsf.gov/ej/showProposal.do?Continue=Y&amp;ID="&amp;BudgetsTable[[#This Row],[prop_id]],BudgetsTable[[#This Row],[prop_id]]))</f>
        <v/>
      </c>
      <c r="M332" s="15" t="str">
        <f>IF(BudgetsTable[[#This Row],[pi_last_name]]=" ","",HYPERLINK("https://www.ejacket.nsf.gov/ej/processReviewAnalysis.do?dispatch=add&amp;uniqId="&amp;BudgetsTable[[#This Row],[prop_id]]&amp;PO_id,"&gt;ra"))</f>
        <v/>
      </c>
      <c r="N332" s="79" t="s">
        <v>13</v>
      </c>
      <c r="O332" s="7" t="str">
        <f>IF(BudgetsTable[[#This Row],[pi_last_name]]=" ","",HYPERLINK("mailto:"&amp;BudgetsTable[[#This Row],[pi_email]]&amp;"&amp;subject=Your NSF Proposal:  "&amp;BudgetsTable[[#This Row],[prop_id]],BudgetsTable[[#This Row],[pi_email]]))</f>
        <v/>
      </c>
      <c r="P332" s="79" t="s">
        <v>13</v>
      </c>
      <c r="Q332" s="79">
        <v>1</v>
      </c>
      <c r="R332" s="79">
        <v>0.5</v>
      </c>
      <c r="S332" s="80">
        <v>0</v>
      </c>
      <c r="T332" s="80">
        <v>0</v>
      </c>
      <c r="U332" s="80">
        <v>0</v>
      </c>
      <c r="V332" s="81">
        <v>61902</v>
      </c>
      <c r="W332" s="79">
        <v>0</v>
      </c>
      <c r="X332" s="79">
        <v>2</v>
      </c>
      <c r="Y332" s="11" t="str">
        <f ca="1">IF(ISBLANK(BudgetsTable[[#This Row],[budg_seq_yr]]),"FY"&amp;fiscalyear,"FY"&amp;fiscalyear-1+BudgetsTable[[#This Row],[budg_seq_yr]])</f>
        <v>FY19</v>
      </c>
      <c r="Z332" s="80">
        <v>61902</v>
      </c>
      <c r="AA332" s="79" t="s">
        <v>477</v>
      </c>
      <c r="AB332" s="79" t="s">
        <v>582</v>
      </c>
      <c r="AC332" s="77" t="s">
        <v>94</v>
      </c>
      <c r="AD332" s="79" t="s">
        <v>1712</v>
      </c>
    </row>
    <row r="333" spans="1:30" x14ac:dyDescent="0.4">
      <c r="A333" s="10" t="s">
        <v>1717</v>
      </c>
      <c r="B333" s="77" t="s">
        <v>493</v>
      </c>
      <c r="C333" s="77">
        <f>C332+(BudgetsTable[[#This Row],[lead]]&lt;&gt;K332)</f>
        <v>73</v>
      </c>
      <c r="D333" s="77">
        <f>D332*(BudgetsTable[[#This Row],[lead]]=K332)+(BudgetsTable[[#This Row],[prop_id]]&lt;&gt;A332)</f>
        <v>2</v>
      </c>
      <c r="E333" s="78">
        <v>43004.605555555558</v>
      </c>
      <c r="F333" s="79" t="s">
        <v>524</v>
      </c>
      <c r="G333" s="79" t="s">
        <v>477</v>
      </c>
      <c r="H333" s="79" t="s">
        <v>582</v>
      </c>
      <c r="I333" s="77" t="s">
        <v>611</v>
      </c>
      <c r="J333" s="77" t="s">
        <v>13</v>
      </c>
      <c r="K333" s="79" t="s">
        <v>1295</v>
      </c>
      <c r="L333" s="7" t="str">
        <f>IF(BudgetsTable[[#This Row],[pi_last_name]]=" ","",HYPERLINK("https://www.ejacket.nsf.gov/ej/showProposal.do?Continue=Y&amp;ID="&amp;BudgetsTable[[#This Row],[prop_id]],BudgetsTable[[#This Row],[prop_id]]))</f>
        <v/>
      </c>
      <c r="M333" s="15" t="str">
        <f>IF(BudgetsTable[[#This Row],[pi_last_name]]=" ","",HYPERLINK("https://www.ejacket.nsf.gov/ej/processReviewAnalysis.do?dispatch=add&amp;uniqId="&amp;BudgetsTable[[#This Row],[prop_id]]&amp;PO_id,"&gt;ra"))</f>
        <v/>
      </c>
      <c r="N333" s="79" t="s">
        <v>13</v>
      </c>
      <c r="O333" s="7" t="str">
        <f>IF(BudgetsTable[[#This Row],[pi_last_name]]=" ","",HYPERLINK("mailto:"&amp;BudgetsTable[[#This Row],[pi_email]]&amp;"&amp;subject=Your NSF Proposal:  "&amp;BudgetsTable[[#This Row],[prop_id]],BudgetsTable[[#This Row],[pi_email]]))</f>
        <v/>
      </c>
      <c r="P333" s="79" t="s">
        <v>13</v>
      </c>
      <c r="Q333" s="79">
        <v>1</v>
      </c>
      <c r="R333" s="79">
        <v>0.5</v>
      </c>
      <c r="S333" s="80">
        <v>0</v>
      </c>
      <c r="T333" s="80">
        <v>0</v>
      </c>
      <c r="U333" s="80">
        <v>0</v>
      </c>
      <c r="V333" s="81">
        <v>62275</v>
      </c>
      <c r="W333" s="79">
        <v>0</v>
      </c>
      <c r="X333" s="79">
        <v>3</v>
      </c>
      <c r="Y333" s="11" t="str">
        <f ca="1">IF(ISBLANK(BudgetsTable[[#This Row],[budg_seq_yr]]),"FY"&amp;fiscalyear,"FY"&amp;fiscalyear-1+BudgetsTable[[#This Row],[budg_seq_yr]])</f>
        <v>FY20</v>
      </c>
      <c r="Z333" s="80">
        <v>62275</v>
      </c>
      <c r="AA333" s="79" t="s">
        <v>477</v>
      </c>
      <c r="AB333" s="79" t="s">
        <v>582</v>
      </c>
      <c r="AC333" s="77" t="s">
        <v>94</v>
      </c>
      <c r="AD333" s="79" t="s">
        <v>1712</v>
      </c>
    </row>
    <row r="334" spans="1:30" x14ac:dyDescent="0.4">
      <c r="A334" s="10" t="s">
        <v>1717</v>
      </c>
      <c r="B334" s="77" t="s">
        <v>493</v>
      </c>
      <c r="C334" s="77">
        <f>C333+(BudgetsTable[[#This Row],[lead]]&lt;&gt;K333)</f>
        <v>73</v>
      </c>
      <c r="D334" s="77">
        <f>D333*(BudgetsTable[[#This Row],[lead]]=K333)+(BudgetsTable[[#This Row],[prop_id]]&lt;&gt;A333)</f>
        <v>2</v>
      </c>
      <c r="E334" s="78">
        <v>43004.605555555558</v>
      </c>
      <c r="F334" s="79" t="s">
        <v>524</v>
      </c>
      <c r="G334" s="79" t="s">
        <v>477</v>
      </c>
      <c r="H334" s="79" t="s">
        <v>582</v>
      </c>
      <c r="I334" s="77" t="s">
        <v>611</v>
      </c>
      <c r="J334" s="77" t="s">
        <v>13</v>
      </c>
      <c r="K334" s="79" t="s">
        <v>1295</v>
      </c>
      <c r="L334" s="7" t="str">
        <f>IF(BudgetsTable[[#This Row],[pi_last_name]]=" ","",HYPERLINK("https://www.ejacket.nsf.gov/ej/showProposal.do?Continue=Y&amp;ID="&amp;BudgetsTable[[#This Row],[prop_id]],BudgetsTable[[#This Row],[prop_id]]))</f>
        <v/>
      </c>
      <c r="M334" s="15" t="str">
        <f>IF(BudgetsTable[[#This Row],[pi_last_name]]=" ","",HYPERLINK("https://www.ejacket.nsf.gov/ej/processReviewAnalysis.do?dispatch=add&amp;uniqId="&amp;BudgetsTable[[#This Row],[prop_id]]&amp;PO_id,"&gt;ra"))</f>
        <v/>
      </c>
      <c r="N334" s="79" t="s">
        <v>13</v>
      </c>
      <c r="O334" s="7" t="str">
        <f>IF(BudgetsTable[[#This Row],[pi_last_name]]=" ","",HYPERLINK("mailto:"&amp;BudgetsTable[[#This Row],[pi_email]]&amp;"&amp;subject=Your NSF Proposal:  "&amp;BudgetsTable[[#This Row],[prop_id]],BudgetsTable[[#This Row],[pi_email]]))</f>
        <v/>
      </c>
      <c r="P334" s="79" t="s">
        <v>13</v>
      </c>
      <c r="Q334" s="79">
        <v>1</v>
      </c>
      <c r="R334" s="79">
        <v>0.5</v>
      </c>
      <c r="S334" s="80">
        <v>0</v>
      </c>
      <c r="T334" s="80">
        <v>0</v>
      </c>
      <c r="U334" s="80">
        <v>0</v>
      </c>
      <c r="V334" s="81">
        <v>62655</v>
      </c>
      <c r="W334" s="79">
        <v>0</v>
      </c>
      <c r="X334" s="79">
        <v>4</v>
      </c>
      <c r="Y334" s="11" t="str">
        <f ca="1">IF(ISBLANK(BudgetsTable[[#This Row],[budg_seq_yr]]),"FY"&amp;fiscalyear,"FY"&amp;fiscalyear-1+BudgetsTable[[#This Row],[budg_seq_yr]])</f>
        <v>FY21</v>
      </c>
      <c r="Z334" s="80">
        <v>62655</v>
      </c>
      <c r="AA334" s="79" t="s">
        <v>477</v>
      </c>
      <c r="AB334" s="79" t="s">
        <v>582</v>
      </c>
      <c r="AC334" s="77" t="s">
        <v>94</v>
      </c>
      <c r="AD334" s="79" t="s">
        <v>1712</v>
      </c>
    </row>
    <row r="335" spans="1:30" x14ac:dyDescent="0.4">
      <c r="A335" s="10" t="s">
        <v>1305</v>
      </c>
      <c r="B335" s="77" t="s">
        <v>491</v>
      </c>
      <c r="C335" s="77">
        <f>C334+(BudgetsTable[[#This Row],[lead]]&lt;&gt;K334)</f>
        <v>74</v>
      </c>
      <c r="D335" s="77">
        <f>D334*(BudgetsTable[[#This Row],[lead]]=K334)+(BudgetsTable[[#This Row],[prop_id]]&lt;&gt;A334)</f>
        <v>1</v>
      </c>
      <c r="E335" s="78">
        <v>43004.490972222222</v>
      </c>
      <c r="F335" s="79" t="s">
        <v>524</v>
      </c>
      <c r="G335" s="79" t="s">
        <v>477</v>
      </c>
      <c r="H335" s="79" t="s">
        <v>582</v>
      </c>
      <c r="I335" s="77" t="s">
        <v>611</v>
      </c>
      <c r="J335" s="77" t="s">
        <v>1724</v>
      </c>
      <c r="K335" s="79" t="s">
        <v>1305</v>
      </c>
      <c r="L335" s="7" t="str">
        <f>IF(BudgetsTable[[#This Row],[pi_last_name]]=" ","",HYPERLINK("https://www.ejacket.nsf.gov/ej/showProposal.do?Continue=Y&amp;ID="&amp;BudgetsTable[[#This Row],[prop_id]],BudgetsTable[[#This Row],[prop_id]]))</f>
        <v>1763311</v>
      </c>
      <c r="M335" s="15" t="e">
        <f>IF(BudgetsTable[[#This Row],[pi_last_name]]=" ","",HYPERLINK("https://www.ejacket.nsf.gov/ej/processReviewAnalysis.do?dispatch=add&amp;uniqId="&amp;BudgetsTable[[#This Row],[prop_id]]&amp;PO_id,"&gt;ra"))</f>
        <v>#REF!</v>
      </c>
      <c r="N335" s="79" t="s">
        <v>1306</v>
      </c>
      <c r="O335" s="7" t="str">
        <f>IF(BudgetsTable[[#This Row],[pi_last_name]]=" ","",HYPERLINK("mailto:"&amp;BudgetsTable[[#This Row],[pi_email]]&amp;"&amp;subject=Your NSF Proposal:  "&amp;BudgetsTable[[#This Row],[prop_id]],BudgetsTable[[#This Row],[pi_email]]))</f>
        <v>omreing@stanford.edu</v>
      </c>
      <c r="P335" s="79" t="s">
        <v>1465</v>
      </c>
      <c r="Q335" s="79"/>
      <c r="R335" s="79"/>
      <c r="S335" s="80"/>
      <c r="T335" s="80"/>
      <c r="U335" s="80"/>
      <c r="V335" s="81"/>
      <c r="W335" s="79">
        <v>0</v>
      </c>
      <c r="X335" s="79"/>
      <c r="Y335" s="11" t="str">
        <f ca="1">IF(ISBLANK(BudgetsTable[[#This Row],[budg_seq_yr]]),"FY"&amp;fiscalyear,"FY"&amp;fiscalyear-1+BudgetsTable[[#This Row],[budg_seq_yr]])</f>
        <v>FY18</v>
      </c>
      <c r="Z335" s="80">
        <v>650000</v>
      </c>
      <c r="AA335" s="79" t="s">
        <v>477</v>
      </c>
      <c r="AB335" s="79" t="s">
        <v>582</v>
      </c>
      <c r="AC335" s="77" t="s">
        <v>94</v>
      </c>
      <c r="AD335" s="79" t="s">
        <v>1722</v>
      </c>
    </row>
    <row r="336" spans="1:30" x14ac:dyDescent="0.4">
      <c r="A336" s="10" t="s">
        <v>1305</v>
      </c>
      <c r="B336" s="77" t="s">
        <v>491</v>
      </c>
      <c r="C336" s="77">
        <f>C335+(BudgetsTable[[#This Row],[lead]]&lt;&gt;K335)</f>
        <v>74</v>
      </c>
      <c r="D336" s="77">
        <f>D335*(BudgetsTable[[#This Row],[lead]]=K335)+(BudgetsTable[[#This Row],[prop_id]]&lt;&gt;A335)</f>
        <v>1</v>
      </c>
      <c r="E336" s="78">
        <v>43004.490972222222</v>
      </c>
      <c r="F336" s="79" t="s">
        <v>524</v>
      </c>
      <c r="G336" s="79" t="s">
        <v>477</v>
      </c>
      <c r="H336" s="79" t="s">
        <v>582</v>
      </c>
      <c r="I336" s="77" t="s">
        <v>611</v>
      </c>
      <c r="J336" s="77" t="s">
        <v>13</v>
      </c>
      <c r="K336" s="79" t="s">
        <v>1305</v>
      </c>
      <c r="L336" s="7" t="str">
        <f>IF(BudgetsTable[[#This Row],[pi_last_name]]=" ","",HYPERLINK("https://www.ejacket.nsf.gov/ej/showProposal.do?Continue=Y&amp;ID="&amp;BudgetsTable[[#This Row],[prop_id]],BudgetsTable[[#This Row],[prop_id]]))</f>
        <v/>
      </c>
      <c r="M336" s="15" t="str">
        <f>IF(BudgetsTable[[#This Row],[pi_last_name]]=" ","",HYPERLINK("https://www.ejacket.nsf.gov/ej/processReviewAnalysis.do?dispatch=add&amp;uniqId="&amp;BudgetsTable[[#This Row],[prop_id]]&amp;PO_id,"&gt;ra"))</f>
        <v/>
      </c>
      <c r="N336" s="79" t="s">
        <v>13</v>
      </c>
      <c r="O336" s="7" t="str">
        <f>IF(BudgetsTable[[#This Row],[pi_last_name]]=" ","",HYPERLINK("mailto:"&amp;BudgetsTable[[#This Row],[pi_email]]&amp;"&amp;subject=Your NSF Proposal:  "&amp;BudgetsTable[[#This Row],[prop_id]],BudgetsTable[[#This Row],[pi_email]]))</f>
        <v/>
      </c>
      <c r="P336" s="79" t="s">
        <v>13</v>
      </c>
      <c r="Q336" s="79">
        <v>1</v>
      </c>
      <c r="R336" s="79">
        <v>1</v>
      </c>
      <c r="S336" s="80">
        <v>0</v>
      </c>
      <c r="T336" s="80">
        <v>3000</v>
      </c>
      <c r="U336" s="80">
        <v>0</v>
      </c>
      <c r="V336" s="81">
        <v>160167</v>
      </c>
      <c r="W336" s="79">
        <v>0</v>
      </c>
      <c r="X336" s="79">
        <v>1</v>
      </c>
      <c r="Y336" s="11" t="str">
        <f ca="1">IF(ISBLANK(BudgetsTable[[#This Row],[budg_seq_yr]]),"FY"&amp;fiscalyear,"FY"&amp;fiscalyear-1+BudgetsTable[[#This Row],[budg_seq_yr]])</f>
        <v>FY18</v>
      </c>
      <c r="Z336" s="80">
        <v>160167</v>
      </c>
      <c r="AA336" s="79" t="s">
        <v>477</v>
      </c>
      <c r="AB336" s="79" t="s">
        <v>582</v>
      </c>
      <c r="AC336" s="77" t="s">
        <v>94</v>
      </c>
      <c r="AD336" s="79" t="s">
        <v>1722</v>
      </c>
    </row>
    <row r="337" spans="1:30" x14ac:dyDescent="0.4">
      <c r="A337" s="10" t="s">
        <v>1305</v>
      </c>
      <c r="B337" s="77" t="s">
        <v>491</v>
      </c>
      <c r="C337" s="77">
        <f>C336+(BudgetsTable[[#This Row],[lead]]&lt;&gt;K336)</f>
        <v>74</v>
      </c>
      <c r="D337" s="77">
        <f>D336*(BudgetsTable[[#This Row],[lead]]=K336)+(BudgetsTable[[#This Row],[prop_id]]&lt;&gt;A336)</f>
        <v>1</v>
      </c>
      <c r="E337" s="78">
        <v>43004.490972222222</v>
      </c>
      <c r="F337" s="79" t="s">
        <v>524</v>
      </c>
      <c r="G337" s="79" t="s">
        <v>477</v>
      </c>
      <c r="H337" s="79" t="s">
        <v>582</v>
      </c>
      <c r="I337" s="77" t="s">
        <v>611</v>
      </c>
      <c r="J337" s="77" t="s">
        <v>13</v>
      </c>
      <c r="K337" s="79" t="s">
        <v>1305</v>
      </c>
      <c r="L337" s="7" t="str">
        <f>IF(BudgetsTable[[#This Row],[pi_last_name]]=" ","",HYPERLINK("https://www.ejacket.nsf.gov/ej/showProposal.do?Continue=Y&amp;ID="&amp;BudgetsTable[[#This Row],[prop_id]],BudgetsTable[[#This Row],[prop_id]]))</f>
        <v/>
      </c>
      <c r="M337" s="15" t="str">
        <f>IF(BudgetsTable[[#This Row],[pi_last_name]]=" ","",HYPERLINK("https://www.ejacket.nsf.gov/ej/processReviewAnalysis.do?dispatch=add&amp;uniqId="&amp;BudgetsTable[[#This Row],[prop_id]]&amp;PO_id,"&gt;ra"))</f>
        <v/>
      </c>
      <c r="N337" s="79" t="s">
        <v>13</v>
      </c>
      <c r="O337" s="7" t="str">
        <f>IF(BudgetsTable[[#This Row],[pi_last_name]]=" ","",HYPERLINK("mailto:"&amp;BudgetsTable[[#This Row],[pi_email]]&amp;"&amp;subject=Your NSF Proposal:  "&amp;BudgetsTable[[#This Row],[prop_id]],BudgetsTable[[#This Row],[pi_email]]))</f>
        <v/>
      </c>
      <c r="P337" s="79" t="s">
        <v>13</v>
      </c>
      <c r="Q337" s="79">
        <v>1</v>
      </c>
      <c r="R337" s="79">
        <v>1</v>
      </c>
      <c r="S337" s="80">
        <v>0</v>
      </c>
      <c r="T337" s="80">
        <v>3000</v>
      </c>
      <c r="U337" s="80">
        <v>0</v>
      </c>
      <c r="V337" s="81">
        <v>158647</v>
      </c>
      <c r="W337" s="79">
        <v>0</v>
      </c>
      <c r="X337" s="79">
        <v>2</v>
      </c>
      <c r="Y337" s="11" t="str">
        <f ca="1">IF(ISBLANK(BudgetsTable[[#This Row],[budg_seq_yr]]),"FY"&amp;fiscalyear,"FY"&amp;fiscalyear-1+BudgetsTable[[#This Row],[budg_seq_yr]])</f>
        <v>FY19</v>
      </c>
      <c r="Z337" s="80">
        <v>158647</v>
      </c>
      <c r="AA337" s="79" t="s">
        <v>477</v>
      </c>
      <c r="AB337" s="79" t="s">
        <v>582</v>
      </c>
      <c r="AC337" s="77" t="s">
        <v>94</v>
      </c>
      <c r="AD337" s="79" t="s">
        <v>1722</v>
      </c>
    </row>
    <row r="338" spans="1:30" x14ac:dyDescent="0.4">
      <c r="A338" s="10" t="s">
        <v>1305</v>
      </c>
      <c r="B338" s="77" t="s">
        <v>491</v>
      </c>
      <c r="C338" s="77">
        <f>C337+(BudgetsTable[[#This Row],[lead]]&lt;&gt;K337)</f>
        <v>74</v>
      </c>
      <c r="D338" s="77">
        <f>D337*(BudgetsTable[[#This Row],[lead]]=K337)+(BudgetsTable[[#This Row],[prop_id]]&lt;&gt;A337)</f>
        <v>1</v>
      </c>
      <c r="E338" s="78">
        <v>43004.490972222222</v>
      </c>
      <c r="F338" s="79" t="s">
        <v>524</v>
      </c>
      <c r="G338" s="79" t="s">
        <v>477</v>
      </c>
      <c r="H338" s="79" t="s">
        <v>582</v>
      </c>
      <c r="I338" s="77" t="s">
        <v>611</v>
      </c>
      <c r="J338" s="77" t="s">
        <v>13</v>
      </c>
      <c r="K338" s="79" t="s">
        <v>1305</v>
      </c>
      <c r="L338" s="7" t="str">
        <f>IF(BudgetsTable[[#This Row],[pi_last_name]]=" ","",HYPERLINK("https://www.ejacket.nsf.gov/ej/showProposal.do?Continue=Y&amp;ID="&amp;BudgetsTable[[#This Row],[prop_id]],BudgetsTable[[#This Row],[prop_id]]))</f>
        <v/>
      </c>
      <c r="M338" s="15" t="str">
        <f>IF(BudgetsTable[[#This Row],[pi_last_name]]=" ","",HYPERLINK("https://www.ejacket.nsf.gov/ej/processReviewAnalysis.do?dispatch=add&amp;uniqId="&amp;BudgetsTable[[#This Row],[prop_id]]&amp;PO_id,"&gt;ra"))</f>
        <v/>
      </c>
      <c r="N338" s="79" t="s">
        <v>13</v>
      </c>
      <c r="O338" s="7" t="str">
        <f>IF(BudgetsTable[[#This Row],[pi_last_name]]=" ","",HYPERLINK("mailto:"&amp;BudgetsTable[[#This Row],[pi_email]]&amp;"&amp;subject=Your NSF Proposal:  "&amp;BudgetsTable[[#This Row],[prop_id]],BudgetsTable[[#This Row],[pi_email]]))</f>
        <v/>
      </c>
      <c r="P338" s="79" t="s">
        <v>13</v>
      </c>
      <c r="Q338" s="79">
        <v>1</v>
      </c>
      <c r="R338" s="79">
        <v>1</v>
      </c>
      <c r="S338" s="80">
        <v>0</v>
      </c>
      <c r="T338" s="80">
        <v>3000</v>
      </c>
      <c r="U338" s="80">
        <v>0</v>
      </c>
      <c r="V338" s="81">
        <v>163230</v>
      </c>
      <c r="W338" s="79">
        <v>0</v>
      </c>
      <c r="X338" s="79">
        <v>3</v>
      </c>
      <c r="Y338" s="11" t="str">
        <f ca="1">IF(ISBLANK(BudgetsTable[[#This Row],[budg_seq_yr]]),"FY"&amp;fiscalyear,"FY"&amp;fiscalyear-1+BudgetsTable[[#This Row],[budg_seq_yr]])</f>
        <v>FY20</v>
      </c>
      <c r="Z338" s="80">
        <v>163230</v>
      </c>
      <c r="AA338" s="79" t="s">
        <v>477</v>
      </c>
      <c r="AB338" s="79" t="s">
        <v>582</v>
      </c>
      <c r="AC338" s="77" t="s">
        <v>94</v>
      </c>
      <c r="AD338" s="79" t="s">
        <v>1722</v>
      </c>
    </row>
    <row r="339" spans="1:30" x14ac:dyDescent="0.4">
      <c r="A339" s="10" t="s">
        <v>1305</v>
      </c>
      <c r="B339" s="77" t="s">
        <v>491</v>
      </c>
      <c r="C339" s="77">
        <f>C338+(BudgetsTable[[#This Row],[lead]]&lt;&gt;K338)</f>
        <v>74</v>
      </c>
      <c r="D339" s="77">
        <f>D338*(BudgetsTable[[#This Row],[lead]]=K338)+(BudgetsTable[[#This Row],[prop_id]]&lt;&gt;A338)</f>
        <v>1</v>
      </c>
      <c r="E339" s="78">
        <v>43004.490972222222</v>
      </c>
      <c r="F339" s="79" t="s">
        <v>524</v>
      </c>
      <c r="G339" s="79" t="s">
        <v>477</v>
      </c>
      <c r="H339" s="79" t="s">
        <v>582</v>
      </c>
      <c r="I339" s="77" t="s">
        <v>611</v>
      </c>
      <c r="J339" s="77" t="s">
        <v>13</v>
      </c>
      <c r="K339" s="79" t="s">
        <v>1305</v>
      </c>
      <c r="L339" s="7" t="str">
        <f>IF(BudgetsTable[[#This Row],[pi_last_name]]=" ","",HYPERLINK("https://www.ejacket.nsf.gov/ej/showProposal.do?Continue=Y&amp;ID="&amp;BudgetsTable[[#This Row],[prop_id]],BudgetsTable[[#This Row],[prop_id]]))</f>
        <v/>
      </c>
      <c r="M339" s="15" t="str">
        <f>IF(BudgetsTable[[#This Row],[pi_last_name]]=" ","",HYPERLINK("https://www.ejacket.nsf.gov/ej/processReviewAnalysis.do?dispatch=add&amp;uniqId="&amp;BudgetsTable[[#This Row],[prop_id]]&amp;PO_id,"&gt;ra"))</f>
        <v/>
      </c>
      <c r="N339" s="79" t="s">
        <v>13</v>
      </c>
      <c r="O339" s="7" t="str">
        <f>IF(BudgetsTable[[#This Row],[pi_last_name]]=" ","",HYPERLINK("mailto:"&amp;BudgetsTable[[#This Row],[pi_email]]&amp;"&amp;subject=Your NSF Proposal:  "&amp;BudgetsTable[[#This Row],[prop_id]],BudgetsTable[[#This Row],[pi_email]]))</f>
        <v/>
      </c>
      <c r="P339" s="79" t="s">
        <v>13</v>
      </c>
      <c r="Q339" s="79">
        <v>1</v>
      </c>
      <c r="R339" s="79">
        <v>1</v>
      </c>
      <c r="S339" s="80">
        <v>0</v>
      </c>
      <c r="T339" s="80">
        <v>3000</v>
      </c>
      <c r="U339" s="80">
        <v>0</v>
      </c>
      <c r="V339" s="81">
        <v>167956</v>
      </c>
      <c r="W339" s="79">
        <v>0</v>
      </c>
      <c r="X339" s="79">
        <v>4</v>
      </c>
      <c r="Y339" s="11" t="str">
        <f ca="1">IF(ISBLANK(BudgetsTable[[#This Row],[budg_seq_yr]]),"FY"&amp;fiscalyear,"FY"&amp;fiscalyear-1+BudgetsTable[[#This Row],[budg_seq_yr]])</f>
        <v>FY21</v>
      </c>
      <c r="Z339" s="80">
        <v>167956</v>
      </c>
      <c r="AA339" s="79" t="s">
        <v>477</v>
      </c>
      <c r="AB339" s="79" t="s">
        <v>582</v>
      </c>
      <c r="AC339" s="77" t="s">
        <v>94</v>
      </c>
      <c r="AD339" s="79" t="s">
        <v>1722</v>
      </c>
    </row>
    <row r="340" spans="1:30" x14ac:dyDescent="0.4">
      <c r="A340" s="10" t="s">
        <v>1725</v>
      </c>
      <c r="B340" s="77" t="s">
        <v>493</v>
      </c>
      <c r="C340" s="77">
        <f>C339+(BudgetsTable[[#This Row],[lead]]&lt;&gt;K339)</f>
        <v>74</v>
      </c>
      <c r="D340" s="77">
        <f>D339*(BudgetsTable[[#This Row],[lead]]=K339)+(BudgetsTable[[#This Row],[prop_id]]&lt;&gt;A339)</f>
        <v>2</v>
      </c>
      <c r="E340" s="78">
        <v>43004.444444444445</v>
      </c>
      <c r="F340" s="79" t="s">
        <v>524</v>
      </c>
      <c r="G340" s="79" t="s">
        <v>477</v>
      </c>
      <c r="H340" s="79" t="s">
        <v>582</v>
      </c>
      <c r="I340" s="77" t="s">
        <v>611</v>
      </c>
      <c r="J340" s="77" t="s">
        <v>1730</v>
      </c>
      <c r="K340" s="79" t="s">
        <v>1305</v>
      </c>
      <c r="L340" s="7" t="str">
        <f>IF(BudgetsTable[[#This Row],[pi_last_name]]=" ","",HYPERLINK("https://www.ejacket.nsf.gov/ej/showProposal.do?Continue=Y&amp;ID="&amp;BudgetsTable[[#This Row],[prop_id]],BudgetsTable[[#This Row],[prop_id]]))</f>
        <v>1763299</v>
      </c>
      <c r="M340" s="15" t="e">
        <f>IF(BudgetsTable[[#This Row],[pi_last_name]]=" ","",HYPERLINK("https://www.ejacket.nsf.gov/ej/processReviewAnalysis.do?dispatch=add&amp;uniqId="&amp;BudgetsTable[[#This Row],[prop_id]]&amp;PO_id,"&gt;ra"))</f>
        <v>#REF!</v>
      </c>
      <c r="N340" s="79" t="s">
        <v>1726</v>
      </c>
      <c r="O340" s="7" t="str">
        <f>IF(BudgetsTable[[#This Row],[pi_last_name]]=" ","",HYPERLINK("mailto:"&amp;BudgetsTable[[#This Row],[pi_email]]&amp;"&amp;subject=Your NSF Proposal:  "&amp;BudgetsTable[[#This Row],[prop_id]],BudgetsTable[[#This Row],[pi_email]]))</f>
        <v>salil_vadhan@harvard.edu</v>
      </c>
      <c r="P340" s="79" t="s">
        <v>1728</v>
      </c>
      <c r="Q340" s="79"/>
      <c r="R340" s="79"/>
      <c r="S340" s="80"/>
      <c r="T340" s="80"/>
      <c r="U340" s="80"/>
      <c r="V340" s="81"/>
      <c r="W340" s="79">
        <v>0</v>
      </c>
      <c r="X340" s="79"/>
      <c r="Y340" s="11" t="str">
        <f ca="1">IF(ISBLANK(BudgetsTable[[#This Row],[budg_seq_yr]]),"FY"&amp;fiscalyear,"FY"&amp;fiscalyear-1+BudgetsTable[[#This Row],[budg_seq_yr]])</f>
        <v>FY18</v>
      </c>
      <c r="Z340" s="80">
        <v>550000</v>
      </c>
      <c r="AA340" s="79" t="s">
        <v>477</v>
      </c>
      <c r="AB340" s="79" t="s">
        <v>582</v>
      </c>
      <c r="AC340" s="77" t="s">
        <v>94</v>
      </c>
      <c r="AD340" s="79" t="s">
        <v>1722</v>
      </c>
    </row>
    <row r="341" spans="1:30" x14ac:dyDescent="0.4">
      <c r="A341" s="10" t="s">
        <v>1725</v>
      </c>
      <c r="B341" s="77" t="s">
        <v>493</v>
      </c>
      <c r="C341" s="77">
        <f>C340+(BudgetsTable[[#This Row],[lead]]&lt;&gt;K340)</f>
        <v>74</v>
      </c>
      <c r="D341" s="77">
        <f>D340*(BudgetsTable[[#This Row],[lead]]=K340)+(BudgetsTable[[#This Row],[prop_id]]&lt;&gt;A340)</f>
        <v>2</v>
      </c>
      <c r="E341" s="78">
        <v>43004.444444444445</v>
      </c>
      <c r="F341" s="79" t="s">
        <v>524</v>
      </c>
      <c r="G341" s="79" t="s">
        <v>477</v>
      </c>
      <c r="H341" s="79" t="s">
        <v>582</v>
      </c>
      <c r="I341" s="77" t="s">
        <v>611</v>
      </c>
      <c r="J341" s="77" t="s">
        <v>13</v>
      </c>
      <c r="K341" s="79" t="s">
        <v>1305</v>
      </c>
      <c r="L341" s="7" t="str">
        <f>IF(BudgetsTable[[#This Row],[pi_last_name]]=" ","",HYPERLINK("https://www.ejacket.nsf.gov/ej/showProposal.do?Continue=Y&amp;ID="&amp;BudgetsTable[[#This Row],[prop_id]],BudgetsTable[[#This Row],[prop_id]]))</f>
        <v/>
      </c>
      <c r="M341" s="15" t="str">
        <f>IF(BudgetsTable[[#This Row],[pi_last_name]]=" ","",HYPERLINK("https://www.ejacket.nsf.gov/ej/processReviewAnalysis.do?dispatch=add&amp;uniqId="&amp;BudgetsTable[[#This Row],[prop_id]]&amp;PO_id,"&gt;ra"))</f>
        <v/>
      </c>
      <c r="N341" s="79" t="s">
        <v>13</v>
      </c>
      <c r="O341" s="7" t="str">
        <f>IF(BudgetsTable[[#This Row],[pi_last_name]]=" ","",HYPERLINK("mailto:"&amp;BudgetsTable[[#This Row],[pi_email]]&amp;"&amp;subject=Your NSF Proposal:  "&amp;BudgetsTable[[#This Row],[prop_id]],BudgetsTable[[#This Row],[pi_email]]))</f>
        <v/>
      </c>
      <c r="P341" s="79" t="s">
        <v>13</v>
      </c>
      <c r="Q341" s="79">
        <v>1</v>
      </c>
      <c r="R341" s="79">
        <v>0</v>
      </c>
      <c r="S341" s="80">
        <v>0</v>
      </c>
      <c r="T341" s="80">
        <v>3550</v>
      </c>
      <c r="U341" s="80">
        <v>0</v>
      </c>
      <c r="V341" s="81">
        <v>172252</v>
      </c>
      <c r="W341" s="79">
        <v>0</v>
      </c>
      <c r="X341" s="79">
        <v>1</v>
      </c>
      <c r="Y341" s="11" t="str">
        <f ca="1">IF(ISBLANK(BudgetsTable[[#This Row],[budg_seq_yr]]),"FY"&amp;fiscalyear,"FY"&amp;fiscalyear-1+BudgetsTable[[#This Row],[budg_seq_yr]])</f>
        <v>FY18</v>
      </c>
      <c r="Z341" s="80">
        <v>172252</v>
      </c>
      <c r="AA341" s="79" t="s">
        <v>477</v>
      </c>
      <c r="AB341" s="79" t="s">
        <v>582</v>
      </c>
      <c r="AC341" s="77" t="s">
        <v>94</v>
      </c>
      <c r="AD341" s="79" t="s">
        <v>1722</v>
      </c>
    </row>
    <row r="342" spans="1:30" x14ac:dyDescent="0.4">
      <c r="A342" s="10" t="s">
        <v>1725</v>
      </c>
      <c r="B342" s="77" t="s">
        <v>493</v>
      </c>
      <c r="C342" s="77">
        <f>C341+(BudgetsTable[[#This Row],[lead]]&lt;&gt;K341)</f>
        <v>74</v>
      </c>
      <c r="D342" s="77">
        <f>D341*(BudgetsTable[[#This Row],[lead]]=K341)+(BudgetsTable[[#This Row],[prop_id]]&lt;&gt;A341)</f>
        <v>2</v>
      </c>
      <c r="E342" s="78">
        <v>43004.444444444445</v>
      </c>
      <c r="F342" s="79" t="s">
        <v>524</v>
      </c>
      <c r="G342" s="79" t="s">
        <v>477</v>
      </c>
      <c r="H342" s="79" t="s">
        <v>582</v>
      </c>
      <c r="I342" s="77" t="s">
        <v>611</v>
      </c>
      <c r="J342" s="77" t="s">
        <v>13</v>
      </c>
      <c r="K342" s="79" t="s">
        <v>1305</v>
      </c>
      <c r="L342" s="7" t="str">
        <f>IF(BudgetsTable[[#This Row],[pi_last_name]]=" ","",HYPERLINK("https://www.ejacket.nsf.gov/ej/showProposal.do?Continue=Y&amp;ID="&amp;BudgetsTable[[#This Row],[prop_id]],BudgetsTable[[#This Row],[prop_id]]))</f>
        <v/>
      </c>
      <c r="M342" s="15" t="str">
        <f>IF(BudgetsTable[[#This Row],[pi_last_name]]=" ","",HYPERLINK("https://www.ejacket.nsf.gov/ej/processReviewAnalysis.do?dispatch=add&amp;uniqId="&amp;BudgetsTable[[#This Row],[prop_id]]&amp;PO_id,"&gt;ra"))</f>
        <v/>
      </c>
      <c r="N342" s="79" t="s">
        <v>13</v>
      </c>
      <c r="O342" s="7" t="str">
        <f>IF(BudgetsTable[[#This Row],[pi_last_name]]=" ","",HYPERLINK("mailto:"&amp;BudgetsTable[[#This Row],[pi_email]]&amp;"&amp;subject=Your NSF Proposal:  "&amp;BudgetsTable[[#This Row],[prop_id]],BudgetsTable[[#This Row],[pi_email]]))</f>
        <v/>
      </c>
      <c r="P342" s="79" t="s">
        <v>13</v>
      </c>
      <c r="Q342" s="79">
        <v>1</v>
      </c>
      <c r="R342" s="79">
        <v>0</v>
      </c>
      <c r="S342" s="80">
        <v>0</v>
      </c>
      <c r="T342" s="80">
        <v>3550</v>
      </c>
      <c r="U342" s="80">
        <v>0</v>
      </c>
      <c r="V342" s="81">
        <v>137080</v>
      </c>
      <c r="W342" s="79">
        <v>0</v>
      </c>
      <c r="X342" s="79">
        <v>2</v>
      </c>
      <c r="Y342" s="11" t="str">
        <f ca="1">IF(ISBLANK(BudgetsTable[[#This Row],[budg_seq_yr]]),"FY"&amp;fiscalyear,"FY"&amp;fiscalyear-1+BudgetsTable[[#This Row],[budg_seq_yr]])</f>
        <v>FY19</v>
      </c>
      <c r="Z342" s="80">
        <v>137080</v>
      </c>
      <c r="AA342" s="79" t="s">
        <v>477</v>
      </c>
      <c r="AB342" s="79" t="s">
        <v>582</v>
      </c>
      <c r="AC342" s="77" t="s">
        <v>94</v>
      </c>
      <c r="AD342" s="79" t="s">
        <v>1722</v>
      </c>
    </row>
    <row r="343" spans="1:30" x14ac:dyDescent="0.4">
      <c r="A343" s="10" t="s">
        <v>1725</v>
      </c>
      <c r="B343" s="77" t="s">
        <v>493</v>
      </c>
      <c r="C343" s="77">
        <f>C342+(BudgetsTable[[#This Row],[lead]]&lt;&gt;K342)</f>
        <v>74</v>
      </c>
      <c r="D343" s="77">
        <f>D342*(BudgetsTable[[#This Row],[lead]]=K342)+(BudgetsTable[[#This Row],[prop_id]]&lt;&gt;A342)</f>
        <v>2</v>
      </c>
      <c r="E343" s="78">
        <v>43004.444444444445</v>
      </c>
      <c r="F343" s="79" t="s">
        <v>524</v>
      </c>
      <c r="G343" s="79" t="s">
        <v>477</v>
      </c>
      <c r="H343" s="79" t="s">
        <v>582</v>
      </c>
      <c r="I343" s="77" t="s">
        <v>611</v>
      </c>
      <c r="J343" s="77" t="s">
        <v>13</v>
      </c>
      <c r="K343" s="79" t="s">
        <v>1305</v>
      </c>
      <c r="L343" s="7" t="str">
        <f>IF(BudgetsTable[[#This Row],[pi_last_name]]=" ","",HYPERLINK("https://www.ejacket.nsf.gov/ej/showProposal.do?Continue=Y&amp;ID="&amp;BudgetsTable[[#This Row],[prop_id]],BudgetsTable[[#This Row],[prop_id]]))</f>
        <v/>
      </c>
      <c r="M343" s="15" t="str">
        <f>IF(BudgetsTable[[#This Row],[pi_last_name]]=" ","",HYPERLINK("https://www.ejacket.nsf.gov/ej/processReviewAnalysis.do?dispatch=add&amp;uniqId="&amp;BudgetsTable[[#This Row],[prop_id]]&amp;PO_id,"&gt;ra"))</f>
        <v/>
      </c>
      <c r="N343" s="79" t="s">
        <v>13</v>
      </c>
      <c r="O343" s="7" t="str">
        <f>IF(BudgetsTable[[#This Row],[pi_last_name]]=" ","",HYPERLINK("mailto:"&amp;BudgetsTable[[#This Row],[pi_email]]&amp;"&amp;subject=Your NSF Proposal:  "&amp;BudgetsTable[[#This Row],[prop_id]],BudgetsTable[[#This Row],[pi_email]]))</f>
        <v/>
      </c>
      <c r="P343" s="79" t="s">
        <v>13</v>
      </c>
      <c r="Q343" s="79">
        <v>1</v>
      </c>
      <c r="R343" s="79">
        <v>0</v>
      </c>
      <c r="S343" s="80">
        <v>0</v>
      </c>
      <c r="T343" s="80">
        <v>3550</v>
      </c>
      <c r="U343" s="80">
        <v>0</v>
      </c>
      <c r="V343" s="81">
        <v>87395</v>
      </c>
      <c r="W343" s="79">
        <v>0</v>
      </c>
      <c r="X343" s="79">
        <v>3</v>
      </c>
      <c r="Y343" s="11" t="str">
        <f ca="1">IF(ISBLANK(BudgetsTable[[#This Row],[budg_seq_yr]]),"FY"&amp;fiscalyear,"FY"&amp;fiscalyear-1+BudgetsTable[[#This Row],[budg_seq_yr]])</f>
        <v>FY20</v>
      </c>
      <c r="Z343" s="80">
        <v>87395</v>
      </c>
      <c r="AA343" s="79" t="s">
        <v>477</v>
      </c>
      <c r="AB343" s="79" t="s">
        <v>582</v>
      </c>
      <c r="AC343" s="77" t="s">
        <v>94</v>
      </c>
      <c r="AD343" s="79" t="s">
        <v>1722</v>
      </c>
    </row>
    <row r="344" spans="1:30" x14ac:dyDescent="0.4">
      <c r="A344" s="10" t="s">
        <v>1725</v>
      </c>
      <c r="B344" s="77" t="s">
        <v>493</v>
      </c>
      <c r="C344" s="77">
        <f>C343+(BudgetsTable[[#This Row],[lead]]&lt;&gt;K343)</f>
        <v>74</v>
      </c>
      <c r="D344" s="77">
        <f>D343*(BudgetsTable[[#This Row],[lead]]=K343)+(BudgetsTable[[#This Row],[prop_id]]&lt;&gt;A343)</f>
        <v>2</v>
      </c>
      <c r="E344" s="78">
        <v>43004.444444444445</v>
      </c>
      <c r="F344" s="79" t="s">
        <v>524</v>
      </c>
      <c r="G344" s="79" t="s">
        <v>477</v>
      </c>
      <c r="H344" s="79" t="s">
        <v>582</v>
      </c>
      <c r="I344" s="77" t="s">
        <v>611</v>
      </c>
      <c r="J344" s="77" t="s">
        <v>13</v>
      </c>
      <c r="K344" s="79" t="s">
        <v>1305</v>
      </c>
      <c r="L344" s="7" t="str">
        <f>IF(BudgetsTable[[#This Row],[pi_last_name]]=" ","",HYPERLINK("https://www.ejacket.nsf.gov/ej/showProposal.do?Continue=Y&amp;ID="&amp;BudgetsTable[[#This Row],[prop_id]],BudgetsTable[[#This Row],[prop_id]]))</f>
        <v/>
      </c>
      <c r="M344" s="15" t="str">
        <f>IF(BudgetsTable[[#This Row],[pi_last_name]]=" ","",HYPERLINK("https://www.ejacket.nsf.gov/ej/processReviewAnalysis.do?dispatch=add&amp;uniqId="&amp;BudgetsTable[[#This Row],[prop_id]]&amp;PO_id,"&gt;ra"))</f>
        <v/>
      </c>
      <c r="N344" s="79" t="s">
        <v>13</v>
      </c>
      <c r="O344" s="7" t="str">
        <f>IF(BudgetsTable[[#This Row],[pi_last_name]]=" ","",HYPERLINK("mailto:"&amp;BudgetsTable[[#This Row],[pi_email]]&amp;"&amp;subject=Your NSF Proposal:  "&amp;BudgetsTable[[#This Row],[prop_id]],BudgetsTable[[#This Row],[pi_email]]))</f>
        <v/>
      </c>
      <c r="P344" s="79" t="s">
        <v>13</v>
      </c>
      <c r="Q344" s="79">
        <v>1</v>
      </c>
      <c r="R344" s="79">
        <v>0</v>
      </c>
      <c r="S344" s="80">
        <v>0</v>
      </c>
      <c r="T344" s="80">
        <v>3550</v>
      </c>
      <c r="U344" s="80">
        <v>0</v>
      </c>
      <c r="V344" s="81">
        <v>153273</v>
      </c>
      <c r="W344" s="79">
        <v>0</v>
      </c>
      <c r="X344" s="79">
        <v>4</v>
      </c>
      <c r="Y344" s="11" t="str">
        <f ca="1">IF(ISBLANK(BudgetsTable[[#This Row],[budg_seq_yr]]),"FY"&amp;fiscalyear,"FY"&amp;fiscalyear-1+BudgetsTable[[#This Row],[budg_seq_yr]])</f>
        <v>FY21</v>
      </c>
      <c r="Z344" s="80">
        <v>153273</v>
      </c>
      <c r="AA344" s="79" t="s">
        <v>477</v>
      </c>
      <c r="AB344" s="79" t="s">
        <v>582</v>
      </c>
      <c r="AC344" s="77" t="s">
        <v>94</v>
      </c>
      <c r="AD344" s="79" t="s">
        <v>1722</v>
      </c>
    </row>
    <row r="345" spans="1:30" x14ac:dyDescent="0.4">
      <c r="A345" s="10" t="s">
        <v>1315</v>
      </c>
      <c r="B345" s="77" t="s">
        <v>491</v>
      </c>
      <c r="C345" s="77">
        <f>C344+(BudgetsTable[[#This Row],[lead]]&lt;&gt;K344)</f>
        <v>75</v>
      </c>
      <c r="D345" s="77">
        <f>D344*(BudgetsTable[[#This Row],[lead]]=K344)+(BudgetsTable[[#This Row],[prop_id]]&lt;&gt;A344)</f>
        <v>1</v>
      </c>
      <c r="E345" s="78">
        <v>43004.497916666667</v>
      </c>
      <c r="F345" s="79" t="s">
        <v>524</v>
      </c>
      <c r="G345" s="79" t="s">
        <v>477</v>
      </c>
      <c r="H345" s="79" t="s">
        <v>582</v>
      </c>
      <c r="I345" s="77" t="s">
        <v>611</v>
      </c>
      <c r="J345" s="77" t="s">
        <v>1716</v>
      </c>
      <c r="K345" s="79" t="s">
        <v>1315</v>
      </c>
      <c r="L345" s="7" t="str">
        <f>IF(BudgetsTable[[#This Row],[pi_last_name]]=" ","",HYPERLINK("https://www.ejacket.nsf.gov/ej/showProposal.do?Continue=Y&amp;ID="&amp;BudgetsTable[[#This Row],[prop_id]],BudgetsTable[[#This Row],[prop_id]]))</f>
        <v>1763314</v>
      </c>
      <c r="M345" s="15" t="e">
        <f>IF(BudgetsTable[[#This Row],[pi_last_name]]=" ","",HYPERLINK("https://www.ejacket.nsf.gov/ej/processReviewAnalysis.do?dispatch=add&amp;uniqId="&amp;BudgetsTable[[#This Row],[prop_id]]&amp;PO_id,"&gt;ra"))</f>
        <v>#REF!</v>
      </c>
      <c r="N345" s="79" t="s">
        <v>1296</v>
      </c>
      <c r="O345" s="7" t="str">
        <f>IF(BudgetsTable[[#This Row],[pi_last_name]]=" ","",HYPERLINK("mailto:"&amp;BudgetsTable[[#This Row],[pi_email]]&amp;"&amp;subject=Your NSF Proposal:  "&amp;BudgetsTable[[#This Row],[prop_id]],BudgetsTable[[#This Row],[pi_email]]))</f>
        <v>aaroth@cis.upenn.edu</v>
      </c>
      <c r="P345" s="79" t="s">
        <v>527</v>
      </c>
      <c r="Q345" s="79"/>
      <c r="R345" s="79"/>
      <c r="S345" s="80"/>
      <c r="T345" s="80"/>
      <c r="U345" s="80"/>
      <c r="V345" s="81"/>
      <c r="W345" s="79">
        <v>0</v>
      </c>
      <c r="X345" s="79"/>
      <c r="Y345" s="11" t="str">
        <f ca="1">IF(ISBLANK(BudgetsTable[[#This Row],[budg_seq_yr]]),"FY"&amp;fiscalyear,"FY"&amp;fiscalyear-1+BudgetsTable[[#This Row],[budg_seq_yr]])</f>
        <v>FY18</v>
      </c>
      <c r="Z345" s="80">
        <v>378000</v>
      </c>
      <c r="AA345" s="79" t="s">
        <v>477</v>
      </c>
      <c r="AB345" s="79" t="s">
        <v>582</v>
      </c>
      <c r="AC345" s="77" t="s">
        <v>94</v>
      </c>
      <c r="AD345" s="79" t="s">
        <v>1704</v>
      </c>
    </row>
    <row r="346" spans="1:30" x14ac:dyDescent="0.4">
      <c r="A346" s="10" t="s">
        <v>1315</v>
      </c>
      <c r="B346" s="77" t="s">
        <v>491</v>
      </c>
      <c r="C346" s="77">
        <f>C345+(BudgetsTable[[#This Row],[lead]]&lt;&gt;K345)</f>
        <v>75</v>
      </c>
      <c r="D346" s="77">
        <f>D345*(BudgetsTable[[#This Row],[lead]]=K345)+(BudgetsTable[[#This Row],[prop_id]]&lt;&gt;A345)</f>
        <v>1</v>
      </c>
      <c r="E346" s="78">
        <v>43004.497916666667</v>
      </c>
      <c r="F346" s="79" t="s">
        <v>524</v>
      </c>
      <c r="G346" s="79" t="s">
        <v>477</v>
      </c>
      <c r="H346" s="79" t="s">
        <v>582</v>
      </c>
      <c r="I346" s="77" t="s">
        <v>611</v>
      </c>
      <c r="J346" s="77" t="s">
        <v>13</v>
      </c>
      <c r="K346" s="79" t="s">
        <v>1315</v>
      </c>
      <c r="L346" s="7" t="str">
        <f>IF(BudgetsTable[[#This Row],[pi_last_name]]=" ","",HYPERLINK("https://www.ejacket.nsf.gov/ej/showProposal.do?Continue=Y&amp;ID="&amp;BudgetsTable[[#This Row],[prop_id]],BudgetsTable[[#This Row],[prop_id]]))</f>
        <v/>
      </c>
      <c r="M346" s="15" t="str">
        <f>IF(BudgetsTable[[#This Row],[pi_last_name]]=" ","",HYPERLINK("https://www.ejacket.nsf.gov/ej/processReviewAnalysis.do?dispatch=add&amp;uniqId="&amp;BudgetsTable[[#This Row],[prop_id]]&amp;PO_id,"&gt;ra"))</f>
        <v/>
      </c>
      <c r="N346" s="79" t="s">
        <v>13</v>
      </c>
      <c r="O346" s="7" t="str">
        <f>IF(BudgetsTable[[#This Row],[pi_last_name]]=" ","",HYPERLINK("mailto:"&amp;BudgetsTable[[#This Row],[pi_email]]&amp;"&amp;subject=Your NSF Proposal:  "&amp;BudgetsTable[[#This Row],[prop_id]],BudgetsTable[[#This Row],[pi_email]]))</f>
        <v/>
      </c>
      <c r="P346" s="79" t="s">
        <v>13</v>
      </c>
      <c r="Q346" s="79">
        <v>2</v>
      </c>
      <c r="R346" s="79">
        <v>1.31</v>
      </c>
      <c r="S346" s="80">
        <v>0</v>
      </c>
      <c r="T346" s="80">
        <v>0</v>
      </c>
      <c r="U346" s="80">
        <v>0</v>
      </c>
      <c r="V346" s="81">
        <v>123490</v>
      </c>
      <c r="W346" s="79">
        <v>0</v>
      </c>
      <c r="X346" s="79">
        <v>1</v>
      </c>
      <c r="Y346" s="11" t="str">
        <f ca="1">IF(ISBLANK(BudgetsTable[[#This Row],[budg_seq_yr]]),"FY"&amp;fiscalyear,"FY"&amp;fiscalyear-1+BudgetsTable[[#This Row],[budg_seq_yr]])</f>
        <v>FY18</v>
      </c>
      <c r="Z346" s="80">
        <v>123490</v>
      </c>
      <c r="AA346" s="79" t="s">
        <v>477</v>
      </c>
      <c r="AB346" s="79" t="s">
        <v>582</v>
      </c>
      <c r="AC346" s="77" t="s">
        <v>94</v>
      </c>
      <c r="AD346" s="79" t="s">
        <v>1704</v>
      </c>
    </row>
    <row r="347" spans="1:30" x14ac:dyDescent="0.4">
      <c r="A347" s="10" t="s">
        <v>1315</v>
      </c>
      <c r="B347" s="77" t="s">
        <v>491</v>
      </c>
      <c r="C347" s="77">
        <f>C346+(BudgetsTable[[#This Row],[lead]]&lt;&gt;K346)</f>
        <v>75</v>
      </c>
      <c r="D347" s="77">
        <f>D346*(BudgetsTable[[#This Row],[lead]]=K346)+(BudgetsTable[[#This Row],[prop_id]]&lt;&gt;A346)</f>
        <v>1</v>
      </c>
      <c r="E347" s="78">
        <v>43004.497916666667</v>
      </c>
      <c r="F347" s="79" t="s">
        <v>524</v>
      </c>
      <c r="G347" s="79" t="s">
        <v>477</v>
      </c>
      <c r="H347" s="79" t="s">
        <v>582</v>
      </c>
      <c r="I347" s="77" t="s">
        <v>611</v>
      </c>
      <c r="J347" s="77" t="s">
        <v>13</v>
      </c>
      <c r="K347" s="79" t="s">
        <v>1315</v>
      </c>
      <c r="L347" s="7" t="str">
        <f>IF(BudgetsTable[[#This Row],[pi_last_name]]=" ","",HYPERLINK("https://www.ejacket.nsf.gov/ej/showProposal.do?Continue=Y&amp;ID="&amp;BudgetsTable[[#This Row],[prop_id]],BudgetsTable[[#This Row],[prop_id]]))</f>
        <v/>
      </c>
      <c r="M347" s="15" t="str">
        <f>IF(BudgetsTable[[#This Row],[pi_last_name]]=" ","",HYPERLINK("https://www.ejacket.nsf.gov/ej/processReviewAnalysis.do?dispatch=add&amp;uniqId="&amp;BudgetsTable[[#This Row],[prop_id]]&amp;PO_id,"&gt;ra"))</f>
        <v/>
      </c>
      <c r="N347" s="79" t="s">
        <v>13</v>
      </c>
      <c r="O347" s="7" t="str">
        <f>IF(BudgetsTable[[#This Row],[pi_last_name]]=" ","",HYPERLINK("mailto:"&amp;BudgetsTable[[#This Row],[pi_email]]&amp;"&amp;subject=Your NSF Proposal:  "&amp;BudgetsTable[[#This Row],[prop_id]],BudgetsTable[[#This Row],[pi_email]]))</f>
        <v/>
      </c>
      <c r="P347" s="79" t="s">
        <v>13</v>
      </c>
      <c r="Q347" s="79">
        <v>2</v>
      </c>
      <c r="R347" s="79">
        <v>1.31</v>
      </c>
      <c r="S347" s="80">
        <v>0</v>
      </c>
      <c r="T347" s="80">
        <v>0</v>
      </c>
      <c r="U347" s="80">
        <v>0</v>
      </c>
      <c r="V347" s="81">
        <v>125809</v>
      </c>
      <c r="W347" s="79">
        <v>0</v>
      </c>
      <c r="X347" s="79">
        <v>2</v>
      </c>
      <c r="Y347" s="11" t="str">
        <f ca="1">IF(ISBLANK(BudgetsTable[[#This Row],[budg_seq_yr]]),"FY"&amp;fiscalyear,"FY"&amp;fiscalyear-1+BudgetsTable[[#This Row],[budg_seq_yr]])</f>
        <v>FY19</v>
      </c>
      <c r="Z347" s="80">
        <v>125809</v>
      </c>
      <c r="AA347" s="79" t="s">
        <v>477</v>
      </c>
      <c r="AB347" s="79" t="s">
        <v>582</v>
      </c>
      <c r="AC347" s="77" t="s">
        <v>94</v>
      </c>
      <c r="AD347" s="79" t="s">
        <v>1704</v>
      </c>
    </row>
    <row r="348" spans="1:30" x14ac:dyDescent="0.4">
      <c r="A348" s="10" t="s">
        <v>1315</v>
      </c>
      <c r="B348" s="77" t="s">
        <v>491</v>
      </c>
      <c r="C348" s="77">
        <f>C347+(BudgetsTable[[#This Row],[lead]]&lt;&gt;K347)</f>
        <v>75</v>
      </c>
      <c r="D348" s="77">
        <f>D347*(BudgetsTable[[#This Row],[lead]]=K347)+(BudgetsTable[[#This Row],[prop_id]]&lt;&gt;A347)</f>
        <v>1</v>
      </c>
      <c r="E348" s="78">
        <v>43004.497916666667</v>
      </c>
      <c r="F348" s="79" t="s">
        <v>524</v>
      </c>
      <c r="G348" s="79" t="s">
        <v>477</v>
      </c>
      <c r="H348" s="79" t="s">
        <v>582</v>
      </c>
      <c r="I348" s="77" t="s">
        <v>611</v>
      </c>
      <c r="J348" s="77" t="s">
        <v>13</v>
      </c>
      <c r="K348" s="79" t="s">
        <v>1315</v>
      </c>
      <c r="L348" s="7" t="str">
        <f>IF(BudgetsTable[[#This Row],[pi_last_name]]=" ","",HYPERLINK("https://www.ejacket.nsf.gov/ej/showProposal.do?Continue=Y&amp;ID="&amp;BudgetsTable[[#This Row],[prop_id]],BudgetsTable[[#This Row],[prop_id]]))</f>
        <v/>
      </c>
      <c r="M348" s="15" t="str">
        <f>IF(BudgetsTable[[#This Row],[pi_last_name]]=" ","",HYPERLINK("https://www.ejacket.nsf.gov/ej/processReviewAnalysis.do?dispatch=add&amp;uniqId="&amp;BudgetsTable[[#This Row],[prop_id]]&amp;PO_id,"&gt;ra"))</f>
        <v/>
      </c>
      <c r="N348" s="79" t="s">
        <v>13</v>
      </c>
      <c r="O348" s="7" t="str">
        <f>IF(BudgetsTable[[#This Row],[pi_last_name]]=" ","",HYPERLINK("mailto:"&amp;BudgetsTable[[#This Row],[pi_email]]&amp;"&amp;subject=Your NSF Proposal:  "&amp;BudgetsTable[[#This Row],[prop_id]],BudgetsTable[[#This Row],[pi_email]]))</f>
        <v/>
      </c>
      <c r="P348" s="79" t="s">
        <v>13</v>
      </c>
      <c r="Q348" s="79">
        <v>2</v>
      </c>
      <c r="R348" s="79">
        <v>1.31</v>
      </c>
      <c r="S348" s="80">
        <v>0</v>
      </c>
      <c r="T348" s="80">
        <v>0</v>
      </c>
      <c r="U348" s="80">
        <v>0</v>
      </c>
      <c r="V348" s="81">
        <v>128701</v>
      </c>
      <c r="W348" s="79">
        <v>0</v>
      </c>
      <c r="X348" s="79">
        <v>3</v>
      </c>
      <c r="Y348" s="11" t="str">
        <f ca="1">IF(ISBLANK(BudgetsTable[[#This Row],[budg_seq_yr]]),"FY"&amp;fiscalyear,"FY"&amp;fiscalyear-1+BudgetsTable[[#This Row],[budg_seq_yr]])</f>
        <v>FY20</v>
      </c>
      <c r="Z348" s="80">
        <v>128701</v>
      </c>
      <c r="AA348" s="79" t="s">
        <v>477</v>
      </c>
      <c r="AB348" s="79" t="s">
        <v>582</v>
      </c>
      <c r="AC348" s="77" t="s">
        <v>94</v>
      </c>
      <c r="AD348" s="79" t="s">
        <v>1704</v>
      </c>
    </row>
    <row r="349" spans="1:30" x14ac:dyDescent="0.4">
      <c r="A349" s="10" t="s">
        <v>1733</v>
      </c>
      <c r="B349" s="77" t="s">
        <v>493</v>
      </c>
      <c r="C349" s="77">
        <f>C348+(BudgetsTable[[#This Row],[lead]]&lt;&gt;K348)</f>
        <v>75</v>
      </c>
      <c r="D349" s="77">
        <f>D348*(BudgetsTable[[#This Row],[lead]]=K348)+(BudgetsTable[[#This Row],[prop_id]]&lt;&gt;A348)</f>
        <v>2</v>
      </c>
      <c r="E349" s="78">
        <v>43003.538194444445</v>
      </c>
      <c r="F349" s="79" t="s">
        <v>524</v>
      </c>
      <c r="G349" s="79" t="s">
        <v>477</v>
      </c>
      <c r="H349" s="79" t="s">
        <v>582</v>
      </c>
      <c r="I349" s="77" t="s">
        <v>611</v>
      </c>
      <c r="J349" s="77" t="s">
        <v>1736</v>
      </c>
      <c r="K349" s="79" t="s">
        <v>1315</v>
      </c>
      <c r="L349" s="7" t="str">
        <f>IF(BudgetsTable[[#This Row],[pi_last_name]]=" ","",HYPERLINK("https://www.ejacket.nsf.gov/ej/showProposal.do?Continue=Y&amp;ID="&amp;BudgetsTable[[#This Row],[prop_id]],BudgetsTable[[#This Row],[prop_id]]))</f>
        <v>1763191</v>
      </c>
      <c r="M349" s="15" t="e">
        <f>IF(BudgetsTable[[#This Row],[pi_last_name]]=" ","",HYPERLINK("https://www.ejacket.nsf.gov/ej/processReviewAnalysis.do?dispatch=add&amp;uniqId="&amp;BudgetsTable[[#This Row],[prop_id]]&amp;PO_id,"&gt;ra"))</f>
        <v>#REF!</v>
      </c>
      <c r="N349" s="79" t="s">
        <v>1734</v>
      </c>
      <c r="O349" s="7" t="str">
        <f>IF(BudgetsTable[[#This Row],[pi_last_name]]=" ","",HYPERLINK("mailto:"&amp;BudgetsTable[[#This Row],[pi_email]]&amp;"&amp;subject=Your NSF Proposal:  "&amp;BudgetsTable[[#This Row],[prop_id]],BudgetsTable[[#This Row],[pi_email]]))</f>
        <v>jamesz@stanford.edu</v>
      </c>
      <c r="P349" s="79" t="s">
        <v>1465</v>
      </c>
      <c r="Q349" s="79"/>
      <c r="R349" s="79"/>
      <c r="S349" s="80"/>
      <c r="T349" s="80"/>
      <c r="U349" s="80"/>
      <c r="V349" s="81"/>
      <c r="W349" s="79">
        <v>0</v>
      </c>
      <c r="X349" s="79"/>
      <c r="Y349" s="11" t="str">
        <f ca="1">IF(ISBLANK(BudgetsTable[[#This Row],[budg_seq_yr]]),"FY"&amp;fiscalyear,"FY"&amp;fiscalyear-1+BudgetsTable[[#This Row],[budg_seq_yr]])</f>
        <v>FY18</v>
      </c>
      <c r="Z349" s="80">
        <v>276000</v>
      </c>
      <c r="AA349" s="79" t="s">
        <v>477</v>
      </c>
      <c r="AB349" s="79" t="s">
        <v>582</v>
      </c>
      <c r="AC349" s="77" t="s">
        <v>94</v>
      </c>
      <c r="AD349" s="79" t="s">
        <v>1704</v>
      </c>
    </row>
    <row r="350" spans="1:30" x14ac:dyDescent="0.4">
      <c r="A350" s="10" t="s">
        <v>1733</v>
      </c>
      <c r="B350" s="77" t="s">
        <v>493</v>
      </c>
      <c r="C350" s="77">
        <f>C349+(BudgetsTable[[#This Row],[lead]]&lt;&gt;K349)</f>
        <v>75</v>
      </c>
      <c r="D350" s="77">
        <f>D349*(BudgetsTable[[#This Row],[lead]]=K349)+(BudgetsTable[[#This Row],[prop_id]]&lt;&gt;A349)</f>
        <v>2</v>
      </c>
      <c r="E350" s="78">
        <v>43003.538194444445</v>
      </c>
      <c r="F350" s="79" t="s">
        <v>524</v>
      </c>
      <c r="G350" s="79" t="s">
        <v>477</v>
      </c>
      <c r="H350" s="79" t="s">
        <v>582</v>
      </c>
      <c r="I350" s="77" t="s">
        <v>611</v>
      </c>
      <c r="J350" s="77" t="s">
        <v>13</v>
      </c>
      <c r="K350" s="79" t="s">
        <v>1315</v>
      </c>
      <c r="L350" s="7" t="str">
        <f>IF(BudgetsTable[[#This Row],[pi_last_name]]=" ","",HYPERLINK("https://www.ejacket.nsf.gov/ej/showProposal.do?Continue=Y&amp;ID="&amp;BudgetsTable[[#This Row],[prop_id]],BudgetsTable[[#This Row],[prop_id]]))</f>
        <v/>
      </c>
      <c r="M350" s="15" t="str">
        <f>IF(BudgetsTable[[#This Row],[pi_last_name]]=" ","",HYPERLINK("https://www.ejacket.nsf.gov/ej/processReviewAnalysis.do?dispatch=add&amp;uniqId="&amp;BudgetsTable[[#This Row],[prop_id]]&amp;PO_id,"&gt;ra"))</f>
        <v/>
      </c>
      <c r="N350" s="79" t="s">
        <v>13</v>
      </c>
      <c r="O350" s="7" t="str">
        <f>IF(BudgetsTable[[#This Row],[pi_last_name]]=" ","",HYPERLINK("mailto:"&amp;BudgetsTable[[#This Row],[pi_email]]&amp;"&amp;subject=Your NSF Proposal:  "&amp;BudgetsTable[[#This Row],[prop_id]],BudgetsTable[[#This Row],[pi_email]]))</f>
        <v/>
      </c>
      <c r="P350" s="79" t="s">
        <v>13</v>
      </c>
      <c r="Q350" s="79">
        <v>1</v>
      </c>
      <c r="R350" s="79">
        <v>0</v>
      </c>
      <c r="S350" s="80">
        <v>0</v>
      </c>
      <c r="T350" s="80">
        <v>0</v>
      </c>
      <c r="U350" s="80">
        <v>0</v>
      </c>
      <c r="V350" s="81">
        <v>89310</v>
      </c>
      <c r="W350" s="79">
        <v>0</v>
      </c>
      <c r="X350" s="79">
        <v>1</v>
      </c>
      <c r="Y350" s="11" t="str">
        <f ca="1">IF(ISBLANK(BudgetsTable[[#This Row],[budg_seq_yr]]),"FY"&amp;fiscalyear,"FY"&amp;fiscalyear-1+BudgetsTable[[#This Row],[budg_seq_yr]])</f>
        <v>FY18</v>
      </c>
      <c r="Z350" s="80">
        <v>89310</v>
      </c>
      <c r="AA350" s="79" t="s">
        <v>477</v>
      </c>
      <c r="AB350" s="79" t="s">
        <v>582</v>
      </c>
      <c r="AC350" s="77" t="s">
        <v>94</v>
      </c>
      <c r="AD350" s="79" t="s">
        <v>1704</v>
      </c>
    </row>
    <row r="351" spans="1:30" x14ac:dyDescent="0.4">
      <c r="A351" s="10" t="s">
        <v>1733</v>
      </c>
      <c r="B351" s="77" t="s">
        <v>493</v>
      </c>
      <c r="C351" s="77">
        <f>C350+(BudgetsTable[[#This Row],[lead]]&lt;&gt;K350)</f>
        <v>75</v>
      </c>
      <c r="D351" s="77">
        <f>D350*(BudgetsTable[[#This Row],[lead]]=K350)+(BudgetsTable[[#This Row],[prop_id]]&lt;&gt;A350)</f>
        <v>2</v>
      </c>
      <c r="E351" s="78">
        <v>43003.538194444445</v>
      </c>
      <c r="F351" s="79" t="s">
        <v>524</v>
      </c>
      <c r="G351" s="79" t="s">
        <v>477</v>
      </c>
      <c r="H351" s="79" t="s">
        <v>582</v>
      </c>
      <c r="I351" s="77" t="s">
        <v>611</v>
      </c>
      <c r="J351" s="77" t="s">
        <v>13</v>
      </c>
      <c r="K351" s="79" t="s">
        <v>1315</v>
      </c>
      <c r="L351" s="7" t="str">
        <f>IF(BudgetsTable[[#This Row],[pi_last_name]]=" ","",HYPERLINK("https://www.ejacket.nsf.gov/ej/showProposal.do?Continue=Y&amp;ID="&amp;BudgetsTable[[#This Row],[prop_id]],BudgetsTable[[#This Row],[prop_id]]))</f>
        <v/>
      </c>
      <c r="M351" s="15" t="str">
        <f>IF(BudgetsTable[[#This Row],[pi_last_name]]=" ","",HYPERLINK("https://www.ejacket.nsf.gov/ej/processReviewAnalysis.do?dispatch=add&amp;uniqId="&amp;BudgetsTable[[#This Row],[prop_id]]&amp;PO_id,"&gt;ra"))</f>
        <v/>
      </c>
      <c r="N351" s="79" t="s">
        <v>13</v>
      </c>
      <c r="O351" s="7" t="str">
        <f>IF(BudgetsTable[[#This Row],[pi_last_name]]=" ","",HYPERLINK("mailto:"&amp;BudgetsTable[[#This Row],[pi_email]]&amp;"&amp;subject=Your NSF Proposal:  "&amp;BudgetsTable[[#This Row],[prop_id]],BudgetsTable[[#This Row],[pi_email]]))</f>
        <v/>
      </c>
      <c r="P351" s="79" t="s">
        <v>13</v>
      </c>
      <c r="Q351" s="79">
        <v>1</v>
      </c>
      <c r="R351" s="79">
        <v>0</v>
      </c>
      <c r="S351" s="80">
        <v>0</v>
      </c>
      <c r="T351" s="80">
        <v>0</v>
      </c>
      <c r="U351" s="80">
        <v>0</v>
      </c>
      <c r="V351" s="81">
        <v>91970</v>
      </c>
      <c r="W351" s="79">
        <v>0</v>
      </c>
      <c r="X351" s="79">
        <v>2</v>
      </c>
      <c r="Y351" s="11" t="str">
        <f ca="1">IF(ISBLANK(BudgetsTable[[#This Row],[budg_seq_yr]]),"FY"&amp;fiscalyear,"FY"&amp;fiscalyear-1+BudgetsTable[[#This Row],[budg_seq_yr]])</f>
        <v>FY19</v>
      </c>
      <c r="Z351" s="80">
        <v>91970</v>
      </c>
      <c r="AA351" s="79" t="s">
        <v>477</v>
      </c>
      <c r="AB351" s="79" t="s">
        <v>582</v>
      </c>
      <c r="AC351" s="77" t="s">
        <v>94</v>
      </c>
      <c r="AD351" s="79" t="s">
        <v>1704</v>
      </c>
    </row>
    <row r="352" spans="1:30" x14ac:dyDescent="0.4">
      <c r="A352" s="10" t="s">
        <v>1733</v>
      </c>
      <c r="B352" s="77" t="s">
        <v>493</v>
      </c>
      <c r="C352" s="77">
        <f>C351+(BudgetsTable[[#This Row],[lead]]&lt;&gt;K351)</f>
        <v>75</v>
      </c>
      <c r="D352" s="77">
        <f>D351*(BudgetsTable[[#This Row],[lead]]=K351)+(BudgetsTable[[#This Row],[prop_id]]&lt;&gt;A351)</f>
        <v>2</v>
      </c>
      <c r="E352" s="78">
        <v>43003.538194444445</v>
      </c>
      <c r="F352" s="79" t="s">
        <v>524</v>
      </c>
      <c r="G352" s="79" t="s">
        <v>477</v>
      </c>
      <c r="H352" s="79" t="s">
        <v>582</v>
      </c>
      <c r="I352" s="77" t="s">
        <v>611</v>
      </c>
      <c r="J352" s="77" t="s">
        <v>13</v>
      </c>
      <c r="K352" s="79" t="s">
        <v>1315</v>
      </c>
      <c r="L352" s="7" t="str">
        <f>IF(BudgetsTable[[#This Row],[pi_last_name]]=" ","",HYPERLINK("https://www.ejacket.nsf.gov/ej/showProposal.do?Continue=Y&amp;ID="&amp;BudgetsTable[[#This Row],[prop_id]],BudgetsTable[[#This Row],[prop_id]]))</f>
        <v/>
      </c>
      <c r="M352" s="15" t="str">
        <f>IF(BudgetsTable[[#This Row],[pi_last_name]]=" ","",HYPERLINK("https://www.ejacket.nsf.gov/ej/processReviewAnalysis.do?dispatch=add&amp;uniqId="&amp;BudgetsTable[[#This Row],[prop_id]]&amp;PO_id,"&gt;ra"))</f>
        <v/>
      </c>
      <c r="N352" s="79" t="s">
        <v>13</v>
      </c>
      <c r="O352" s="7" t="str">
        <f>IF(BudgetsTable[[#This Row],[pi_last_name]]=" ","",HYPERLINK("mailto:"&amp;BudgetsTable[[#This Row],[pi_email]]&amp;"&amp;subject=Your NSF Proposal:  "&amp;BudgetsTable[[#This Row],[prop_id]],BudgetsTable[[#This Row],[pi_email]]))</f>
        <v/>
      </c>
      <c r="P352" s="79" t="s">
        <v>13</v>
      </c>
      <c r="Q352" s="79">
        <v>1</v>
      </c>
      <c r="R352" s="79">
        <v>0</v>
      </c>
      <c r="S352" s="80">
        <v>0</v>
      </c>
      <c r="T352" s="80">
        <v>0</v>
      </c>
      <c r="U352" s="80">
        <v>0</v>
      </c>
      <c r="V352" s="81">
        <v>94720</v>
      </c>
      <c r="W352" s="79">
        <v>0</v>
      </c>
      <c r="X352" s="79">
        <v>3</v>
      </c>
      <c r="Y352" s="11" t="str">
        <f ca="1">IF(ISBLANK(BudgetsTable[[#This Row],[budg_seq_yr]]),"FY"&amp;fiscalyear,"FY"&amp;fiscalyear-1+BudgetsTable[[#This Row],[budg_seq_yr]])</f>
        <v>FY20</v>
      </c>
      <c r="Z352" s="80">
        <v>94720</v>
      </c>
      <c r="AA352" s="79" t="s">
        <v>477</v>
      </c>
      <c r="AB352" s="79" t="s">
        <v>582</v>
      </c>
      <c r="AC352" s="77" t="s">
        <v>94</v>
      </c>
      <c r="AD352" s="79" t="s">
        <v>1704</v>
      </c>
    </row>
    <row r="353" spans="1:30" x14ac:dyDescent="0.4">
      <c r="A353" s="10" t="s">
        <v>1737</v>
      </c>
      <c r="B353" s="77" t="s">
        <v>493</v>
      </c>
      <c r="C353" s="77">
        <f>C352+(BudgetsTable[[#This Row],[lead]]&lt;&gt;K352)</f>
        <v>75</v>
      </c>
      <c r="D353" s="77">
        <f>D352*(BudgetsTable[[#This Row],[lead]]=K352)+(BudgetsTable[[#This Row],[prop_id]]&lt;&gt;A352)</f>
        <v>3</v>
      </c>
      <c r="E353" s="78">
        <v>43005.559027777781</v>
      </c>
      <c r="F353" s="79" t="s">
        <v>524</v>
      </c>
      <c r="G353" s="79" t="s">
        <v>477</v>
      </c>
      <c r="H353" s="79" t="s">
        <v>582</v>
      </c>
      <c r="I353" s="77" t="s">
        <v>611</v>
      </c>
      <c r="J353" s="77" t="s">
        <v>1741</v>
      </c>
      <c r="K353" s="79" t="s">
        <v>1315</v>
      </c>
      <c r="L353" s="7" t="str">
        <f>IF(BudgetsTable[[#This Row],[pi_last_name]]=" ","",HYPERLINK("https://www.ejacket.nsf.gov/ej/showProposal.do?Continue=Y&amp;ID="&amp;BudgetsTable[[#This Row],[prop_id]],BudgetsTable[[#This Row],[prop_id]]))</f>
        <v>1763665</v>
      </c>
      <c r="M353" s="15" t="e">
        <f>IF(BudgetsTable[[#This Row],[pi_last_name]]=" ","",HYPERLINK("https://www.ejacket.nsf.gov/ej/processReviewAnalysis.do?dispatch=add&amp;uniqId="&amp;BudgetsTable[[#This Row],[prop_id]]&amp;PO_id,"&gt;ra"))</f>
        <v>#REF!</v>
      </c>
      <c r="N353" s="79" t="s">
        <v>1738</v>
      </c>
      <c r="O353" s="7" t="str">
        <f>IF(BudgetsTable[[#This Row],[pi_last_name]]=" ","",HYPERLINK("mailto:"&amp;BudgetsTable[[#This Row],[pi_email]]&amp;"&amp;subject=Your NSF Proposal:  "&amp;BudgetsTable[[#This Row],[prop_id]],BudgetsTable[[#This Row],[pi_email]]))</f>
        <v>dwork@seas.harvard.edu</v>
      </c>
      <c r="P353" s="79" t="s">
        <v>1728</v>
      </c>
      <c r="Q353" s="79"/>
      <c r="R353" s="79"/>
      <c r="S353" s="80"/>
      <c r="T353" s="80"/>
      <c r="U353" s="80"/>
      <c r="V353" s="81"/>
      <c r="W353" s="79">
        <v>0</v>
      </c>
      <c r="X353" s="79"/>
      <c r="Y353" s="11" t="str">
        <f ca="1">IF(ISBLANK(BudgetsTable[[#This Row],[budg_seq_yr]]),"FY"&amp;fiscalyear,"FY"&amp;fiscalyear-1+BudgetsTable[[#This Row],[budg_seq_yr]])</f>
        <v>FY18</v>
      </c>
      <c r="Z353" s="80">
        <v>286000</v>
      </c>
      <c r="AA353" s="79" t="s">
        <v>477</v>
      </c>
      <c r="AB353" s="79" t="s">
        <v>582</v>
      </c>
      <c r="AC353" s="77" t="s">
        <v>94</v>
      </c>
      <c r="AD353" s="79" t="s">
        <v>1704</v>
      </c>
    </row>
    <row r="354" spans="1:30" x14ac:dyDescent="0.4">
      <c r="A354" s="10" t="s">
        <v>1737</v>
      </c>
      <c r="B354" s="77" t="s">
        <v>493</v>
      </c>
      <c r="C354" s="77">
        <f>C353+(BudgetsTable[[#This Row],[lead]]&lt;&gt;K353)</f>
        <v>75</v>
      </c>
      <c r="D354" s="77">
        <f>D353*(BudgetsTable[[#This Row],[lead]]=K353)+(BudgetsTable[[#This Row],[prop_id]]&lt;&gt;A353)</f>
        <v>3</v>
      </c>
      <c r="E354" s="78">
        <v>43005.559027777781</v>
      </c>
      <c r="F354" s="79" t="s">
        <v>524</v>
      </c>
      <c r="G354" s="79" t="s">
        <v>477</v>
      </c>
      <c r="H354" s="79" t="s">
        <v>582</v>
      </c>
      <c r="I354" s="77" t="s">
        <v>611</v>
      </c>
      <c r="J354" s="77" t="s">
        <v>13</v>
      </c>
      <c r="K354" s="79" t="s">
        <v>1315</v>
      </c>
      <c r="L354" s="7" t="str">
        <f>IF(BudgetsTable[[#This Row],[pi_last_name]]=" ","",HYPERLINK("https://www.ejacket.nsf.gov/ej/showProposal.do?Continue=Y&amp;ID="&amp;BudgetsTable[[#This Row],[prop_id]],BudgetsTable[[#This Row],[prop_id]]))</f>
        <v/>
      </c>
      <c r="M354" s="15" t="str">
        <f>IF(BudgetsTable[[#This Row],[pi_last_name]]=" ","",HYPERLINK("https://www.ejacket.nsf.gov/ej/processReviewAnalysis.do?dispatch=add&amp;uniqId="&amp;BudgetsTable[[#This Row],[prop_id]]&amp;PO_id,"&gt;ra"))</f>
        <v/>
      </c>
      <c r="N354" s="79" t="s">
        <v>13</v>
      </c>
      <c r="O354" s="7" t="str">
        <f>IF(BudgetsTable[[#This Row],[pi_last_name]]=" ","",HYPERLINK("mailto:"&amp;BudgetsTable[[#This Row],[pi_email]]&amp;"&amp;subject=Your NSF Proposal:  "&amp;BudgetsTable[[#This Row],[prop_id]],BudgetsTable[[#This Row],[pi_email]]))</f>
        <v/>
      </c>
      <c r="P354" s="79" t="s">
        <v>13</v>
      </c>
      <c r="Q354" s="79">
        <v>1</v>
      </c>
      <c r="R354" s="79">
        <v>0</v>
      </c>
      <c r="S354" s="80">
        <v>0</v>
      </c>
      <c r="T354" s="80">
        <v>0</v>
      </c>
      <c r="U354" s="80">
        <v>0</v>
      </c>
      <c r="V354" s="81">
        <v>109142</v>
      </c>
      <c r="W354" s="79">
        <v>0</v>
      </c>
      <c r="X354" s="79">
        <v>1</v>
      </c>
      <c r="Y354" s="11" t="str">
        <f ca="1">IF(ISBLANK(BudgetsTable[[#This Row],[budg_seq_yr]]),"FY"&amp;fiscalyear,"FY"&amp;fiscalyear-1+BudgetsTable[[#This Row],[budg_seq_yr]])</f>
        <v>FY18</v>
      </c>
      <c r="Z354" s="80">
        <v>109142</v>
      </c>
      <c r="AA354" s="79" t="s">
        <v>477</v>
      </c>
      <c r="AB354" s="79" t="s">
        <v>582</v>
      </c>
      <c r="AC354" s="77" t="s">
        <v>94</v>
      </c>
      <c r="AD354" s="79" t="s">
        <v>1704</v>
      </c>
    </row>
    <row r="355" spans="1:30" x14ac:dyDescent="0.4">
      <c r="A355" s="10" t="s">
        <v>1737</v>
      </c>
      <c r="B355" s="77" t="s">
        <v>493</v>
      </c>
      <c r="C355" s="77">
        <f>C354+(BudgetsTable[[#This Row],[lead]]&lt;&gt;K354)</f>
        <v>75</v>
      </c>
      <c r="D355" s="77">
        <f>D354*(BudgetsTable[[#This Row],[lead]]=K354)+(BudgetsTable[[#This Row],[prop_id]]&lt;&gt;A354)</f>
        <v>3</v>
      </c>
      <c r="E355" s="78">
        <v>43005.559027777781</v>
      </c>
      <c r="F355" s="79" t="s">
        <v>524</v>
      </c>
      <c r="G355" s="79" t="s">
        <v>477</v>
      </c>
      <c r="H355" s="79" t="s">
        <v>582</v>
      </c>
      <c r="I355" s="77" t="s">
        <v>611</v>
      </c>
      <c r="J355" s="77" t="s">
        <v>13</v>
      </c>
      <c r="K355" s="79" t="s">
        <v>1315</v>
      </c>
      <c r="L355" s="7" t="str">
        <f>IF(BudgetsTable[[#This Row],[pi_last_name]]=" ","",HYPERLINK("https://www.ejacket.nsf.gov/ej/showProposal.do?Continue=Y&amp;ID="&amp;BudgetsTable[[#This Row],[prop_id]],BudgetsTable[[#This Row],[prop_id]]))</f>
        <v/>
      </c>
      <c r="M355" s="15" t="str">
        <f>IF(BudgetsTable[[#This Row],[pi_last_name]]=" ","",HYPERLINK("https://www.ejacket.nsf.gov/ej/processReviewAnalysis.do?dispatch=add&amp;uniqId="&amp;BudgetsTable[[#This Row],[prop_id]]&amp;PO_id,"&gt;ra"))</f>
        <v/>
      </c>
      <c r="N355" s="79" t="s">
        <v>13</v>
      </c>
      <c r="O355" s="7" t="str">
        <f>IF(BudgetsTable[[#This Row],[pi_last_name]]=" ","",HYPERLINK("mailto:"&amp;BudgetsTable[[#This Row],[pi_email]]&amp;"&amp;subject=Your NSF Proposal:  "&amp;BudgetsTable[[#This Row],[prop_id]],BudgetsTable[[#This Row],[pi_email]]))</f>
        <v/>
      </c>
      <c r="P355" s="79" t="s">
        <v>13</v>
      </c>
      <c r="Q355" s="79">
        <v>1</v>
      </c>
      <c r="R355" s="79">
        <v>0</v>
      </c>
      <c r="S355" s="80">
        <v>0</v>
      </c>
      <c r="T355" s="80">
        <v>0</v>
      </c>
      <c r="U355" s="80">
        <v>0</v>
      </c>
      <c r="V355" s="81">
        <v>87720</v>
      </c>
      <c r="W355" s="79">
        <v>0</v>
      </c>
      <c r="X355" s="79">
        <v>2</v>
      </c>
      <c r="Y355" s="11" t="str">
        <f ca="1">IF(ISBLANK(BudgetsTable[[#This Row],[budg_seq_yr]]),"FY"&amp;fiscalyear,"FY"&amp;fiscalyear-1+BudgetsTable[[#This Row],[budg_seq_yr]])</f>
        <v>FY19</v>
      </c>
      <c r="Z355" s="80">
        <v>87720</v>
      </c>
      <c r="AA355" s="79" t="s">
        <v>477</v>
      </c>
      <c r="AB355" s="79" t="s">
        <v>582</v>
      </c>
      <c r="AC355" s="77" t="s">
        <v>94</v>
      </c>
      <c r="AD355" s="79" t="s">
        <v>1704</v>
      </c>
    </row>
    <row r="356" spans="1:30" x14ac:dyDescent="0.4">
      <c r="A356" s="10" t="s">
        <v>1737</v>
      </c>
      <c r="B356" s="77" t="s">
        <v>493</v>
      </c>
      <c r="C356" s="77">
        <f>C355+(BudgetsTable[[#This Row],[lead]]&lt;&gt;K355)</f>
        <v>75</v>
      </c>
      <c r="D356" s="77">
        <f>D355*(BudgetsTable[[#This Row],[lead]]=K355)+(BudgetsTable[[#This Row],[prop_id]]&lt;&gt;A355)</f>
        <v>3</v>
      </c>
      <c r="E356" s="78">
        <v>43005.559027777781</v>
      </c>
      <c r="F356" s="79" t="s">
        <v>524</v>
      </c>
      <c r="G356" s="79" t="s">
        <v>477</v>
      </c>
      <c r="H356" s="79" t="s">
        <v>582</v>
      </c>
      <c r="I356" s="77" t="s">
        <v>611</v>
      </c>
      <c r="J356" s="77" t="s">
        <v>13</v>
      </c>
      <c r="K356" s="79" t="s">
        <v>1315</v>
      </c>
      <c r="L356" s="7" t="str">
        <f>IF(BudgetsTable[[#This Row],[pi_last_name]]=" ","",HYPERLINK("https://www.ejacket.nsf.gov/ej/showProposal.do?Continue=Y&amp;ID="&amp;BudgetsTable[[#This Row],[prop_id]],BudgetsTable[[#This Row],[prop_id]]))</f>
        <v/>
      </c>
      <c r="M356" s="15" t="str">
        <f>IF(BudgetsTable[[#This Row],[pi_last_name]]=" ","",HYPERLINK("https://www.ejacket.nsf.gov/ej/processReviewAnalysis.do?dispatch=add&amp;uniqId="&amp;BudgetsTable[[#This Row],[prop_id]]&amp;PO_id,"&gt;ra"))</f>
        <v/>
      </c>
      <c r="N356" s="79" t="s">
        <v>13</v>
      </c>
      <c r="O356" s="7" t="str">
        <f>IF(BudgetsTable[[#This Row],[pi_last_name]]=" ","",HYPERLINK("mailto:"&amp;BudgetsTable[[#This Row],[pi_email]]&amp;"&amp;subject=Your NSF Proposal:  "&amp;BudgetsTable[[#This Row],[prop_id]],BudgetsTable[[#This Row],[pi_email]]))</f>
        <v/>
      </c>
      <c r="P356" s="79" t="s">
        <v>13</v>
      </c>
      <c r="Q356" s="79">
        <v>1</v>
      </c>
      <c r="R356" s="79">
        <v>0</v>
      </c>
      <c r="S356" s="80">
        <v>0</v>
      </c>
      <c r="T356" s="80">
        <v>0</v>
      </c>
      <c r="U356" s="80">
        <v>0</v>
      </c>
      <c r="V356" s="81">
        <v>89138</v>
      </c>
      <c r="W356" s="79">
        <v>0</v>
      </c>
      <c r="X356" s="79">
        <v>3</v>
      </c>
      <c r="Y356" s="11" t="str">
        <f ca="1">IF(ISBLANK(BudgetsTable[[#This Row],[budg_seq_yr]]),"FY"&amp;fiscalyear,"FY"&amp;fiscalyear-1+BudgetsTable[[#This Row],[budg_seq_yr]])</f>
        <v>FY20</v>
      </c>
      <c r="Z356" s="80">
        <v>89138</v>
      </c>
      <c r="AA356" s="79" t="s">
        <v>477</v>
      </c>
      <c r="AB356" s="79" t="s">
        <v>582</v>
      </c>
      <c r="AC356" s="77" t="s">
        <v>94</v>
      </c>
      <c r="AD356" s="79" t="s">
        <v>1704</v>
      </c>
    </row>
    <row r="357" spans="1:30" x14ac:dyDescent="0.4">
      <c r="A357" s="10" t="s">
        <v>1742</v>
      </c>
      <c r="B357" s="77" t="s">
        <v>493</v>
      </c>
      <c r="C357" s="77">
        <f>C356+(BudgetsTable[[#This Row],[lead]]&lt;&gt;K356)</f>
        <v>75</v>
      </c>
      <c r="D357" s="77">
        <f>D356*(BudgetsTable[[#This Row],[lead]]=K356)+(BudgetsTable[[#This Row],[prop_id]]&lt;&gt;A356)</f>
        <v>4</v>
      </c>
      <c r="E357" s="78">
        <v>43005.611111111109</v>
      </c>
      <c r="F357" s="79" t="s">
        <v>524</v>
      </c>
      <c r="G357" s="79" t="s">
        <v>477</v>
      </c>
      <c r="H357" s="79" t="s">
        <v>582</v>
      </c>
      <c r="I357" s="77" t="s">
        <v>611</v>
      </c>
      <c r="J357" s="77" t="s">
        <v>1746</v>
      </c>
      <c r="K357" s="79" t="s">
        <v>1315</v>
      </c>
      <c r="L357" s="7" t="str">
        <f>IF(BudgetsTable[[#This Row],[pi_last_name]]=" ","",HYPERLINK("https://www.ejacket.nsf.gov/ej/showProposal.do?Continue=Y&amp;ID="&amp;BudgetsTable[[#This Row],[prop_id]],BudgetsTable[[#This Row],[prop_id]]))</f>
        <v>1763786</v>
      </c>
      <c r="M357" s="15" t="e">
        <f>IF(BudgetsTable[[#This Row],[pi_last_name]]=" ","",HYPERLINK("https://www.ejacket.nsf.gov/ej/processReviewAnalysis.do?dispatch=add&amp;uniqId="&amp;BudgetsTable[[#This Row],[prop_id]]&amp;PO_id,"&gt;ra"))</f>
        <v>#REF!</v>
      </c>
      <c r="N357" s="79" t="s">
        <v>1743</v>
      </c>
      <c r="O357" s="7" t="str">
        <f>IF(BudgetsTable[[#This Row],[pi_last_name]]=" ","",HYPERLINK("mailto:"&amp;BudgetsTable[[#This Row],[pi_email]]&amp;"&amp;subject=Your NSF Proposal:  "&amp;BudgetsTable[[#This Row],[prop_id]],BudgetsTable[[#This Row],[pi_email]]))</f>
        <v>ads22@bu.edu</v>
      </c>
      <c r="P357" s="79" t="s">
        <v>1529</v>
      </c>
      <c r="Q357" s="79"/>
      <c r="R357" s="79"/>
      <c r="S357" s="80"/>
      <c r="T357" s="80"/>
      <c r="U357" s="80"/>
      <c r="V357" s="81"/>
      <c r="W357" s="79">
        <v>0</v>
      </c>
      <c r="X357" s="79"/>
      <c r="Y357" s="11" t="str">
        <f ca="1">IF(ISBLANK(BudgetsTable[[#This Row],[budg_seq_yr]]),"FY"&amp;fiscalyear,"FY"&amp;fiscalyear-1+BudgetsTable[[#This Row],[budg_seq_yr]])</f>
        <v>FY18</v>
      </c>
      <c r="Z357" s="80">
        <v>260000</v>
      </c>
      <c r="AA357" s="79" t="s">
        <v>477</v>
      </c>
      <c r="AB357" s="79" t="s">
        <v>582</v>
      </c>
      <c r="AC357" s="77" t="s">
        <v>94</v>
      </c>
      <c r="AD357" s="79" t="s">
        <v>1704</v>
      </c>
    </row>
    <row r="358" spans="1:30" x14ac:dyDescent="0.4">
      <c r="A358" s="10" t="s">
        <v>1742</v>
      </c>
      <c r="B358" s="77" t="s">
        <v>493</v>
      </c>
      <c r="C358" s="77">
        <f>C357+(BudgetsTable[[#This Row],[lead]]&lt;&gt;K357)</f>
        <v>75</v>
      </c>
      <c r="D358" s="77">
        <f>D357*(BudgetsTable[[#This Row],[lead]]=K357)+(BudgetsTable[[#This Row],[prop_id]]&lt;&gt;A357)</f>
        <v>4</v>
      </c>
      <c r="E358" s="78">
        <v>43005.611111111109</v>
      </c>
      <c r="F358" s="79" t="s">
        <v>524</v>
      </c>
      <c r="G358" s="79" t="s">
        <v>477</v>
      </c>
      <c r="H358" s="79" t="s">
        <v>582</v>
      </c>
      <c r="I358" s="77" t="s">
        <v>611</v>
      </c>
      <c r="J358" s="77" t="s">
        <v>13</v>
      </c>
      <c r="K358" s="79" t="s">
        <v>1315</v>
      </c>
      <c r="L358" s="7" t="str">
        <f>IF(BudgetsTable[[#This Row],[pi_last_name]]=" ","",HYPERLINK("https://www.ejacket.nsf.gov/ej/showProposal.do?Continue=Y&amp;ID="&amp;BudgetsTable[[#This Row],[prop_id]],BudgetsTable[[#This Row],[prop_id]]))</f>
        <v/>
      </c>
      <c r="M358" s="15" t="str">
        <f>IF(BudgetsTable[[#This Row],[pi_last_name]]=" ","",HYPERLINK("https://www.ejacket.nsf.gov/ej/processReviewAnalysis.do?dispatch=add&amp;uniqId="&amp;BudgetsTable[[#This Row],[prop_id]]&amp;PO_id,"&gt;ra"))</f>
        <v/>
      </c>
      <c r="N358" s="79" t="s">
        <v>13</v>
      </c>
      <c r="O358" s="7" t="str">
        <f>IF(BudgetsTable[[#This Row],[pi_last_name]]=" ","",HYPERLINK("mailto:"&amp;BudgetsTable[[#This Row],[pi_email]]&amp;"&amp;subject=Your NSF Proposal:  "&amp;BudgetsTable[[#This Row],[prop_id]],BudgetsTable[[#This Row],[pi_email]]))</f>
        <v/>
      </c>
      <c r="P358" s="79" t="s">
        <v>13</v>
      </c>
      <c r="Q358" s="79">
        <v>1</v>
      </c>
      <c r="R358" s="79">
        <v>0.55000000000000004</v>
      </c>
      <c r="S358" s="80">
        <v>0</v>
      </c>
      <c r="T358" s="80">
        <v>0</v>
      </c>
      <c r="U358" s="80">
        <v>0</v>
      </c>
      <c r="V358" s="81">
        <v>86913</v>
      </c>
      <c r="W358" s="79">
        <v>0</v>
      </c>
      <c r="X358" s="79">
        <v>1</v>
      </c>
      <c r="Y358" s="11" t="str">
        <f ca="1">IF(ISBLANK(BudgetsTable[[#This Row],[budg_seq_yr]]),"FY"&amp;fiscalyear,"FY"&amp;fiscalyear-1+BudgetsTable[[#This Row],[budg_seq_yr]])</f>
        <v>FY18</v>
      </c>
      <c r="Z358" s="80">
        <v>86913</v>
      </c>
      <c r="AA358" s="79" t="s">
        <v>477</v>
      </c>
      <c r="AB358" s="79" t="s">
        <v>582</v>
      </c>
      <c r="AC358" s="77" t="s">
        <v>94</v>
      </c>
      <c r="AD358" s="79" t="s">
        <v>1704</v>
      </c>
    </row>
    <row r="359" spans="1:30" x14ac:dyDescent="0.4">
      <c r="A359" s="10" t="s">
        <v>1742</v>
      </c>
      <c r="B359" s="77" t="s">
        <v>493</v>
      </c>
      <c r="C359" s="77">
        <f>C358+(BudgetsTable[[#This Row],[lead]]&lt;&gt;K358)</f>
        <v>75</v>
      </c>
      <c r="D359" s="77">
        <f>D358*(BudgetsTable[[#This Row],[lead]]=K358)+(BudgetsTable[[#This Row],[prop_id]]&lt;&gt;A358)</f>
        <v>4</v>
      </c>
      <c r="E359" s="78">
        <v>43005.611111111109</v>
      </c>
      <c r="F359" s="79" t="s">
        <v>524</v>
      </c>
      <c r="G359" s="79" t="s">
        <v>477</v>
      </c>
      <c r="H359" s="79" t="s">
        <v>582</v>
      </c>
      <c r="I359" s="77" t="s">
        <v>611</v>
      </c>
      <c r="J359" s="77" t="s">
        <v>13</v>
      </c>
      <c r="K359" s="79" t="s">
        <v>1315</v>
      </c>
      <c r="L359" s="7" t="str">
        <f>IF(BudgetsTable[[#This Row],[pi_last_name]]=" ","",HYPERLINK("https://www.ejacket.nsf.gov/ej/showProposal.do?Continue=Y&amp;ID="&amp;BudgetsTable[[#This Row],[prop_id]],BudgetsTable[[#This Row],[prop_id]]))</f>
        <v/>
      </c>
      <c r="M359" s="15" t="str">
        <f>IF(BudgetsTable[[#This Row],[pi_last_name]]=" ","",HYPERLINK("https://www.ejacket.nsf.gov/ej/processReviewAnalysis.do?dispatch=add&amp;uniqId="&amp;BudgetsTable[[#This Row],[prop_id]]&amp;PO_id,"&gt;ra"))</f>
        <v/>
      </c>
      <c r="N359" s="79" t="s">
        <v>13</v>
      </c>
      <c r="O359" s="7" t="str">
        <f>IF(BudgetsTable[[#This Row],[pi_last_name]]=" ","",HYPERLINK("mailto:"&amp;BudgetsTable[[#This Row],[pi_email]]&amp;"&amp;subject=Your NSF Proposal:  "&amp;BudgetsTable[[#This Row],[prop_id]],BudgetsTable[[#This Row],[pi_email]]))</f>
        <v/>
      </c>
      <c r="P359" s="79" t="s">
        <v>13</v>
      </c>
      <c r="Q359" s="79">
        <v>1</v>
      </c>
      <c r="R359" s="79">
        <v>0.55000000000000004</v>
      </c>
      <c r="S359" s="80">
        <v>0</v>
      </c>
      <c r="T359" s="80">
        <v>0</v>
      </c>
      <c r="U359" s="80">
        <v>0</v>
      </c>
      <c r="V359" s="81">
        <v>85338</v>
      </c>
      <c r="W359" s="79">
        <v>0</v>
      </c>
      <c r="X359" s="79">
        <v>2</v>
      </c>
      <c r="Y359" s="11" t="str">
        <f ca="1">IF(ISBLANK(BudgetsTable[[#This Row],[budg_seq_yr]]),"FY"&amp;fiscalyear,"FY"&amp;fiscalyear-1+BudgetsTable[[#This Row],[budg_seq_yr]])</f>
        <v>FY19</v>
      </c>
      <c r="Z359" s="80">
        <v>85338</v>
      </c>
      <c r="AA359" s="79" t="s">
        <v>477</v>
      </c>
      <c r="AB359" s="79" t="s">
        <v>582</v>
      </c>
      <c r="AC359" s="77" t="s">
        <v>94</v>
      </c>
      <c r="AD359" s="79" t="s">
        <v>1704</v>
      </c>
    </row>
    <row r="360" spans="1:30" x14ac:dyDescent="0.4">
      <c r="A360" s="10" t="s">
        <v>1742</v>
      </c>
      <c r="B360" s="77" t="s">
        <v>493</v>
      </c>
      <c r="C360" s="77">
        <f>C359+(BudgetsTable[[#This Row],[lead]]&lt;&gt;K359)</f>
        <v>75</v>
      </c>
      <c r="D360" s="77">
        <f>D359*(BudgetsTable[[#This Row],[lead]]=K359)+(BudgetsTable[[#This Row],[prop_id]]&lt;&gt;A359)</f>
        <v>4</v>
      </c>
      <c r="E360" s="78">
        <v>43005.611111111109</v>
      </c>
      <c r="F360" s="79" t="s">
        <v>524</v>
      </c>
      <c r="G360" s="79" t="s">
        <v>477</v>
      </c>
      <c r="H360" s="79" t="s">
        <v>582</v>
      </c>
      <c r="I360" s="77" t="s">
        <v>611</v>
      </c>
      <c r="J360" s="77" t="s">
        <v>13</v>
      </c>
      <c r="K360" s="79" t="s">
        <v>1315</v>
      </c>
      <c r="L360" s="7" t="str">
        <f>IF(BudgetsTable[[#This Row],[pi_last_name]]=" ","",HYPERLINK("https://www.ejacket.nsf.gov/ej/showProposal.do?Continue=Y&amp;ID="&amp;BudgetsTable[[#This Row],[prop_id]],BudgetsTable[[#This Row],[prop_id]]))</f>
        <v/>
      </c>
      <c r="M360" s="15" t="str">
        <f>IF(BudgetsTable[[#This Row],[pi_last_name]]=" ","",HYPERLINK("https://www.ejacket.nsf.gov/ej/processReviewAnalysis.do?dispatch=add&amp;uniqId="&amp;BudgetsTable[[#This Row],[prop_id]]&amp;PO_id,"&gt;ra"))</f>
        <v/>
      </c>
      <c r="N360" s="79" t="s">
        <v>13</v>
      </c>
      <c r="O360" s="7" t="str">
        <f>IF(BudgetsTable[[#This Row],[pi_last_name]]=" ","",HYPERLINK("mailto:"&amp;BudgetsTable[[#This Row],[pi_email]]&amp;"&amp;subject=Your NSF Proposal:  "&amp;BudgetsTable[[#This Row],[prop_id]],BudgetsTable[[#This Row],[pi_email]]))</f>
        <v/>
      </c>
      <c r="P360" s="79" t="s">
        <v>13</v>
      </c>
      <c r="Q360" s="79">
        <v>1</v>
      </c>
      <c r="R360" s="79">
        <v>0.55000000000000004</v>
      </c>
      <c r="S360" s="80">
        <v>0</v>
      </c>
      <c r="T360" s="80">
        <v>0</v>
      </c>
      <c r="U360" s="80">
        <v>0</v>
      </c>
      <c r="V360" s="81">
        <v>87749</v>
      </c>
      <c r="W360" s="79">
        <v>0</v>
      </c>
      <c r="X360" s="79">
        <v>3</v>
      </c>
      <c r="Y360" s="11" t="str">
        <f ca="1">IF(ISBLANK(BudgetsTable[[#This Row],[budg_seq_yr]]),"FY"&amp;fiscalyear,"FY"&amp;fiscalyear-1+BudgetsTable[[#This Row],[budg_seq_yr]])</f>
        <v>FY20</v>
      </c>
      <c r="Z360" s="80">
        <v>87749</v>
      </c>
      <c r="AA360" s="79" t="s">
        <v>477</v>
      </c>
      <c r="AB360" s="79" t="s">
        <v>582</v>
      </c>
      <c r="AC360" s="77" t="s">
        <v>94</v>
      </c>
      <c r="AD360" s="79" t="s">
        <v>1704</v>
      </c>
    </row>
    <row r="361" spans="1:30" x14ac:dyDescent="0.4">
      <c r="A361" s="10" t="s">
        <v>1322</v>
      </c>
      <c r="B361" s="77" t="s">
        <v>491</v>
      </c>
      <c r="C361" s="77">
        <f>C360+(BudgetsTable[[#This Row],[lead]]&lt;&gt;K360)</f>
        <v>76</v>
      </c>
      <c r="D361" s="77">
        <f>D360*(BudgetsTable[[#This Row],[lead]]=K360)+(BudgetsTable[[#This Row],[prop_id]]&lt;&gt;A360)</f>
        <v>1</v>
      </c>
      <c r="E361" s="78">
        <v>43004.525694444441</v>
      </c>
      <c r="F361" s="79" t="s">
        <v>524</v>
      </c>
      <c r="G361" s="79" t="s">
        <v>477</v>
      </c>
      <c r="H361" s="79" t="s">
        <v>582</v>
      </c>
      <c r="I361" s="77" t="s">
        <v>611</v>
      </c>
      <c r="J361" s="77" t="s">
        <v>1750</v>
      </c>
      <c r="K361" s="79" t="s">
        <v>1322</v>
      </c>
      <c r="L361" s="7" t="str">
        <f>IF(BudgetsTable[[#This Row],[pi_last_name]]=" ","",HYPERLINK("https://www.ejacket.nsf.gov/ej/showProposal.do?Continue=Y&amp;ID="&amp;BudgetsTable[[#This Row],[prop_id]],BudgetsTable[[#This Row],[prop_id]]))</f>
        <v>1763320</v>
      </c>
      <c r="M361" s="15" t="e">
        <f>IF(BudgetsTable[[#This Row],[pi_last_name]]=" ","",HYPERLINK("https://www.ejacket.nsf.gov/ej/processReviewAnalysis.do?dispatch=add&amp;uniqId="&amp;BudgetsTable[[#This Row],[prop_id]]&amp;PO_id,"&gt;ra"))</f>
        <v>#REF!</v>
      </c>
      <c r="N361" s="79" t="s">
        <v>1323</v>
      </c>
      <c r="O361" s="7" t="str">
        <f>IF(BudgetsTable[[#This Row],[pi_last_name]]=" ","",HYPERLINK("mailto:"&amp;BudgetsTable[[#This Row],[pi_email]]&amp;"&amp;subject=Your NSF Proposal:  "&amp;BudgetsTable[[#This Row],[prop_id]],BudgetsTable[[#This Row],[pi_email]]))</f>
        <v>kamesh@cs.duke.edu</v>
      </c>
      <c r="P361" s="79" t="s">
        <v>1520</v>
      </c>
      <c r="Q361" s="79"/>
      <c r="R361" s="79"/>
      <c r="S361" s="80"/>
      <c r="T361" s="80"/>
      <c r="U361" s="80"/>
      <c r="V361" s="81"/>
      <c r="W361" s="79">
        <v>0</v>
      </c>
      <c r="X361" s="79"/>
      <c r="Y361" s="11" t="str">
        <f ca="1">IF(ISBLANK(BudgetsTable[[#This Row],[budg_seq_yr]]),"FY"&amp;fiscalyear,"FY"&amp;fiscalyear-1+BudgetsTable[[#This Row],[budg_seq_yr]])</f>
        <v>FY18</v>
      </c>
      <c r="Z361" s="80">
        <v>599974</v>
      </c>
      <c r="AA361" s="79" t="s">
        <v>477</v>
      </c>
      <c r="AB361" s="79" t="s">
        <v>582</v>
      </c>
      <c r="AC361" s="77" t="s">
        <v>94</v>
      </c>
      <c r="AD361" s="79" t="s">
        <v>1712</v>
      </c>
    </row>
    <row r="362" spans="1:30" x14ac:dyDescent="0.4">
      <c r="A362" s="10" t="s">
        <v>1322</v>
      </c>
      <c r="B362" s="77" t="s">
        <v>491</v>
      </c>
      <c r="C362" s="77">
        <f>C361+(BudgetsTable[[#This Row],[lead]]&lt;&gt;K361)</f>
        <v>76</v>
      </c>
      <c r="D362" s="77">
        <f>D361*(BudgetsTable[[#This Row],[lead]]=K361)+(BudgetsTable[[#This Row],[prop_id]]&lt;&gt;A361)</f>
        <v>1</v>
      </c>
      <c r="E362" s="78">
        <v>43004.525694444441</v>
      </c>
      <c r="F362" s="79" t="s">
        <v>524</v>
      </c>
      <c r="G362" s="79" t="s">
        <v>477</v>
      </c>
      <c r="H362" s="79" t="s">
        <v>582</v>
      </c>
      <c r="I362" s="77" t="s">
        <v>611</v>
      </c>
      <c r="J362" s="77" t="s">
        <v>13</v>
      </c>
      <c r="K362" s="79" t="s">
        <v>1322</v>
      </c>
      <c r="L362" s="7" t="str">
        <f>IF(BudgetsTable[[#This Row],[pi_last_name]]=" ","",HYPERLINK("https://www.ejacket.nsf.gov/ej/showProposal.do?Continue=Y&amp;ID="&amp;BudgetsTable[[#This Row],[prop_id]],BudgetsTable[[#This Row],[prop_id]]))</f>
        <v/>
      </c>
      <c r="M362" s="15" t="str">
        <f>IF(BudgetsTable[[#This Row],[pi_last_name]]=" ","",HYPERLINK("https://www.ejacket.nsf.gov/ej/processReviewAnalysis.do?dispatch=add&amp;uniqId="&amp;BudgetsTable[[#This Row],[prop_id]]&amp;PO_id,"&gt;ra"))</f>
        <v/>
      </c>
      <c r="N362" s="79" t="s">
        <v>13</v>
      </c>
      <c r="O362" s="7" t="str">
        <f>IF(BudgetsTable[[#This Row],[pi_last_name]]=" ","",HYPERLINK("mailto:"&amp;BudgetsTable[[#This Row],[pi_email]]&amp;"&amp;subject=Your NSF Proposal:  "&amp;BudgetsTable[[#This Row],[prop_id]],BudgetsTable[[#This Row],[pi_email]]))</f>
        <v/>
      </c>
      <c r="P362" s="79" t="s">
        <v>13</v>
      </c>
      <c r="Q362" s="79">
        <v>1</v>
      </c>
      <c r="R362" s="79">
        <v>1</v>
      </c>
      <c r="S362" s="80">
        <v>0</v>
      </c>
      <c r="T362" s="80">
        <v>3350</v>
      </c>
      <c r="U362" s="80">
        <v>0</v>
      </c>
      <c r="V362" s="81">
        <v>108561</v>
      </c>
      <c r="W362" s="79">
        <v>0</v>
      </c>
      <c r="X362" s="79">
        <v>1</v>
      </c>
      <c r="Y362" s="11" t="str">
        <f ca="1">IF(ISBLANK(BudgetsTable[[#This Row],[budg_seq_yr]]),"FY"&amp;fiscalyear,"FY"&amp;fiscalyear-1+BudgetsTable[[#This Row],[budg_seq_yr]])</f>
        <v>FY18</v>
      </c>
      <c r="Z362" s="80">
        <v>108561</v>
      </c>
      <c r="AA362" s="79" t="s">
        <v>477</v>
      </c>
      <c r="AB362" s="79" t="s">
        <v>582</v>
      </c>
      <c r="AC362" s="77" t="s">
        <v>94</v>
      </c>
      <c r="AD362" s="79" t="s">
        <v>1712</v>
      </c>
    </row>
    <row r="363" spans="1:30" x14ac:dyDescent="0.4">
      <c r="A363" s="10" t="s">
        <v>1322</v>
      </c>
      <c r="B363" s="77" t="s">
        <v>491</v>
      </c>
      <c r="C363" s="77">
        <f>C362+(BudgetsTable[[#This Row],[lead]]&lt;&gt;K362)</f>
        <v>76</v>
      </c>
      <c r="D363" s="77">
        <f>D362*(BudgetsTable[[#This Row],[lead]]=K362)+(BudgetsTable[[#This Row],[prop_id]]&lt;&gt;A362)</f>
        <v>1</v>
      </c>
      <c r="E363" s="78">
        <v>43004.525694444441</v>
      </c>
      <c r="F363" s="79" t="s">
        <v>524</v>
      </c>
      <c r="G363" s="79" t="s">
        <v>477</v>
      </c>
      <c r="H363" s="79" t="s">
        <v>582</v>
      </c>
      <c r="I363" s="77" t="s">
        <v>611</v>
      </c>
      <c r="J363" s="77" t="s">
        <v>13</v>
      </c>
      <c r="K363" s="79" t="s">
        <v>1322</v>
      </c>
      <c r="L363" s="7" t="str">
        <f>IF(BudgetsTable[[#This Row],[pi_last_name]]=" ","",HYPERLINK("https://www.ejacket.nsf.gov/ej/showProposal.do?Continue=Y&amp;ID="&amp;BudgetsTable[[#This Row],[prop_id]],BudgetsTable[[#This Row],[prop_id]]))</f>
        <v/>
      </c>
      <c r="M363" s="15" t="str">
        <f>IF(BudgetsTable[[#This Row],[pi_last_name]]=" ","",HYPERLINK("https://www.ejacket.nsf.gov/ej/processReviewAnalysis.do?dispatch=add&amp;uniqId="&amp;BudgetsTable[[#This Row],[prop_id]]&amp;PO_id,"&gt;ra"))</f>
        <v/>
      </c>
      <c r="N363" s="79" t="s">
        <v>13</v>
      </c>
      <c r="O363" s="7" t="str">
        <f>IF(BudgetsTable[[#This Row],[pi_last_name]]=" ","",HYPERLINK("mailto:"&amp;BudgetsTable[[#This Row],[pi_email]]&amp;"&amp;subject=Your NSF Proposal:  "&amp;BudgetsTable[[#This Row],[prop_id]],BudgetsTable[[#This Row],[pi_email]]))</f>
        <v/>
      </c>
      <c r="P363" s="79" t="s">
        <v>13</v>
      </c>
      <c r="Q363" s="79">
        <v>1</v>
      </c>
      <c r="R363" s="79">
        <v>2</v>
      </c>
      <c r="S363" s="80">
        <v>0</v>
      </c>
      <c r="T363" s="80">
        <v>3434</v>
      </c>
      <c r="U363" s="80">
        <v>0</v>
      </c>
      <c r="V363" s="81">
        <v>141852</v>
      </c>
      <c r="W363" s="79">
        <v>0</v>
      </c>
      <c r="X363" s="79">
        <v>2</v>
      </c>
      <c r="Y363" s="11" t="str">
        <f ca="1">IF(ISBLANK(BudgetsTable[[#This Row],[budg_seq_yr]]),"FY"&amp;fiscalyear,"FY"&amp;fiscalyear-1+BudgetsTable[[#This Row],[budg_seq_yr]])</f>
        <v>FY19</v>
      </c>
      <c r="Z363" s="80">
        <v>141852</v>
      </c>
      <c r="AA363" s="79" t="s">
        <v>477</v>
      </c>
      <c r="AB363" s="79" t="s">
        <v>582</v>
      </c>
      <c r="AC363" s="77" t="s">
        <v>94</v>
      </c>
      <c r="AD363" s="79" t="s">
        <v>1712</v>
      </c>
    </row>
    <row r="364" spans="1:30" x14ac:dyDescent="0.4">
      <c r="A364" s="10" t="s">
        <v>1322</v>
      </c>
      <c r="B364" s="77" t="s">
        <v>491</v>
      </c>
      <c r="C364" s="77">
        <f>C363+(BudgetsTable[[#This Row],[lead]]&lt;&gt;K363)</f>
        <v>76</v>
      </c>
      <c r="D364" s="77">
        <f>D363*(BudgetsTable[[#This Row],[lead]]=K363)+(BudgetsTable[[#This Row],[prop_id]]&lt;&gt;A363)</f>
        <v>1</v>
      </c>
      <c r="E364" s="78">
        <v>43004.525694444441</v>
      </c>
      <c r="F364" s="79" t="s">
        <v>524</v>
      </c>
      <c r="G364" s="79" t="s">
        <v>477</v>
      </c>
      <c r="H364" s="79" t="s">
        <v>582</v>
      </c>
      <c r="I364" s="77" t="s">
        <v>611</v>
      </c>
      <c r="J364" s="77" t="s">
        <v>13</v>
      </c>
      <c r="K364" s="79" t="s">
        <v>1322</v>
      </c>
      <c r="L364" s="7" t="str">
        <f>IF(BudgetsTable[[#This Row],[pi_last_name]]=" ","",HYPERLINK("https://www.ejacket.nsf.gov/ej/showProposal.do?Continue=Y&amp;ID="&amp;BudgetsTable[[#This Row],[prop_id]],BudgetsTable[[#This Row],[prop_id]]))</f>
        <v/>
      </c>
      <c r="M364" s="15" t="str">
        <f>IF(BudgetsTable[[#This Row],[pi_last_name]]=" ","",HYPERLINK("https://www.ejacket.nsf.gov/ej/processReviewAnalysis.do?dispatch=add&amp;uniqId="&amp;BudgetsTable[[#This Row],[prop_id]]&amp;PO_id,"&gt;ra"))</f>
        <v/>
      </c>
      <c r="N364" s="79" t="s">
        <v>13</v>
      </c>
      <c r="O364" s="7" t="str">
        <f>IF(BudgetsTable[[#This Row],[pi_last_name]]=" ","",HYPERLINK("mailto:"&amp;BudgetsTable[[#This Row],[pi_email]]&amp;"&amp;subject=Your NSF Proposal:  "&amp;BudgetsTable[[#This Row],[prop_id]],BudgetsTable[[#This Row],[pi_email]]))</f>
        <v/>
      </c>
      <c r="P364" s="79" t="s">
        <v>13</v>
      </c>
      <c r="Q364" s="79">
        <v>1</v>
      </c>
      <c r="R364" s="79">
        <v>2</v>
      </c>
      <c r="S364" s="80">
        <v>0</v>
      </c>
      <c r="T364" s="80">
        <v>3520</v>
      </c>
      <c r="U364" s="80">
        <v>0</v>
      </c>
      <c r="V364" s="81">
        <v>145589</v>
      </c>
      <c r="W364" s="79">
        <v>0</v>
      </c>
      <c r="X364" s="79">
        <v>3</v>
      </c>
      <c r="Y364" s="11" t="str">
        <f ca="1">IF(ISBLANK(BudgetsTable[[#This Row],[budg_seq_yr]]),"FY"&amp;fiscalyear,"FY"&amp;fiscalyear-1+BudgetsTable[[#This Row],[budg_seq_yr]])</f>
        <v>FY20</v>
      </c>
      <c r="Z364" s="80">
        <v>145589</v>
      </c>
      <c r="AA364" s="79" t="s">
        <v>477</v>
      </c>
      <c r="AB364" s="79" t="s">
        <v>582</v>
      </c>
      <c r="AC364" s="77" t="s">
        <v>94</v>
      </c>
      <c r="AD364" s="79" t="s">
        <v>1712</v>
      </c>
    </row>
    <row r="365" spans="1:30" x14ac:dyDescent="0.4">
      <c r="A365" s="10" t="s">
        <v>1322</v>
      </c>
      <c r="B365" s="77" t="s">
        <v>491</v>
      </c>
      <c r="C365" s="77">
        <f>C364+(BudgetsTable[[#This Row],[lead]]&lt;&gt;K364)</f>
        <v>76</v>
      </c>
      <c r="D365" s="77">
        <f>D364*(BudgetsTable[[#This Row],[lead]]=K364)+(BudgetsTable[[#This Row],[prop_id]]&lt;&gt;A364)</f>
        <v>1</v>
      </c>
      <c r="E365" s="78">
        <v>43004.525694444441</v>
      </c>
      <c r="F365" s="79" t="s">
        <v>524</v>
      </c>
      <c r="G365" s="79" t="s">
        <v>477</v>
      </c>
      <c r="H365" s="79" t="s">
        <v>582</v>
      </c>
      <c r="I365" s="77" t="s">
        <v>611</v>
      </c>
      <c r="J365" s="77" t="s">
        <v>13</v>
      </c>
      <c r="K365" s="79" t="s">
        <v>1322</v>
      </c>
      <c r="L365" s="7" t="str">
        <f>IF(BudgetsTable[[#This Row],[pi_last_name]]=" ","",HYPERLINK("https://www.ejacket.nsf.gov/ej/showProposal.do?Continue=Y&amp;ID="&amp;BudgetsTable[[#This Row],[prop_id]],BudgetsTable[[#This Row],[prop_id]]))</f>
        <v/>
      </c>
      <c r="M365" s="15" t="str">
        <f>IF(BudgetsTable[[#This Row],[pi_last_name]]=" ","",HYPERLINK("https://www.ejacket.nsf.gov/ej/processReviewAnalysis.do?dispatch=add&amp;uniqId="&amp;BudgetsTable[[#This Row],[prop_id]]&amp;PO_id,"&gt;ra"))</f>
        <v/>
      </c>
      <c r="N365" s="79" t="s">
        <v>13</v>
      </c>
      <c r="O365" s="7" t="str">
        <f>IF(BudgetsTable[[#This Row],[pi_last_name]]=" ","",HYPERLINK("mailto:"&amp;BudgetsTable[[#This Row],[pi_email]]&amp;"&amp;subject=Your NSF Proposal:  "&amp;BudgetsTable[[#This Row],[prop_id]],BudgetsTable[[#This Row],[pi_email]]))</f>
        <v/>
      </c>
      <c r="P365" s="79" t="s">
        <v>13</v>
      </c>
      <c r="Q365" s="79">
        <v>1</v>
      </c>
      <c r="R365" s="79">
        <v>2</v>
      </c>
      <c r="S365" s="80">
        <v>0</v>
      </c>
      <c r="T365" s="80">
        <v>3608</v>
      </c>
      <c r="U365" s="80">
        <v>0</v>
      </c>
      <c r="V365" s="81">
        <v>203972</v>
      </c>
      <c r="W365" s="79">
        <v>0</v>
      </c>
      <c r="X365" s="79">
        <v>4</v>
      </c>
      <c r="Y365" s="11" t="str">
        <f ca="1">IF(ISBLANK(BudgetsTable[[#This Row],[budg_seq_yr]]),"FY"&amp;fiscalyear,"FY"&amp;fiscalyear-1+BudgetsTable[[#This Row],[budg_seq_yr]])</f>
        <v>FY21</v>
      </c>
      <c r="Z365" s="80">
        <v>203972</v>
      </c>
      <c r="AA365" s="79" t="s">
        <v>477</v>
      </c>
      <c r="AB365" s="79" t="s">
        <v>582</v>
      </c>
      <c r="AC365" s="77" t="s">
        <v>94</v>
      </c>
      <c r="AD365" s="79" t="s">
        <v>1712</v>
      </c>
    </row>
    <row r="366" spans="1:30" x14ac:dyDescent="0.4">
      <c r="A366" s="10" t="s">
        <v>1751</v>
      </c>
      <c r="B366" s="77" t="s">
        <v>493</v>
      </c>
      <c r="C366" s="77">
        <f>C365+(BudgetsTable[[#This Row],[lead]]&lt;&gt;K365)</f>
        <v>76</v>
      </c>
      <c r="D366" s="77">
        <f>D365*(BudgetsTable[[#This Row],[lead]]=K365)+(BudgetsTable[[#This Row],[prop_id]]&lt;&gt;A365)</f>
        <v>2</v>
      </c>
      <c r="E366" s="78">
        <v>43004.724999999999</v>
      </c>
      <c r="F366" s="79" t="s">
        <v>524</v>
      </c>
      <c r="G366" s="79" t="s">
        <v>477</v>
      </c>
      <c r="H366" s="79" t="s">
        <v>582</v>
      </c>
      <c r="I366" s="77" t="s">
        <v>611</v>
      </c>
      <c r="J366" s="77" t="s">
        <v>1755</v>
      </c>
      <c r="K366" s="79" t="s">
        <v>1322</v>
      </c>
      <c r="L366" s="7" t="str">
        <f>IF(BudgetsTable[[#This Row],[pi_last_name]]=" ","",HYPERLINK("https://www.ejacket.nsf.gov/ej/showProposal.do?Continue=Y&amp;ID="&amp;BudgetsTable[[#This Row],[prop_id]],BudgetsTable[[#This Row],[prop_id]]))</f>
        <v>1763417</v>
      </c>
      <c r="M366" s="15" t="e">
        <f>IF(BudgetsTable[[#This Row],[pi_last_name]]=" ","",HYPERLINK("https://www.ejacket.nsf.gov/ej/processReviewAnalysis.do?dispatch=add&amp;uniqId="&amp;BudgetsTable[[#This Row],[prop_id]]&amp;PO_id,"&gt;ra"))</f>
        <v>#REF!</v>
      </c>
      <c r="N366" s="79" t="s">
        <v>1752</v>
      </c>
      <c r="O366" s="7" t="str">
        <f>IF(BudgetsTable[[#This Row],[pi_last_name]]=" ","",HYPERLINK("mailto:"&amp;BudgetsTable[[#This Row],[pi_email]]&amp;"&amp;subject=Your NSF Proposal:  "&amp;BudgetsTable[[#This Row],[prop_id]],BudgetsTable[[#This Row],[pi_email]]))</f>
        <v>sbanerjee@cornell.edu</v>
      </c>
      <c r="P366" s="79" t="s">
        <v>1754</v>
      </c>
      <c r="Q366" s="79"/>
      <c r="R366" s="79"/>
      <c r="S366" s="80"/>
      <c r="T366" s="80"/>
      <c r="U366" s="80"/>
      <c r="V366" s="81"/>
      <c r="W366" s="79">
        <v>0</v>
      </c>
      <c r="X366" s="79"/>
      <c r="Y366" s="11" t="str">
        <f ca="1">IF(ISBLANK(BudgetsTable[[#This Row],[budg_seq_yr]]),"FY"&amp;fiscalyear,"FY"&amp;fiscalyear-1+BudgetsTable[[#This Row],[budg_seq_yr]])</f>
        <v>FY18</v>
      </c>
      <c r="Z366" s="80">
        <v>599070</v>
      </c>
      <c r="AA366" s="79" t="s">
        <v>477</v>
      </c>
      <c r="AB366" s="79" t="s">
        <v>582</v>
      </c>
      <c r="AC366" s="77" t="s">
        <v>94</v>
      </c>
      <c r="AD366" s="79" t="s">
        <v>1712</v>
      </c>
    </row>
    <row r="367" spans="1:30" x14ac:dyDescent="0.4">
      <c r="A367" s="10" t="s">
        <v>1751</v>
      </c>
      <c r="B367" s="77" t="s">
        <v>493</v>
      </c>
      <c r="C367" s="77">
        <f>C366+(BudgetsTable[[#This Row],[lead]]&lt;&gt;K366)</f>
        <v>76</v>
      </c>
      <c r="D367" s="77">
        <f>D366*(BudgetsTable[[#This Row],[lead]]=K366)+(BudgetsTable[[#This Row],[prop_id]]&lt;&gt;A366)</f>
        <v>2</v>
      </c>
      <c r="E367" s="78">
        <v>43004.724999999999</v>
      </c>
      <c r="F367" s="79" t="s">
        <v>524</v>
      </c>
      <c r="G367" s="79" t="s">
        <v>477</v>
      </c>
      <c r="H367" s="79" t="s">
        <v>582</v>
      </c>
      <c r="I367" s="77" t="s">
        <v>611</v>
      </c>
      <c r="J367" s="77" t="s">
        <v>13</v>
      </c>
      <c r="K367" s="79" t="s">
        <v>1322</v>
      </c>
      <c r="L367" s="7" t="str">
        <f>IF(BudgetsTable[[#This Row],[pi_last_name]]=" ","",HYPERLINK("https://www.ejacket.nsf.gov/ej/showProposal.do?Continue=Y&amp;ID="&amp;BudgetsTable[[#This Row],[prop_id]],BudgetsTable[[#This Row],[prop_id]]))</f>
        <v/>
      </c>
      <c r="M367" s="15" t="str">
        <f>IF(BudgetsTable[[#This Row],[pi_last_name]]=" ","",HYPERLINK("https://www.ejacket.nsf.gov/ej/processReviewAnalysis.do?dispatch=add&amp;uniqId="&amp;BudgetsTable[[#This Row],[prop_id]]&amp;PO_id,"&gt;ra"))</f>
        <v/>
      </c>
      <c r="N367" s="79" t="s">
        <v>13</v>
      </c>
      <c r="O367" s="7" t="str">
        <f>IF(BudgetsTable[[#This Row],[pi_last_name]]=" ","",HYPERLINK("mailto:"&amp;BudgetsTable[[#This Row],[pi_email]]&amp;"&amp;subject=Your NSF Proposal:  "&amp;BudgetsTable[[#This Row],[prop_id]],BudgetsTable[[#This Row],[pi_email]]))</f>
        <v/>
      </c>
      <c r="P367" s="79" t="s">
        <v>13</v>
      </c>
      <c r="Q367" s="79">
        <v>1</v>
      </c>
      <c r="R367" s="79">
        <v>1.5</v>
      </c>
      <c r="S367" s="80">
        <v>0</v>
      </c>
      <c r="T367" s="80">
        <v>6000</v>
      </c>
      <c r="U367" s="80">
        <v>0</v>
      </c>
      <c r="V367" s="81">
        <v>145986</v>
      </c>
      <c r="W367" s="79">
        <v>0</v>
      </c>
      <c r="X367" s="79">
        <v>1</v>
      </c>
      <c r="Y367" s="11" t="str">
        <f ca="1">IF(ISBLANK(BudgetsTable[[#This Row],[budg_seq_yr]]),"FY"&amp;fiscalyear,"FY"&amp;fiscalyear-1+BudgetsTable[[#This Row],[budg_seq_yr]])</f>
        <v>FY18</v>
      </c>
      <c r="Z367" s="80">
        <v>145986</v>
      </c>
      <c r="AA367" s="79" t="s">
        <v>477</v>
      </c>
      <c r="AB367" s="79" t="s">
        <v>582</v>
      </c>
      <c r="AC367" s="77" t="s">
        <v>94</v>
      </c>
      <c r="AD367" s="79" t="s">
        <v>1712</v>
      </c>
    </row>
    <row r="368" spans="1:30" x14ac:dyDescent="0.4">
      <c r="A368" s="10" t="s">
        <v>1751</v>
      </c>
      <c r="B368" s="77" t="s">
        <v>493</v>
      </c>
      <c r="C368" s="77">
        <f>C367+(BudgetsTable[[#This Row],[lead]]&lt;&gt;K367)</f>
        <v>76</v>
      </c>
      <c r="D368" s="77">
        <f>D367*(BudgetsTable[[#This Row],[lead]]=K367)+(BudgetsTable[[#This Row],[prop_id]]&lt;&gt;A367)</f>
        <v>2</v>
      </c>
      <c r="E368" s="78">
        <v>43004.724999999999</v>
      </c>
      <c r="F368" s="79" t="s">
        <v>524</v>
      </c>
      <c r="G368" s="79" t="s">
        <v>477</v>
      </c>
      <c r="H368" s="79" t="s">
        <v>582</v>
      </c>
      <c r="I368" s="77" t="s">
        <v>611</v>
      </c>
      <c r="J368" s="77" t="s">
        <v>13</v>
      </c>
      <c r="K368" s="79" t="s">
        <v>1322</v>
      </c>
      <c r="L368" s="7" t="str">
        <f>IF(BudgetsTable[[#This Row],[pi_last_name]]=" ","",HYPERLINK("https://www.ejacket.nsf.gov/ej/showProposal.do?Continue=Y&amp;ID="&amp;BudgetsTable[[#This Row],[prop_id]],BudgetsTable[[#This Row],[prop_id]]))</f>
        <v/>
      </c>
      <c r="M368" s="15" t="str">
        <f>IF(BudgetsTable[[#This Row],[pi_last_name]]=" ","",HYPERLINK("https://www.ejacket.nsf.gov/ej/processReviewAnalysis.do?dispatch=add&amp;uniqId="&amp;BudgetsTable[[#This Row],[prop_id]]&amp;PO_id,"&gt;ra"))</f>
        <v/>
      </c>
      <c r="N368" s="79" t="s">
        <v>13</v>
      </c>
      <c r="O368" s="7" t="str">
        <f>IF(BudgetsTable[[#This Row],[pi_last_name]]=" ","",HYPERLINK("mailto:"&amp;BudgetsTable[[#This Row],[pi_email]]&amp;"&amp;subject=Your NSF Proposal:  "&amp;BudgetsTable[[#This Row],[prop_id]],BudgetsTable[[#This Row],[pi_email]]))</f>
        <v/>
      </c>
      <c r="P368" s="79" t="s">
        <v>13</v>
      </c>
      <c r="Q368" s="79">
        <v>1</v>
      </c>
      <c r="R368" s="79">
        <v>1.5</v>
      </c>
      <c r="S368" s="80">
        <v>0</v>
      </c>
      <c r="T368" s="80">
        <v>6000</v>
      </c>
      <c r="U368" s="80">
        <v>0</v>
      </c>
      <c r="V368" s="81">
        <v>147607</v>
      </c>
      <c r="W368" s="79">
        <v>0</v>
      </c>
      <c r="X368" s="79">
        <v>2</v>
      </c>
      <c r="Y368" s="11" t="str">
        <f ca="1">IF(ISBLANK(BudgetsTable[[#This Row],[budg_seq_yr]]),"FY"&amp;fiscalyear,"FY"&amp;fiscalyear-1+BudgetsTable[[#This Row],[budg_seq_yr]])</f>
        <v>FY19</v>
      </c>
      <c r="Z368" s="80">
        <v>147607</v>
      </c>
      <c r="AA368" s="79" t="s">
        <v>477</v>
      </c>
      <c r="AB368" s="79" t="s">
        <v>582</v>
      </c>
      <c r="AC368" s="77" t="s">
        <v>94</v>
      </c>
      <c r="AD368" s="79" t="s">
        <v>1712</v>
      </c>
    </row>
    <row r="369" spans="1:30" x14ac:dyDescent="0.4">
      <c r="A369" s="10" t="s">
        <v>1751</v>
      </c>
      <c r="B369" s="77" t="s">
        <v>493</v>
      </c>
      <c r="C369" s="77">
        <f>C368+(BudgetsTable[[#This Row],[lead]]&lt;&gt;K368)</f>
        <v>76</v>
      </c>
      <c r="D369" s="77">
        <f>D368*(BudgetsTable[[#This Row],[lead]]=K368)+(BudgetsTable[[#This Row],[prop_id]]&lt;&gt;A368)</f>
        <v>2</v>
      </c>
      <c r="E369" s="78">
        <v>43004.724999999999</v>
      </c>
      <c r="F369" s="79" t="s">
        <v>524</v>
      </c>
      <c r="G369" s="79" t="s">
        <v>477</v>
      </c>
      <c r="H369" s="79" t="s">
        <v>582</v>
      </c>
      <c r="I369" s="77" t="s">
        <v>611</v>
      </c>
      <c r="J369" s="77" t="s">
        <v>13</v>
      </c>
      <c r="K369" s="79" t="s">
        <v>1322</v>
      </c>
      <c r="L369" s="7" t="str">
        <f>IF(BudgetsTable[[#This Row],[pi_last_name]]=" ","",HYPERLINK("https://www.ejacket.nsf.gov/ej/showProposal.do?Continue=Y&amp;ID="&amp;BudgetsTable[[#This Row],[prop_id]],BudgetsTable[[#This Row],[prop_id]]))</f>
        <v/>
      </c>
      <c r="M369" s="15" t="str">
        <f>IF(BudgetsTable[[#This Row],[pi_last_name]]=" ","",HYPERLINK("https://www.ejacket.nsf.gov/ej/processReviewAnalysis.do?dispatch=add&amp;uniqId="&amp;BudgetsTable[[#This Row],[prop_id]]&amp;PO_id,"&gt;ra"))</f>
        <v/>
      </c>
      <c r="N369" s="79" t="s">
        <v>13</v>
      </c>
      <c r="O369" s="7" t="str">
        <f>IF(BudgetsTable[[#This Row],[pi_last_name]]=" ","",HYPERLINK("mailto:"&amp;BudgetsTable[[#This Row],[pi_email]]&amp;"&amp;subject=Your NSF Proposal:  "&amp;BudgetsTable[[#This Row],[prop_id]],BudgetsTable[[#This Row],[pi_email]]))</f>
        <v/>
      </c>
      <c r="P369" s="79" t="s">
        <v>13</v>
      </c>
      <c r="Q369" s="79">
        <v>1</v>
      </c>
      <c r="R369" s="79">
        <v>1.5</v>
      </c>
      <c r="S369" s="80">
        <v>0</v>
      </c>
      <c r="T369" s="80">
        <v>6000</v>
      </c>
      <c r="U369" s="80">
        <v>0</v>
      </c>
      <c r="V369" s="81">
        <v>150987</v>
      </c>
      <c r="W369" s="79">
        <v>0</v>
      </c>
      <c r="X369" s="79">
        <v>3</v>
      </c>
      <c r="Y369" s="11" t="str">
        <f ca="1">IF(ISBLANK(BudgetsTable[[#This Row],[budg_seq_yr]]),"FY"&amp;fiscalyear,"FY"&amp;fiscalyear-1+BudgetsTable[[#This Row],[budg_seq_yr]])</f>
        <v>FY20</v>
      </c>
      <c r="Z369" s="80">
        <v>150987</v>
      </c>
      <c r="AA369" s="79" t="s">
        <v>477</v>
      </c>
      <c r="AB369" s="79" t="s">
        <v>582</v>
      </c>
      <c r="AC369" s="77" t="s">
        <v>94</v>
      </c>
      <c r="AD369" s="79" t="s">
        <v>1712</v>
      </c>
    </row>
    <row r="370" spans="1:30" x14ac:dyDescent="0.4">
      <c r="A370" s="10" t="s">
        <v>1751</v>
      </c>
      <c r="B370" s="77" t="s">
        <v>493</v>
      </c>
      <c r="C370" s="77">
        <f>C369+(BudgetsTable[[#This Row],[lead]]&lt;&gt;K369)</f>
        <v>76</v>
      </c>
      <c r="D370" s="77">
        <f>D369*(BudgetsTable[[#This Row],[lead]]=K369)+(BudgetsTable[[#This Row],[prop_id]]&lt;&gt;A369)</f>
        <v>2</v>
      </c>
      <c r="E370" s="78">
        <v>43004.724999999999</v>
      </c>
      <c r="F370" s="79" t="s">
        <v>524</v>
      </c>
      <c r="G370" s="79" t="s">
        <v>477</v>
      </c>
      <c r="H370" s="79" t="s">
        <v>582</v>
      </c>
      <c r="I370" s="77" t="s">
        <v>611</v>
      </c>
      <c r="J370" s="77" t="s">
        <v>13</v>
      </c>
      <c r="K370" s="79" t="s">
        <v>1322</v>
      </c>
      <c r="L370" s="7" t="str">
        <f>IF(BudgetsTable[[#This Row],[pi_last_name]]=" ","",HYPERLINK("https://www.ejacket.nsf.gov/ej/showProposal.do?Continue=Y&amp;ID="&amp;BudgetsTable[[#This Row],[prop_id]],BudgetsTable[[#This Row],[prop_id]]))</f>
        <v/>
      </c>
      <c r="M370" s="15" t="str">
        <f>IF(BudgetsTable[[#This Row],[pi_last_name]]=" ","",HYPERLINK("https://www.ejacket.nsf.gov/ej/processReviewAnalysis.do?dispatch=add&amp;uniqId="&amp;BudgetsTable[[#This Row],[prop_id]]&amp;PO_id,"&gt;ra"))</f>
        <v/>
      </c>
      <c r="N370" s="79" t="s">
        <v>13</v>
      </c>
      <c r="O370" s="7" t="str">
        <f>IF(BudgetsTable[[#This Row],[pi_last_name]]=" ","",HYPERLINK("mailto:"&amp;BudgetsTable[[#This Row],[pi_email]]&amp;"&amp;subject=Your NSF Proposal:  "&amp;BudgetsTable[[#This Row],[prop_id]],BudgetsTable[[#This Row],[pi_email]]))</f>
        <v/>
      </c>
      <c r="P370" s="79" t="s">
        <v>13</v>
      </c>
      <c r="Q370" s="79">
        <v>1</v>
      </c>
      <c r="R370" s="79">
        <v>1.5</v>
      </c>
      <c r="S370" s="80">
        <v>0</v>
      </c>
      <c r="T370" s="80">
        <v>6000</v>
      </c>
      <c r="U370" s="80">
        <v>0</v>
      </c>
      <c r="V370" s="81">
        <v>154490</v>
      </c>
      <c r="W370" s="79">
        <v>0</v>
      </c>
      <c r="X370" s="79">
        <v>4</v>
      </c>
      <c r="Y370" s="11" t="str">
        <f ca="1">IF(ISBLANK(BudgetsTable[[#This Row],[budg_seq_yr]]),"FY"&amp;fiscalyear,"FY"&amp;fiscalyear-1+BudgetsTable[[#This Row],[budg_seq_yr]])</f>
        <v>FY21</v>
      </c>
      <c r="Z370" s="80">
        <v>154490</v>
      </c>
      <c r="AA370" s="79" t="s">
        <v>477</v>
      </c>
      <c r="AB370" s="79" t="s">
        <v>582</v>
      </c>
      <c r="AC370" s="77" t="s">
        <v>94</v>
      </c>
      <c r="AD370" s="79" t="s">
        <v>1712</v>
      </c>
    </row>
    <row r="371" spans="1:30" x14ac:dyDescent="0.4">
      <c r="A371" s="10" t="s">
        <v>1334</v>
      </c>
      <c r="B371" s="77" t="s">
        <v>491</v>
      </c>
      <c r="C371" s="77">
        <f>C370+(BudgetsTable[[#This Row],[lead]]&lt;&gt;K370)</f>
        <v>77</v>
      </c>
      <c r="D371" s="77">
        <f>D370*(BudgetsTable[[#This Row],[lead]]=K370)+(BudgetsTable[[#This Row],[prop_id]]&lt;&gt;A370)</f>
        <v>1</v>
      </c>
      <c r="E371" s="78">
        <v>43005.413194444445</v>
      </c>
      <c r="F371" s="79" t="s">
        <v>524</v>
      </c>
      <c r="G371" s="79" t="s">
        <v>477</v>
      </c>
      <c r="H371" s="79" t="s">
        <v>582</v>
      </c>
      <c r="I371" s="77" t="s">
        <v>654</v>
      </c>
      <c r="J371" s="77" t="s">
        <v>1759</v>
      </c>
      <c r="K371" s="79" t="s">
        <v>1334</v>
      </c>
      <c r="L371" s="7" t="str">
        <f>IF(BudgetsTable[[#This Row],[pi_last_name]]=" ","",HYPERLINK("https://www.ejacket.nsf.gov/ej/showProposal.do?Continue=Y&amp;ID="&amp;BudgetsTable[[#This Row],[prop_id]],BudgetsTable[[#This Row],[prop_id]]))</f>
        <v>1763481</v>
      </c>
      <c r="M371" s="15" t="e">
        <f>IF(BudgetsTable[[#This Row],[pi_last_name]]=" ","",HYPERLINK("https://www.ejacket.nsf.gov/ej/processReviewAnalysis.do?dispatch=add&amp;uniqId="&amp;BudgetsTable[[#This Row],[prop_id]]&amp;PO_id,"&gt;ra"))</f>
        <v>#REF!</v>
      </c>
      <c r="N371" s="79" t="s">
        <v>1335</v>
      </c>
      <c r="O371" s="7" t="str">
        <f>IF(BudgetsTable[[#This Row],[pi_last_name]]=" ","",HYPERLINK("mailto:"&amp;BudgetsTable[[#This Row],[pi_email]]&amp;"&amp;subject=Your NSF Proposal:  "&amp;BudgetsTable[[#This Row],[prop_id]],BudgetsTable[[#This Row],[pi_email]]))</f>
        <v>atri@buffalo.edu</v>
      </c>
      <c r="P371" s="79" t="s">
        <v>1512</v>
      </c>
      <c r="Q371" s="79"/>
      <c r="R371" s="79"/>
      <c r="S371" s="80"/>
      <c r="T371" s="80"/>
      <c r="U371" s="80"/>
      <c r="V371" s="81"/>
      <c r="W371" s="79">
        <v>0</v>
      </c>
      <c r="X371" s="79"/>
      <c r="Y371" s="11" t="str">
        <f ca="1">IF(ISBLANK(BudgetsTable[[#This Row],[budg_seq_yr]]),"FY"&amp;fiscalyear,"FY"&amp;fiscalyear-1+BudgetsTable[[#This Row],[budg_seq_yr]])</f>
        <v>FY18</v>
      </c>
      <c r="Z371" s="80">
        <v>645322</v>
      </c>
      <c r="AA371" s="79" t="s">
        <v>477</v>
      </c>
      <c r="AB371" s="79" t="s">
        <v>582</v>
      </c>
      <c r="AC371" s="77" t="s">
        <v>94</v>
      </c>
      <c r="AD371" s="79" t="s">
        <v>1704</v>
      </c>
    </row>
    <row r="372" spans="1:30" x14ac:dyDescent="0.4">
      <c r="A372" s="10" t="s">
        <v>1334</v>
      </c>
      <c r="B372" s="77" t="s">
        <v>491</v>
      </c>
      <c r="C372" s="77">
        <f>C371+(BudgetsTable[[#This Row],[lead]]&lt;&gt;K371)</f>
        <v>77</v>
      </c>
      <c r="D372" s="77">
        <f>D371*(BudgetsTable[[#This Row],[lead]]=K371)+(BudgetsTable[[#This Row],[prop_id]]&lt;&gt;A371)</f>
        <v>1</v>
      </c>
      <c r="E372" s="78">
        <v>43005.413194444445</v>
      </c>
      <c r="F372" s="79" t="s">
        <v>524</v>
      </c>
      <c r="G372" s="79" t="s">
        <v>477</v>
      </c>
      <c r="H372" s="79" t="s">
        <v>582</v>
      </c>
      <c r="I372" s="77" t="s">
        <v>654</v>
      </c>
      <c r="J372" s="77" t="s">
        <v>13</v>
      </c>
      <c r="K372" s="79" t="s">
        <v>1334</v>
      </c>
      <c r="L372" s="7" t="str">
        <f>IF(BudgetsTable[[#This Row],[pi_last_name]]=" ","",HYPERLINK("https://www.ejacket.nsf.gov/ej/showProposal.do?Continue=Y&amp;ID="&amp;BudgetsTable[[#This Row],[prop_id]],BudgetsTable[[#This Row],[prop_id]]))</f>
        <v/>
      </c>
      <c r="M372" s="15" t="str">
        <f>IF(BudgetsTable[[#This Row],[pi_last_name]]=" ","",HYPERLINK("https://www.ejacket.nsf.gov/ej/processReviewAnalysis.do?dispatch=add&amp;uniqId="&amp;BudgetsTable[[#This Row],[prop_id]]&amp;PO_id,"&gt;ra"))</f>
        <v/>
      </c>
      <c r="N372" s="79" t="s">
        <v>13</v>
      </c>
      <c r="O372" s="7" t="str">
        <f>IF(BudgetsTable[[#This Row],[pi_last_name]]=" ","",HYPERLINK("mailto:"&amp;BudgetsTable[[#This Row],[pi_email]]&amp;"&amp;subject=Your NSF Proposal:  "&amp;BudgetsTable[[#This Row],[prop_id]],BudgetsTable[[#This Row],[pi_email]]))</f>
        <v/>
      </c>
      <c r="P372" s="79" t="s">
        <v>13</v>
      </c>
      <c r="Q372" s="79">
        <v>1</v>
      </c>
      <c r="R372" s="79">
        <v>1</v>
      </c>
      <c r="S372" s="80">
        <v>0</v>
      </c>
      <c r="T372" s="80">
        <v>5000</v>
      </c>
      <c r="U372" s="80">
        <v>0</v>
      </c>
      <c r="V372" s="81">
        <v>188564</v>
      </c>
      <c r="W372" s="79">
        <v>0</v>
      </c>
      <c r="X372" s="79">
        <v>1</v>
      </c>
      <c r="Y372" s="11" t="str">
        <f ca="1">IF(ISBLANK(BudgetsTable[[#This Row],[budg_seq_yr]]),"FY"&amp;fiscalyear,"FY"&amp;fiscalyear-1+BudgetsTable[[#This Row],[budg_seq_yr]])</f>
        <v>FY18</v>
      </c>
      <c r="Z372" s="80">
        <v>188564</v>
      </c>
      <c r="AA372" s="79" t="s">
        <v>477</v>
      </c>
      <c r="AB372" s="79" t="s">
        <v>582</v>
      </c>
      <c r="AC372" s="77" t="s">
        <v>94</v>
      </c>
      <c r="AD372" s="79" t="s">
        <v>1704</v>
      </c>
    </row>
    <row r="373" spans="1:30" x14ac:dyDescent="0.4">
      <c r="A373" s="10" t="s">
        <v>1334</v>
      </c>
      <c r="B373" s="77" t="s">
        <v>491</v>
      </c>
      <c r="C373" s="77">
        <f>C372+(BudgetsTable[[#This Row],[lead]]&lt;&gt;K372)</f>
        <v>77</v>
      </c>
      <c r="D373" s="77">
        <f>D372*(BudgetsTable[[#This Row],[lead]]=K372)+(BudgetsTable[[#This Row],[prop_id]]&lt;&gt;A372)</f>
        <v>1</v>
      </c>
      <c r="E373" s="78">
        <v>43005.413194444445</v>
      </c>
      <c r="F373" s="79" t="s">
        <v>524</v>
      </c>
      <c r="G373" s="79" t="s">
        <v>477</v>
      </c>
      <c r="H373" s="79" t="s">
        <v>582</v>
      </c>
      <c r="I373" s="77" t="s">
        <v>654</v>
      </c>
      <c r="J373" s="77" t="s">
        <v>13</v>
      </c>
      <c r="K373" s="79" t="s">
        <v>1334</v>
      </c>
      <c r="L373" s="7" t="str">
        <f>IF(BudgetsTable[[#This Row],[pi_last_name]]=" ","",HYPERLINK("https://www.ejacket.nsf.gov/ej/showProposal.do?Continue=Y&amp;ID="&amp;BudgetsTable[[#This Row],[prop_id]],BudgetsTable[[#This Row],[prop_id]]))</f>
        <v/>
      </c>
      <c r="M373" s="15" t="str">
        <f>IF(BudgetsTable[[#This Row],[pi_last_name]]=" ","",HYPERLINK("https://www.ejacket.nsf.gov/ej/processReviewAnalysis.do?dispatch=add&amp;uniqId="&amp;BudgetsTable[[#This Row],[prop_id]]&amp;PO_id,"&gt;ra"))</f>
        <v/>
      </c>
      <c r="N373" s="79" t="s">
        <v>13</v>
      </c>
      <c r="O373" s="7" t="str">
        <f>IF(BudgetsTable[[#This Row],[pi_last_name]]=" ","",HYPERLINK("mailto:"&amp;BudgetsTable[[#This Row],[pi_email]]&amp;"&amp;subject=Your NSF Proposal:  "&amp;BudgetsTable[[#This Row],[prop_id]],BudgetsTable[[#This Row],[pi_email]]))</f>
        <v/>
      </c>
      <c r="P373" s="79" t="s">
        <v>13</v>
      </c>
      <c r="Q373" s="79">
        <v>1</v>
      </c>
      <c r="R373" s="79">
        <v>2</v>
      </c>
      <c r="S373" s="80">
        <v>0</v>
      </c>
      <c r="T373" s="80">
        <v>5000</v>
      </c>
      <c r="U373" s="80">
        <v>27000</v>
      </c>
      <c r="V373" s="81">
        <v>172828</v>
      </c>
      <c r="W373" s="79">
        <v>0</v>
      </c>
      <c r="X373" s="79">
        <v>2</v>
      </c>
      <c r="Y373" s="11" t="str">
        <f ca="1">IF(ISBLANK(BudgetsTable[[#This Row],[budg_seq_yr]]),"FY"&amp;fiscalyear,"FY"&amp;fiscalyear-1+BudgetsTable[[#This Row],[budg_seq_yr]])</f>
        <v>FY19</v>
      </c>
      <c r="Z373" s="80">
        <v>172828</v>
      </c>
      <c r="AA373" s="79" t="s">
        <v>477</v>
      </c>
      <c r="AB373" s="79" t="s">
        <v>582</v>
      </c>
      <c r="AC373" s="77" t="s">
        <v>94</v>
      </c>
      <c r="AD373" s="79" t="s">
        <v>1704</v>
      </c>
    </row>
    <row r="374" spans="1:30" x14ac:dyDescent="0.4">
      <c r="A374" s="10" t="s">
        <v>1334</v>
      </c>
      <c r="B374" s="77" t="s">
        <v>491</v>
      </c>
      <c r="C374" s="77">
        <f>C373+(BudgetsTable[[#This Row],[lead]]&lt;&gt;K373)</f>
        <v>77</v>
      </c>
      <c r="D374" s="77">
        <f>D373*(BudgetsTable[[#This Row],[lead]]=K373)+(BudgetsTable[[#This Row],[prop_id]]&lt;&gt;A373)</f>
        <v>1</v>
      </c>
      <c r="E374" s="78">
        <v>43005.413194444445</v>
      </c>
      <c r="F374" s="79" t="s">
        <v>524</v>
      </c>
      <c r="G374" s="79" t="s">
        <v>477</v>
      </c>
      <c r="H374" s="79" t="s">
        <v>582</v>
      </c>
      <c r="I374" s="77" t="s">
        <v>654</v>
      </c>
      <c r="J374" s="77" t="s">
        <v>13</v>
      </c>
      <c r="K374" s="79" t="s">
        <v>1334</v>
      </c>
      <c r="L374" s="7" t="str">
        <f>IF(BudgetsTable[[#This Row],[pi_last_name]]=" ","",HYPERLINK("https://www.ejacket.nsf.gov/ej/showProposal.do?Continue=Y&amp;ID="&amp;BudgetsTable[[#This Row],[prop_id]],BudgetsTable[[#This Row],[prop_id]]))</f>
        <v/>
      </c>
      <c r="M374" s="15" t="str">
        <f>IF(BudgetsTable[[#This Row],[pi_last_name]]=" ","",HYPERLINK("https://www.ejacket.nsf.gov/ej/processReviewAnalysis.do?dispatch=add&amp;uniqId="&amp;BudgetsTable[[#This Row],[prop_id]]&amp;PO_id,"&gt;ra"))</f>
        <v/>
      </c>
      <c r="N374" s="79" t="s">
        <v>13</v>
      </c>
      <c r="O374" s="7" t="str">
        <f>IF(BudgetsTable[[#This Row],[pi_last_name]]=" ","",HYPERLINK("mailto:"&amp;BudgetsTable[[#This Row],[pi_email]]&amp;"&amp;subject=Your NSF Proposal:  "&amp;BudgetsTable[[#This Row],[prop_id]],BudgetsTable[[#This Row],[pi_email]]))</f>
        <v/>
      </c>
      <c r="P374" s="79" t="s">
        <v>13</v>
      </c>
      <c r="Q374" s="79">
        <v>1</v>
      </c>
      <c r="R374" s="79">
        <v>2</v>
      </c>
      <c r="S374" s="80">
        <v>0</v>
      </c>
      <c r="T374" s="80">
        <v>5000</v>
      </c>
      <c r="U374" s="80">
        <v>0</v>
      </c>
      <c r="V374" s="81">
        <v>140393</v>
      </c>
      <c r="W374" s="79">
        <v>0</v>
      </c>
      <c r="X374" s="79">
        <v>3</v>
      </c>
      <c r="Y374" s="11" t="str">
        <f ca="1">IF(ISBLANK(BudgetsTable[[#This Row],[budg_seq_yr]]),"FY"&amp;fiscalyear,"FY"&amp;fiscalyear-1+BudgetsTable[[#This Row],[budg_seq_yr]])</f>
        <v>FY20</v>
      </c>
      <c r="Z374" s="80">
        <v>140393</v>
      </c>
      <c r="AA374" s="79" t="s">
        <v>477</v>
      </c>
      <c r="AB374" s="79" t="s">
        <v>582</v>
      </c>
      <c r="AC374" s="77" t="s">
        <v>94</v>
      </c>
      <c r="AD374" s="79" t="s">
        <v>1704</v>
      </c>
    </row>
    <row r="375" spans="1:30" x14ac:dyDescent="0.4">
      <c r="A375" s="10" t="s">
        <v>1334</v>
      </c>
      <c r="B375" s="77" t="s">
        <v>491</v>
      </c>
      <c r="C375" s="77">
        <f>C374+(BudgetsTable[[#This Row],[lead]]&lt;&gt;K374)</f>
        <v>77</v>
      </c>
      <c r="D375" s="77">
        <f>D374*(BudgetsTable[[#This Row],[lead]]=K374)+(BudgetsTable[[#This Row],[prop_id]]&lt;&gt;A374)</f>
        <v>1</v>
      </c>
      <c r="E375" s="78">
        <v>43005.413194444445</v>
      </c>
      <c r="F375" s="79" t="s">
        <v>524</v>
      </c>
      <c r="G375" s="79" t="s">
        <v>477</v>
      </c>
      <c r="H375" s="79" t="s">
        <v>582</v>
      </c>
      <c r="I375" s="77" t="s">
        <v>654</v>
      </c>
      <c r="J375" s="77" t="s">
        <v>13</v>
      </c>
      <c r="K375" s="79" t="s">
        <v>1334</v>
      </c>
      <c r="L375" s="7" t="str">
        <f>IF(BudgetsTable[[#This Row],[pi_last_name]]=" ","",HYPERLINK("https://www.ejacket.nsf.gov/ej/showProposal.do?Continue=Y&amp;ID="&amp;BudgetsTable[[#This Row],[prop_id]],BudgetsTable[[#This Row],[prop_id]]))</f>
        <v/>
      </c>
      <c r="M375" s="15" t="str">
        <f>IF(BudgetsTable[[#This Row],[pi_last_name]]=" ","",HYPERLINK("https://www.ejacket.nsf.gov/ej/processReviewAnalysis.do?dispatch=add&amp;uniqId="&amp;BudgetsTable[[#This Row],[prop_id]]&amp;PO_id,"&gt;ra"))</f>
        <v/>
      </c>
      <c r="N375" s="79" t="s">
        <v>13</v>
      </c>
      <c r="O375" s="7" t="str">
        <f>IF(BudgetsTable[[#This Row],[pi_last_name]]=" ","",HYPERLINK("mailto:"&amp;BudgetsTable[[#This Row],[pi_email]]&amp;"&amp;subject=Your NSF Proposal:  "&amp;BudgetsTable[[#This Row],[prop_id]],BudgetsTable[[#This Row],[pi_email]]))</f>
        <v/>
      </c>
      <c r="P375" s="79" t="s">
        <v>13</v>
      </c>
      <c r="Q375" s="79">
        <v>1</v>
      </c>
      <c r="R375" s="79">
        <v>2</v>
      </c>
      <c r="S375" s="80">
        <v>0</v>
      </c>
      <c r="T375" s="80">
        <v>5000</v>
      </c>
      <c r="U375" s="80">
        <v>0</v>
      </c>
      <c r="V375" s="81">
        <v>143537</v>
      </c>
      <c r="W375" s="79">
        <v>0</v>
      </c>
      <c r="X375" s="79">
        <v>4</v>
      </c>
      <c r="Y375" s="11" t="str">
        <f ca="1">IF(ISBLANK(BudgetsTable[[#This Row],[budg_seq_yr]]),"FY"&amp;fiscalyear,"FY"&amp;fiscalyear-1+BudgetsTable[[#This Row],[budg_seq_yr]])</f>
        <v>FY21</v>
      </c>
      <c r="Z375" s="80">
        <v>143537</v>
      </c>
      <c r="AA375" s="79" t="s">
        <v>477</v>
      </c>
      <c r="AB375" s="79" t="s">
        <v>582</v>
      </c>
      <c r="AC375" s="77" t="s">
        <v>94</v>
      </c>
      <c r="AD375" s="79" t="s">
        <v>1704</v>
      </c>
    </row>
    <row r="376" spans="1:30" x14ac:dyDescent="0.4">
      <c r="A376" s="10" t="s">
        <v>1760</v>
      </c>
      <c r="B376" s="77" t="s">
        <v>493</v>
      </c>
      <c r="C376" s="77">
        <f>C375+(BudgetsTable[[#This Row],[lead]]&lt;&gt;K375)</f>
        <v>77</v>
      </c>
      <c r="D376" s="77">
        <f>D375*(BudgetsTable[[#This Row],[lead]]=K375)+(BudgetsTable[[#This Row],[prop_id]]&lt;&gt;A375)</f>
        <v>2</v>
      </c>
      <c r="E376" s="78">
        <v>43004.498611111114</v>
      </c>
      <c r="F376" s="79" t="s">
        <v>524</v>
      </c>
      <c r="G376" s="79" t="s">
        <v>477</v>
      </c>
      <c r="H376" s="79" t="s">
        <v>582</v>
      </c>
      <c r="I376" s="77" t="s">
        <v>654</v>
      </c>
      <c r="J376" s="77" t="s">
        <v>1763</v>
      </c>
      <c r="K376" s="79" t="s">
        <v>1334</v>
      </c>
      <c r="L376" s="7" t="str">
        <f>IF(BudgetsTable[[#This Row],[pi_last_name]]=" ","",HYPERLINK("https://www.ejacket.nsf.gov/ej/showProposal.do?Continue=Y&amp;ID="&amp;BudgetsTable[[#This Row],[prop_id]],BudgetsTable[[#This Row],[prop_id]]))</f>
        <v>1763315</v>
      </c>
      <c r="M376" s="15" t="e">
        <f>IF(BudgetsTable[[#This Row],[pi_last_name]]=" ","",HYPERLINK("https://www.ejacket.nsf.gov/ej/processReviewAnalysis.do?dispatch=add&amp;uniqId="&amp;BudgetsTable[[#This Row],[prop_id]]&amp;PO_id,"&gt;ra"))</f>
        <v>#REF!</v>
      </c>
      <c r="N376" s="79" t="s">
        <v>1761</v>
      </c>
      <c r="O376" s="7" t="str">
        <f>IF(BudgetsTable[[#This Row],[pi_last_name]]=" ","",HYPERLINK("mailto:"&amp;BudgetsTable[[#This Row],[pi_email]]&amp;"&amp;subject=Your NSF Proposal:  "&amp;BudgetsTable[[#This Row],[prop_id]],BudgetsTable[[#This Row],[pi_email]]))</f>
        <v>chrismre@cs.stanford.edu</v>
      </c>
      <c r="P376" s="79" t="s">
        <v>1465</v>
      </c>
      <c r="Q376" s="79"/>
      <c r="R376" s="79"/>
      <c r="S376" s="80"/>
      <c r="T376" s="80"/>
      <c r="U376" s="80"/>
      <c r="V376" s="81"/>
      <c r="W376" s="79">
        <v>0</v>
      </c>
      <c r="X376" s="79"/>
      <c r="Y376" s="11" t="str">
        <f ca="1">IF(ISBLANK(BudgetsTable[[#This Row],[budg_seq_yr]]),"FY"&amp;fiscalyear,"FY"&amp;fiscalyear-1+BudgetsTable[[#This Row],[budg_seq_yr]])</f>
        <v>FY18</v>
      </c>
      <c r="Z376" s="80">
        <v>552118</v>
      </c>
      <c r="AA376" s="79" t="s">
        <v>477</v>
      </c>
      <c r="AB376" s="79" t="s">
        <v>582</v>
      </c>
      <c r="AC376" s="77" t="s">
        <v>94</v>
      </c>
      <c r="AD376" s="79" t="s">
        <v>1704</v>
      </c>
    </row>
    <row r="377" spans="1:30" x14ac:dyDescent="0.4">
      <c r="A377" s="10" t="s">
        <v>1760</v>
      </c>
      <c r="B377" s="77" t="s">
        <v>493</v>
      </c>
      <c r="C377" s="77">
        <f>C376+(BudgetsTable[[#This Row],[lead]]&lt;&gt;K376)</f>
        <v>77</v>
      </c>
      <c r="D377" s="77">
        <f>D376*(BudgetsTable[[#This Row],[lead]]=K376)+(BudgetsTable[[#This Row],[prop_id]]&lt;&gt;A376)</f>
        <v>2</v>
      </c>
      <c r="E377" s="78">
        <v>43004.498611111114</v>
      </c>
      <c r="F377" s="79" t="s">
        <v>524</v>
      </c>
      <c r="G377" s="79" t="s">
        <v>477</v>
      </c>
      <c r="H377" s="79" t="s">
        <v>582</v>
      </c>
      <c r="I377" s="77" t="s">
        <v>654</v>
      </c>
      <c r="J377" s="77" t="s">
        <v>13</v>
      </c>
      <c r="K377" s="79" t="s">
        <v>1334</v>
      </c>
      <c r="L377" s="7" t="str">
        <f>IF(BudgetsTable[[#This Row],[pi_last_name]]=" ","",HYPERLINK("https://www.ejacket.nsf.gov/ej/showProposal.do?Continue=Y&amp;ID="&amp;BudgetsTable[[#This Row],[prop_id]],BudgetsTable[[#This Row],[prop_id]]))</f>
        <v/>
      </c>
      <c r="M377" s="15" t="str">
        <f>IF(BudgetsTable[[#This Row],[pi_last_name]]=" ","",HYPERLINK("https://www.ejacket.nsf.gov/ej/processReviewAnalysis.do?dispatch=add&amp;uniqId="&amp;BudgetsTable[[#This Row],[prop_id]]&amp;PO_id,"&gt;ra"))</f>
        <v/>
      </c>
      <c r="N377" s="79" t="s">
        <v>13</v>
      </c>
      <c r="O377" s="7" t="str">
        <f>IF(BudgetsTable[[#This Row],[pi_last_name]]=" ","",HYPERLINK("mailto:"&amp;BudgetsTable[[#This Row],[pi_email]]&amp;"&amp;subject=Your NSF Proposal:  "&amp;BudgetsTable[[#This Row],[prop_id]],BudgetsTable[[#This Row],[pi_email]]))</f>
        <v/>
      </c>
      <c r="P377" s="79" t="s">
        <v>13</v>
      </c>
      <c r="Q377" s="79">
        <v>1</v>
      </c>
      <c r="R377" s="79">
        <v>0.21</v>
      </c>
      <c r="S377" s="80">
        <v>0</v>
      </c>
      <c r="T377" s="80">
        <v>0</v>
      </c>
      <c r="U377" s="80">
        <v>0</v>
      </c>
      <c r="V377" s="81">
        <v>134482</v>
      </c>
      <c r="W377" s="79">
        <v>0</v>
      </c>
      <c r="X377" s="79">
        <v>1</v>
      </c>
      <c r="Y377" s="11" t="str">
        <f ca="1">IF(ISBLANK(BudgetsTable[[#This Row],[budg_seq_yr]]),"FY"&amp;fiscalyear,"FY"&amp;fiscalyear-1+BudgetsTable[[#This Row],[budg_seq_yr]])</f>
        <v>FY18</v>
      </c>
      <c r="Z377" s="80">
        <v>134482</v>
      </c>
      <c r="AA377" s="79" t="s">
        <v>477</v>
      </c>
      <c r="AB377" s="79" t="s">
        <v>582</v>
      </c>
      <c r="AC377" s="77" t="s">
        <v>94</v>
      </c>
      <c r="AD377" s="79" t="s">
        <v>1704</v>
      </c>
    </row>
    <row r="378" spans="1:30" x14ac:dyDescent="0.4">
      <c r="A378" s="10" t="s">
        <v>1760</v>
      </c>
      <c r="B378" s="77" t="s">
        <v>493</v>
      </c>
      <c r="C378" s="77">
        <f>C377+(BudgetsTable[[#This Row],[lead]]&lt;&gt;K377)</f>
        <v>77</v>
      </c>
      <c r="D378" s="77">
        <f>D377*(BudgetsTable[[#This Row],[lead]]=K377)+(BudgetsTable[[#This Row],[prop_id]]&lt;&gt;A377)</f>
        <v>2</v>
      </c>
      <c r="E378" s="78">
        <v>43004.498611111114</v>
      </c>
      <c r="F378" s="79" t="s">
        <v>524</v>
      </c>
      <c r="G378" s="79" t="s">
        <v>477</v>
      </c>
      <c r="H378" s="79" t="s">
        <v>582</v>
      </c>
      <c r="I378" s="77" t="s">
        <v>654</v>
      </c>
      <c r="J378" s="77" t="s">
        <v>13</v>
      </c>
      <c r="K378" s="79" t="s">
        <v>1334</v>
      </c>
      <c r="L378" s="7" t="str">
        <f>IF(BudgetsTable[[#This Row],[pi_last_name]]=" ","",HYPERLINK("https://www.ejacket.nsf.gov/ej/showProposal.do?Continue=Y&amp;ID="&amp;BudgetsTable[[#This Row],[prop_id]],BudgetsTable[[#This Row],[prop_id]]))</f>
        <v/>
      </c>
      <c r="M378" s="15" t="str">
        <f>IF(BudgetsTable[[#This Row],[pi_last_name]]=" ","",HYPERLINK("https://www.ejacket.nsf.gov/ej/processReviewAnalysis.do?dispatch=add&amp;uniqId="&amp;BudgetsTable[[#This Row],[prop_id]]&amp;PO_id,"&gt;ra"))</f>
        <v/>
      </c>
      <c r="N378" s="79" t="s">
        <v>13</v>
      </c>
      <c r="O378" s="7" t="str">
        <f>IF(BudgetsTable[[#This Row],[pi_last_name]]=" ","",HYPERLINK("mailto:"&amp;BudgetsTable[[#This Row],[pi_email]]&amp;"&amp;subject=Your NSF Proposal:  "&amp;BudgetsTable[[#This Row],[prop_id]],BudgetsTable[[#This Row],[pi_email]]))</f>
        <v/>
      </c>
      <c r="P378" s="79" t="s">
        <v>13</v>
      </c>
      <c r="Q378" s="79">
        <v>1</v>
      </c>
      <c r="R378" s="79">
        <v>0.21</v>
      </c>
      <c r="S378" s="80">
        <v>0</v>
      </c>
      <c r="T378" s="80">
        <v>0</v>
      </c>
      <c r="U378" s="80">
        <v>0</v>
      </c>
      <c r="V378" s="81">
        <v>135352</v>
      </c>
      <c r="W378" s="79">
        <v>0</v>
      </c>
      <c r="X378" s="79">
        <v>2</v>
      </c>
      <c r="Y378" s="11" t="str">
        <f ca="1">IF(ISBLANK(BudgetsTable[[#This Row],[budg_seq_yr]]),"FY"&amp;fiscalyear,"FY"&amp;fiscalyear-1+BudgetsTable[[#This Row],[budg_seq_yr]])</f>
        <v>FY19</v>
      </c>
      <c r="Z378" s="80">
        <v>135352</v>
      </c>
      <c r="AA378" s="79" t="s">
        <v>477</v>
      </c>
      <c r="AB378" s="79" t="s">
        <v>582</v>
      </c>
      <c r="AC378" s="77" t="s">
        <v>94</v>
      </c>
      <c r="AD378" s="79" t="s">
        <v>1704</v>
      </c>
    </row>
    <row r="379" spans="1:30" x14ac:dyDescent="0.4">
      <c r="A379" s="10" t="s">
        <v>1760</v>
      </c>
      <c r="B379" s="77" t="s">
        <v>493</v>
      </c>
      <c r="C379" s="77">
        <f>C378+(BudgetsTable[[#This Row],[lead]]&lt;&gt;K378)</f>
        <v>77</v>
      </c>
      <c r="D379" s="77">
        <f>D378*(BudgetsTable[[#This Row],[lead]]=K378)+(BudgetsTable[[#This Row],[prop_id]]&lt;&gt;A378)</f>
        <v>2</v>
      </c>
      <c r="E379" s="78">
        <v>43004.498611111114</v>
      </c>
      <c r="F379" s="79" t="s">
        <v>524</v>
      </c>
      <c r="G379" s="79" t="s">
        <v>477</v>
      </c>
      <c r="H379" s="79" t="s">
        <v>582</v>
      </c>
      <c r="I379" s="77" t="s">
        <v>654</v>
      </c>
      <c r="J379" s="77" t="s">
        <v>13</v>
      </c>
      <c r="K379" s="79" t="s">
        <v>1334</v>
      </c>
      <c r="L379" s="7" t="str">
        <f>IF(BudgetsTable[[#This Row],[pi_last_name]]=" ","",HYPERLINK("https://www.ejacket.nsf.gov/ej/showProposal.do?Continue=Y&amp;ID="&amp;BudgetsTable[[#This Row],[prop_id]],BudgetsTable[[#This Row],[prop_id]]))</f>
        <v/>
      </c>
      <c r="M379" s="15" t="str">
        <f>IF(BudgetsTable[[#This Row],[pi_last_name]]=" ","",HYPERLINK("https://www.ejacket.nsf.gov/ej/processReviewAnalysis.do?dispatch=add&amp;uniqId="&amp;BudgetsTable[[#This Row],[prop_id]]&amp;PO_id,"&gt;ra"))</f>
        <v/>
      </c>
      <c r="N379" s="79" t="s">
        <v>13</v>
      </c>
      <c r="O379" s="7" t="str">
        <f>IF(BudgetsTable[[#This Row],[pi_last_name]]=" ","",HYPERLINK("mailto:"&amp;BudgetsTable[[#This Row],[pi_email]]&amp;"&amp;subject=Your NSF Proposal:  "&amp;BudgetsTable[[#This Row],[prop_id]],BudgetsTable[[#This Row],[pi_email]]))</f>
        <v/>
      </c>
      <c r="P379" s="79" t="s">
        <v>13</v>
      </c>
      <c r="Q379" s="79">
        <v>1</v>
      </c>
      <c r="R379" s="79">
        <v>0.21</v>
      </c>
      <c r="S379" s="80">
        <v>0</v>
      </c>
      <c r="T379" s="80">
        <v>0</v>
      </c>
      <c r="U379" s="80">
        <v>0</v>
      </c>
      <c r="V379" s="81">
        <v>139173</v>
      </c>
      <c r="W379" s="79">
        <v>0</v>
      </c>
      <c r="X379" s="79">
        <v>3</v>
      </c>
      <c r="Y379" s="11" t="str">
        <f ca="1">IF(ISBLANK(BudgetsTable[[#This Row],[budg_seq_yr]]),"FY"&amp;fiscalyear,"FY"&amp;fiscalyear-1+BudgetsTable[[#This Row],[budg_seq_yr]])</f>
        <v>FY20</v>
      </c>
      <c r="Z379" s="80">
        <v>139173</v>
      </c>
      <c r="AA379" s="79" t="s">
        <v>477</v>
      </c>
      <c r="AB379" s="79" t="s">
        <v>582</v>
      </c>
      <c r="AC379" s="77" t="s">
        <v>94</v>
      </c>
      <c r="AD379" s="79" t="s">
        <v>1704</v>
      </c>
    </row>
    <row r="380" spans="1:30" x14ac:dyDescent="0.4">
      <c r="A380" s="10" t="s">
        <v>1760</v>
      </c>
      <c r="B380" s="77" t="s">
        <v>493</v>
      </c>
      <c r="C380" s="77">
        <f>C379+(BudgetsTable[[#This Row],[lead]]&lt;&gt;K379)</f>
        <v>77</v>
      </c>
      <c r="D380" s="77">
        <f>D379*(BudgetsTable[[#This Row],[lead]]=K379)+(BudgetsTable[[#This Row],[prop_id]]&lt;&gt;A379)</f>
        <v>2</v>
      </c>
      <c r="E380" s="78">
        <v>43004.498611111114</v>
      </c>
      <c r="F380" s="79" t="s">
        <v>524</v>
      </c>
      <c r="G380" s="79" t="s">
        <v>477</v>
      </c>
      <c r="H380" s="79" t="s">
        <v>582</v>
      </c>
      <c r="I380" s="77" t="s">
        <v>654</v>
      </c>
      <c r="J380" s="77" t="s">
        <v>13</v>
      </c>
      <c r="K380" s="79" t="s">
        <v>1334</v>
      </c>
      <c r="L380" s="7" t="str">
        <f>IF(BudgetsTable[[#This Row],[pi_last_name]]=" ","",HYPERLINK("https://www.ejacket.nsf.gov/ej/showProposal.do?Continue=Y&amp;ID="&amp;BudgetsTable[[#This Row],[prop_id]],BudgetsTable[[#This Row],[prop_id]]))</f>
        <v/>
      </c>
      <c r="M380" s="15" t="str">
        <f>IF(BudgetsTable[[#This Row],[pi_last_name]]=" ","",HYPERLINK("https://www.ejacket.nsf.gov/ej/processReviewAnalysis.do?dispatch=add&amp;uniqId="&amp;BudgetsTable[[#This Row],[prop_id]]&amp;PO_id,"&gt;ra"))</f>
        <v/>
      </c>
      <c r="N380" s="79" t="s">
        <v>13</v>
      </c>
      <c r="O380" s="7" t="str">
        <f>IF(BudgetsTable[[#This Row],[pi_last_name]]=" ","",HYPERLINK("mailto:"&amp;BudgetsTable[[#This Row],[pi_email]]&amp;"&amp;subject=Your NSF Proposal:  "&amp;BudgetsTable[[#This Row],[prop_id]],BudgetsTable[[#This Row],[pi_email]]))</f>
        <v/>
      </c>
      <c r="P380" s="79" t="s">
        <v>13</v>
      </c>
      <c r="Q380" s="79">
        <v>1</v>
      </c>
      <c r="R380" s="79">
        <v>0.21</v>
      </c>
      <c r="S380" s="80">
        <v>0</v>
      </c>
      <c r="T380" s="80">
        <v>0</v>
      </c>
      <c r="U380" s="80">
        <v>0</v>
      </c>
      <c r="V380" s="81">
        <v>143111</v>
      </c>
      <c r="W380" s="79">
        <v>0</v>
      </c>
      <c r="X380" s="79">
        <v>4</v>
      </c>
      <c r="Y380" s="11" t="str">
        <f ca="1">IF(ISBLANK(BudgetsTable[[#This Row],[budg_seq_yr]]),"FY"&amp;fiscalyear,"FY"&amp;fiscalyear-1+BudgetsTable[[#This Row],[budg_seq_yr]])</f>
        <v>FY21</v>
      </c>
      <c r="Z380" s="80">
        <v>143111</v>
      </c>
      <c r="AA380" s="79" t="s">
        <v>477</v>
      </c>
      <c r="AB380" s="79" t="s">
        <v>582</v>
      </c>
      <c r="AC380" s="77" t="s">
        <v>94</v>
      </c>
      <c r="AD380" s="79" t="s">
        <v>1704</v>
      </c>
    </row>
    <row r="381" spans="1:30" x14ac:dyDescent="0.4">
      <c r="A381" s="10" t="s">
        <v>1343</v>
      </c>
      <c r="B381" s="77" t="s">
        <v>491</v>
      </c>
      <c r="C381" s="77">
        <f>C380+(BudgetsTable[[#This Row],[lead]]&lt;&gt;K380)</f>
        <v>78</v>
      </c>
      <c r="D381" s="77">
        <f>D380*(BudgetsTable[[#This Row],[lead]]=K380)+(BudgetsTable[[#This Row],[prop_id]]&lt;&gt;A380)</f>
        <v>1</v>
      </c>
      <c r="E381" s="78">
        <v>43005.479861111111</v>
      </c>
      <c r="F381" s="79" t="s">
        <v>524</v>
      </c>
      <c r="G381" s="79" t="s">
        <v>477</v>
      </c>
      <c r="H381" s="79" t="s">
        <v>582</v>
      </c>
      <c r="I381" s="77" t="s">
        <v>654</v>
      </c>
      <c r="J381" s="77" t="s">
        <v>1569</v>
      </c>
      <c r="K381" s="79" t="s">
        <v>1343</v>
      </c>
      <c r="L381" s="7" t="str">
        <f>IF(BudgetsTable[[#This Row],[pi_last_name]]=" ","",HYPERLINK("https://www.ejacket.nsf.gov/ej/showProposal.do?Continue=Y&amp;ID="&amp;BudgetsTable[[#This Row],[prop_id]],BudgetsTable[[#This Row],[prop_id]]))</f>
        <v>1763557</v>
      </c>
      <c r="M381" s="15" t="e">
        <f>IF(BudgetsTable[[#This Row],[pi_last_name]]=" ","",HYPERLINK("https://www.ejacket.nsf.gov/ej/processReviewAnalysis.do?dispatch=add&amp;uniqId="&amp;BudgetsTable[[#This Row],[prop_id]]&amp;PO_id,"&gt;ra"))</f>
        <v>#REF!</v>
      </c>
      <c r="N381" s="79" t="s">
        <v>489</v>
      </c>
      <c r="O381" s="7" t="str">
        <f>IF(BudgetsTable[[#This Row],[pi_last_name]]=" ","",HYPERLINK("mailto:"&amp;BudgetsTable[[#This Row],[pi_email]]&amp;"&amp;subject=Your NSF Proposal:  "&amp;BudgetsTable[[#This Row],[prop_id]],BudgetsTable[[#This Row],[pi_email]]))</f>
        <v>hu.nguyen@neu.edu</v>
      </c>
      <c r="P381" s="79" t="s">
        <v>502</v>
      </c>
      <c r="Q381" s="79"/>
      <c r="R381" s="79"/>
      <c r="S381" s="80"/>
      <c r="T381" s="80"/>
      <c r="U381" s="80"/>
      <c r="V381" s="81"/>
      <c r="W381" s="79">
        <v>0</v>
      </c>
      <c r="X381" s="79"/>
      <c r="Y381" s="11" t="str">
        <f ca="1">IF(ISBLANK(BudgetsTable[[#This Row],[budg_seq_yr]]),"FY"&amp;fiscalyear,"FY"&amp;fiscalyear-1+BudgetsTable[[#This Row],[budg_seq_yr]])</f>
        <v>FY18</v>
      </c>
      <c r="Z381" s="80">
        <v>574949</v>
      </c>
      <c r="AA381" s="79" t="s">
        <v>477</v>
      </c>
      <c r="AB381" s="79" t="s">
        <v>582</v>
      </c>
      <c r="AC381" s="77" t="s">
        <v>94</v>
      </c>
      <c r="AD381" s="79" t="s">
        <v>1704</v>
      </c>
    </row>
    <row r="382" spans="1:30" x14ac:dyDescent="0.4">
      <c r="A382" s="10" t="s">
        <v>1343</v>
      </c>
      <c r="B382" s="77" t="s">
        <v>491</v>
      </c>
      <c r="C382" s="77">
        <f>C381+(BudgetsTable[[#This Row],[lead]]&lt;&gt;K381)</f>
        <v>78</v>
      </c>
      <c r="D382" s="77">
        <f>D381*(BudgetsTable[[#This Row],[lead]]=K381)+(BudgetsTable[[#This Row],[prop_id]]&lt;&gt;A381)</f>
        <v>1</v>
      </c>
      <c r="E382" s="78">
        <v>43005.479861111111</v>
      </c>
      <c r="F382" s="79" t="s">
        <v>524</v>
      </c>
      <c r="G382" s="79" t="s">
        <v>477</v>
      </c>
      <c r="H382" s="79" t="s">
        <v>582</v>
      </c>
      <c r="I382" s="77" t="s">
        <v>654</v>
      </c>
      <c r="J382" s="77" t="s">
        <v>13</v>
      </c>
      <c r="K382" s="79" t="s">
        <v>1343</v>
      </c>
      <c r="L382" s="7" t="str">
        <f>IF(BudgetsTable[[#This Row],[pi_last_name]]=" ","",HYPERLINK("https://www.ejacket.nsf.gov/ej/showProposal.do?Continue=Y&amp;ID="&amp;BudgetsTable[[#This Row],[prop_id]],BudgetsTable[[#This Row],[prop_id]]))</f>
        <v/>
      </c>
      <c r="M382" s="15" t="str">
        <f>IF(BudgetsTable[[#This Row],[pi_last_name]]=" ","",HYPERLINK("https://www.ejacket.nsf.gov/ej/processReviewAnalysis.do?dispatch=add&amp;uniqId="&amp;BudgetsTable[[#This Row],[prop_id]]&amp;PO_id,"&gt;ra"))</f>
        <v/>
      </c>
      <c r="N382" s="79" t="s">
        <v>13</v>
      </c>
      <c r="O382" s="7" t="str">
        <f>IF(BudgetsTable[[#This Row],[pi_last_name]]=" ","",HYPERLINK("mailto:"&amp;BudgetsTable[[#This Row],[pi_email]]&amp;"&amp;subject=Your NSF Proposal:  "&amp;BudgetsTable[[#This Row],[prop_id]],BudgetsTable[[#This Row],[pi_email]]))</f>
        <v/>
      </c>
      <c r="P382" s="79" t="s">
        <v>13</v>
      </c>
      <c r="Q382" s="79">
        <v>1</v>
      </c>
      <c r="R382" s="79">
        <v>1</v>
      </c>
      <c r="S382" s="80">
        <v>0</v>
      </c>
      <c r="T382" s="80">
        <v>3075</v>
      </c>
      <c r="U382" s="80">
        <v>0</v>
      </c>
      <c r="V382" s="81">
        <v>104840</v>
      </c>
      <c r="W382" s="79">
        <v>0</v>
      </c>
      <c r="X382" s="79">
        <v>1</v>
      </c>
      <c r="Y382" s="11" t="str">
        <f ca="1">IF(ISBLANK(BudgetsTable[[#This Row],[budg_seq_yr]]),"FY"&amp;fiscalyear,"FY"&amp;fiscalyear-1+BudgetsTable[[#This Row],[budg_seq_yr]])</f>
        <v>FY18</v>
      </c>
      <c r="Z382" s="80">
        <v>104840</v>
      </c>
      <c r="AA382" s="79" t="s">
        <v>477</v>
      </c>
      <c r="AB382" s="79" t="s">
        <v>582</v>
      </c>
      <c r="AC382" s="77" t="s">
        <v>94</v>
      </c>
      <c r="AD382" s="79" t="s">
        <v>1704</v>
      </c>
    </row>
    <row r="383" spans="1:30" x14ac:dyDescent="0.4">
      <c r="A383" s="10" t="s">
        <v>1343</v>
      </c>
      <c r="B383" s="77" t="s">
        <v>491</v>
      </c>
      <c r="C383" s="77">
        <f>C382+(BudgetsTable[[#This Row],[lead]]&lt;&gt;K382)</f>
        <v>78</v>
      </c>
      <c r="D383" s="77">
        <f>D382*(BudgetsTable[[#This Row],[lead]]=K382)+(BudgetsTable[[#This Row],[prop_id]]&lt;&gt;A382)</f>
        <v>1</v>
      </c>
      <c r="E383" s="78">
        <v>43005.479861111111</v>
      </c>
      <c r="F383" s="79" t="s">
        <v>524</v>
      </c>
      <c r="G383" s="79" t="s">
        <v>477</v>
      </c>
      <c r="H383" s="79" t="s">
        <v>582</v>
      </c>
      <c r="I383" s="77" t="s">
        <v>654</v>
      </c>
      <c r="J383" s="77" t="s">
        <v>13</v>
      </c>
      <c r="K383" s="79" t="s">
        <v>1343</v>
      </c>
      <c r="L383" s="7" t="str">
        <f>IF(BudgetsTable[[#This Row],[pi_last_name]]=" ","",HYPERLINK("https://www.ejacket.nsf.gov/ej/showProposal.do?Continue=Y&amp;ID="&amp;BudgetsTable[[#This Row],[prop_id]],BudgetsTable[[#This Row],[prop_id]]))</f>
        <v/>
      </c>
      <c r="M383" s="15" t="str">
        <f>IF(BudgetsTable[[#This Row],[pi_last_name]]=" ","",HYPERLINK("https://www.ejacket.nsf.gov/ej/processReviewAnalysis.do?dispatch=add&amp;uniqId="&amp;BudgetsTable[[#This Row],[prop_id]]&amp;PO_id,"&gt;ra"))</f>
        <v/>
      </c>
      <c r="N383" s="79" t="s">
        <v>13</v>
      </c>
      <c r="O383" s="7" t="str">
        <f>IF(BudgetsTable[[#This Row],[pi_last_name]]=" ","",HYPERLINK("mailto:"&amp;BudgetsTable[[#This Row],[pi_email]]&amp;"&amp;subject=Your NSF Proposal:  "&amp;BudgetsTable[[#This Row],[prop_id]],BudgetsTable[[#This Row],[pi_email]]))</f>
        <v/>
      </c>
      <c r="P383" s="79" t="s">
        <v>13</v>
      </c>
      <c r="Q383" s="79">
        <v>1</v>
      </c>
      <c r="R383" s="79">
        <v>1</v>
      </c>
      <c r="S383" s="80">
        <v>71475</v>
      </c>
      <c r="T383" s="80">
        <v>3075</v>
      </c>
      <c r="U383" s="80">
        <v>0</v>
      </c>
      <c r="V383" s="81">
        <v>245547</v>
      </c>
      <c r="W383" s="79">
        <v>0</v>
      </c>
      <c r="X383" s="79">
        <v>2</v>
      </c>
      <c r="Y383" s="11" t="str">
        <f ca="1">IF(ISBLANK(BudgetsTable[[#This Row],[budg_seq_yr]]),"FY"&amp;fiscalyear,"FY"&amp;fiscalyear-1+BudgetsTable[[#This Row],[budg_seq_yr]])</f>
        <v>FY19</v>
      </c>
      <c r="Z383" s="80">
        <v>245547</v>
      </c>
      <c r="AA383" s="79" t="s">
        <v>477</v>
      </c>
      <c r="AB383" s="79" t="s">
        <v>582</v>
      </c>
      <c r="AC383" s="77" t="s">
        <v>94</v>
      </c>
      <c r="AD383" s="79" t="s">
        <v>1704</v>
      </c>
    </row>
    <row r="384" spans="1:30" x14ac:dyDescent="0.4">
      <c r="A384" s="10" t="s">
        <v>1343</v>
      </c>
      <c r="B384" s="77" t="s">
        <v>491</v>
      </c>
      <c r="C384" s="77">
        <f>C383+(BudgetsTable[[#This Row],[lead]]&lt;&gt;K383)</f>
        <v>78</v>
      </c>
      <c r="D384" s="77">
        <f>D383*(BudgetsTable[[#This Row],[lead]]=K383)+(BudgetsTable[[#This Row],[prop_id]]&lt;&gt;A383)</f>
        <v>1</v>
      </c>
      <c r="E384" s="78">
        <v>43005.479861111111</v>
      </c>
      <c r="F384" s="79" t="s">
        <v>524</v>
      </c>
      <c r="G384" s="79" t="s">
        <v>477</v>
      </c>
      <c r="H384" s="79" t="s">
        <v>582</v>
      </c>
      <c r="I384" s="77" t="s">
        <v>654</v>
      </c>
      <c r="J384" s="77" t="s">
        <v>13</v>
      </c>
      <c r="K384" s="79" t="s">
        <v>1343</v>
      </c>
      <c r="L384" s="7" t="str">
        <f>IF(BudgetsTable[[#This Row],[pi_last_name]]=" ","",HYPERLINK("https://www.ejacket.nsf.gov/ej/showProposal.do?Continue=Y&amp;ID="&amp;BudgetsTable[[#This Row],[prop_id]],BudgetsTable[[#This Row],[prop_id]]))</f>
        <v/>
      </c>
      <c r="M384" s="15" t="str">
        <f>IF(BudgetsTable[[#This Row],[pi_last_name]]=" ","",HYPERLINK("https://www.ejacket.nsf.gov/ej/processReviewAnalysis.do?dispatch=add&amp;uniqId="&amp;BudgetsTable[[#This Row],[prop_id]]&amp;PO_id,"&gt;ra"))</f>
        <v/>
      </c>
      <c r="N384" s="79" t="s">
        <v>13</v>
      </c>
      <c r="O384" s="7" t="str">
        <f>IF(BudgetsTable[[#This Row],[pi_last_name]]=" ","",HYPERLINK("mailto:"&amp;BudgetsTable[[#This Row],[pi_email]]&amp;"&amp;subject=Your NSF Proposal:  "&amp;BudgetsTable[[#This Row],[prop_id]],BudgetsTable[[#This Row],[pi_email]]))</f>
        <v/>
      </c>
      <c r="P384" s="79" t="s">
        <v>13</v>
      </c>
      <c r="Q384" s="79">
        <v>1</v>
      </c>
      <c r="R384" s="79">
        <v>1</v>
      </c>
      <c r="S384" s="80">
        <v>0</v>
      </c>
      <c r="T384" s="80">
        <v>3075</v>
      </c>
      <c r="U384" s="80">
        <v>0</v>
      </c>
      <c r="V384" s="81">
        <v>110740</v>
      </c>
      <c r="W384" s="79">
        <v>0</v>
      </c>
      <c r="X384" s="79">
        <v>3</v>
      </c>
      <c r="Y384" s="11" t="str">
        <f ca="1">IF(ISBLANK(BudgetsTable[[#This Row],[budg_seq_yr]]),"FY"&amp;fiscalyear,"FY"&amp;fiscalyear-1+BudgetsTable[[#This Row],[budg_seq_yr]])</f>
        <v>FY20</v>
      </c>
      <c r="Z384" s="80">
        <v>110740</v>
      </c>
      <c r="AA384" s="79" t="s">
        <v>477</v>
      </c>
      <c r="AB384" s="79" t="s">
        <v>582</v>
      </c>
      <c r="AC384" s="77" t="s">
        <v>94</v>
      </c>
      <c r="AD384" s="79" t="s">
        <v>1704</v>
      </c>
    </row>
    <row r="385" spans="1:30" x14ac:dyDescent="0.4">
      <c r="A385" s="10" t="s">
        <v>1343</v>
      </c>
      <c r="B385" s="77" t="s">
        <v>491</v>
      </c>
      <c r="C385" s="77">
        <f>C384+(BudgetsTable[[#This Row],[lead]]&lt;&gt;K384)</f>
        <v>78</v>
      </c>
      <c r="D385" s="77">
        <f>D384*(BudgetsTable[[#This Row],[lead]]=K384)+(BudgetsTable[[#This Row],[prop_id]]&lt;&gt;A384)</f>
        <v>1</v>
      </c>
      <c r="E385" s="78">
        <v>43005.479861111111</v>
      </c>
      <c r="F385" s="79" t="s">
        <v>524</v>
      </c>
      <c r="G385" s="79" t="s">
        <v>477</v>
      </c>
      <c r="H385" s="79" t="s">
        <v>582</v>
      </c>
      <c r="I385" s="77" t="s">
        <v>654</v>
      </c>
      <c r="J385" s="77" t="s">
        <v>13</v>
      </c>
      <c r="K385" s="79" t="s">
        <v>1343</v>
      </c>
      <c r="L385" s="7" t="str">
        <f>IF(BudgetsTable[[#This Row],[pi_last_name]]=" ","",HYPERLINK("https://www.ejacket.nsf.gov/ej/showProposal.do?Continue=Y&amp;ID="&amp;BudgetsTable[[#This Row],[prop_id]],BudgetsTable[[#This Row],[prop_id]]))</f>
        <v/>
      </c>
      <c r="M385" s="15" t="str">
        <f>IF(BudgetsTable[[#This Row],[pi_last_name]]=" ","",HYPERLINK("https://www.ejacket.nsf.gov/ej/processReviewAnalysis.do?dispatch=add&amp;uniqId="&amp;BudgetsTable[[#This Row],[prop_id]]&amp;PO_id,"&gt;ra"))</f>
        <v/>
      </c>
      <c r="N385" s="79" t="s">
        <v>13</v>
      </c>
      <c r="O385" s="7" t="str">
        <f>IF(BudgetsTable[[#This Row],[pi_last_name]]=" ","",HYPERLINK("mailto:"&amp;BudgetsTable[[#This Row],[pi_email]]&amp;"&amp;subject=Your NSF Proposal:  "&amp;BudgetsTable[[#This Row],[prop_id]],BudgetsTable[[#This Row],[pi_email]]))</f>
        <v/>
      </c>
      <c r="P385" s="79" t="s">
        <v>13</v>
      </c>
      <c r="Q385" s="79">
        <v>1</v>
      </c>
      <c r="R385" s="79">
        <v>1</v>
      </c>
      <c r="S385" s="80">
        <v>0</v>
      </c>
      <c r="T385" s="80">
        <v>3075</v>
      </c>
      <c r="U385" s="80">
        <v>0</v>
      </c>
      <c r="V385" s="81">
        <v>113822</v>
      </c>
      <c r="W385" s="79">
        <v>0</v>
      </c>
      <c r="X385" s="79">
        <v>4</v>
      </c>
      <c r="Y385" s="11" t="str">
        <f ca="1">IF(ISBLANK(BudgetsTable[[#This Row],[budg_seq_yr]]),"FY"&amp;fiscalyear,"FY"&amp;fiscalyear-1+BudgetsTable[[#This Row],[budg_seq_yr]])</f>
        <v>FY21</v>
      </c>
      <c r="Z385" s="80">
        <v>113822</v>
      </c>
      <c r="AA385" s="79" t="s">
        <v>477</v>
      </c>
      <c r="AB385" s="79" t="s">
        <v>582</v>
      </c>
      <c r="AC385" s="77" t="s">
        <v>94</v>
      </c>
      <c r="AD385" s="79" t="s">
        <v>1704</v>
      </c>
    </row>
    <row r="386" spans="1:30" x14ac:dyDescent="0.4">
      <c r="A386" s="10" t="s">
        <v>1765</v>
      </c>
      <c r="B386" s="77" t="s">
        <v>493</v>
      </c>
      <c r="C386" s="77">
        <f>C385+(BudgetsTable[[#This Row],[lead]]&lt;&gt;K385)</f>
        <v>78</v>
      </c>
      <c r="D386" s="77">
        <f>D385*(BudgetsTable[[#This Row],[lead]]=K385)+(BudgetsTable[[#This Row],[prop_id]]&lt;&gt;A385)</f>
        <v>2</v>
      </c>
      <c r="E386" s="78">
        <v>43005.434027777781</v>
      </c>
      <c r="F386" s="79" t="s">
        <v>524</v>
      </c>
      <c r="G386" s="79" t="s">
        <v>477</v>
      </c>
      <c r="H386" s="79" t="s">
        <v>582</v>
      </c>
      <c r="I386" s="77" t="s">
        <v>654</v>
      </c>
      <c r="J386" s="77" t="s">
        <v>1768</v>
      </c>
      <c r="K386" s="79" t="s">
        <v>1343</v>
      </c>
      <c r="L386" s="7" t="str">
        <f>IF(BudgetsTable[[#This Row],[pi_last_name]]=" ","",HYPERLINK("https://www.ejacket.nsf.gov/ej/showProposal.do?Continue=Y&amp;ID="&amp;BudgetsTable[[#This Row],[prop_id]],BudgetsTable[[#This Row],[prop_id]]))</f>
        <v>1763504</v>
      </c>
      <c r="M386" s="15" t="e">
        <f>IF(BudgetsTable[[#This Row],[pi_last_name]]=" ","",HYPERLINK("https://www.ejacket.nsf.gov/ej/processReviewAnalysis.do?dispatch=add&amp;uniqId="&amp;BudgetsTable[[#This Row],[prop_id]]&amp;PO_id,"&gt;ra"))</f>
        <v>#REF!</v>
      </c>
      <c r="N386" s="79" t="s">
        <v>1766</v>
      </c>
      <c r="O386" s="7" t="str">
        <f>IF(BudgetsTable[[#This Row],[pi_last_name]]=" ","",HYPERLINK("mailto:"&amp;BudgetsTable[[#This Row],[pi_email]]&amp;"&amp;subject=Your NSF Proposal:  "&amp;BudgetsTable[[#This Row],[prop_id]],BudgetsTable[[#This Row],[pi_email]]))</f>
        <v>minilek@seas.harvard.edu</v>
      </c>
      <c r="P386" s="79" t="s">
        <v>1728</v>
      </c>
      <c r="Q386" s="79"/>
      <c r="R386" s="79"/>
      <c r="S386" s="80"/>
      <c r="T386" s="80"/>
      <c r="U386" s="80"/>
      <c r="V386" s="81"/>
      <c r="W386" s="79">
        <v>0</v>
      </c>
      <c r="X386" s="79"/>
      <c r="Y386" s="11" t="str">
        <f ca="1">IF(ISBLANK(BudgetsTable[[#This Row],[budg_seq_yr]]),"FY"&amp;fiscalyear,"FY"&amp;fiscalyear-1+BudgetsTable[[#This Row],[budg_seq_yr]])</f>
        <v>FY18</v>
      </c>
      <c r="Z386" s="80">
        <v>475000</v>
      </c>
      <c r="AA386" s="79" t="s">
        <v>477</v>
      </c>
      <c r="AB386" s="79" t="s">
        <v>582</v>
      </c>
      <c r="AC386" s="77" t="s">
        <v>94</v>
      </c>
      <c r="AD386" s="79" t="s">
        <v>1704</v>
      </c>
    </row>
    <row r="387" spans="1:30" x14ac:dyDescent="0.4">
      <c r="A387" s="10" t="s">
        <v>1765</v>
      </c>
      <c r="B387" s="77" t="s">
        <v>493</v>
      </c>
      <c r="C387" s="77">
        <f>C386+(BudgetsTable[[#This Row],[lead]]&lt;&gt;K386)</f>
        <v>78</v>
      </c>
      <c r="D387" s="77">
        <f>D386*(BudgetsTable[[#This Row],[lead]]=K386)+(BudgetsTable[[#This Row],[prop_id]]&lt;&gt;A386)</f>
        <v>2</v>
      </c>
      <c r="E387" s="78">
        <v>43005.434027777781</v>
      </c>
      <c r="F387" s="79" t="s">
        <v>524</v>
      </c>
      <c r="G387" s="79" t="s">
        <v>477</v>
      </c>
      <c r="H387" s="79" t="s">
        <v>582</v>
      </c>
      <c r="I387" s="77" t="s">
        <v>654</v>
      </c>
      <c r="J387" s="77" t="s">
        <v>13</v>
      </c>
      <c r="K387" s="79" t="s">
        <v>1343</v>
      </c>
      <c r="L387" s="7" t="str">
        <f>IF(BudgetsTable[[#This Row],[pi_last_name]]=" ","",HYPERLINK("https://www.ejacket.nsf.gov/ej/showProposal.do?Continue=Y&amp;ID="&amp;BudgetsTable[[#This Row],[prop_id]],BudgetsTable[[#This Row],[prop_id]]))</f>
        <v/>
      </c>
      <c r="M387" s="15" t="str">
        <f>IF(BudgetsTable[[#This Row],[pi_last_name]]=" ","",HYPERLINK("https://www.ejacket.nsf.gov/ej/processReviewAnalysis.do?dispatch=add&amp;uniqId="&amp;BudgetsTable[[#This Row],[prop_id]]&amp;PO_id,"&gt;ra"))</f>
        <v/>
      </c>
      <c r="N387" s="79" t="s">
        <v>13</v>
      </c>
      <c r="O387" s="7" t="str">
        <f>IF(BudgetsTable[[#This Row],[pi_last_name]]=" ","",HYPERLINK("mailto:"&amp;BudgetsTable[[#This Row],[pi_email]]&amp;"&amp;subject=Your NSF Proposal:  "&amp;BudgetsTable[[#This Row],[prop_id]],BudgetsTable[[#This Row],[pi_email]]))</f>
        <v/>
      </c>
      <c r="P387" s="79" t="s">
        <v>13</v>
      </c>
      <c r="Q387" s="79">
        <v>0</v>
      </c>
      <c r="R387" s="79">
        <v>0</v>
      </c>
      <c r="S387" s="80">
        <v>0</v>
      </c>
      <c r="T387" s="80">
        <v>3060</v>
      </c>
      <c r="U387" s="80">
        <v>0</v>
      </c>
      <c r="V387" s="81">
        <v>84078</v>
      </c>
      <c r="W387" s="79">
        <v>0</v>
      </c>
      <c r="X387" s="79">
        <v>1</v>
      </c>
      <c r="Y387" s="11" t="str">
        <f ca="1">IF(ISBLANK(BudgetsTable[[#This Row],[budg_seq_yr]]),"FY"&amp;fiscalyear,"FY"&amp;fiscalyear-1+BudgetsTable[[#This Row],[budg_seq_yr]])</f>
        <v>FY18</v>
      </c>
      <c r="Z387" s="80">
        <v>84078</v>
      </c>
      <c r="AA387" s="79" t="s">
        <v>477</v>
      </c>
      <c r="AB387" s="79" t="s">
        <v>582</v>
      </c>
      <c r="AC387" s="77" t="s">
        <v>94</v>
      </c>
      <c r="AD387" s="79" t="s">
        <v>1704</v>
      </c>
    </row>
    <row r="388" spans="1:30" x14ac:dyDescent="0.4">
      <c r="A388" s="10" t="s">
        <v>1765</v>
      </c>
      <c r="B388" s="77" t="s">
        <v>493</v>
      </c>
      <c r="C388" s="77">
        <f>C387+(BudgetsTable[[#This Row],[lead]]&lt;&gt;K387)</f>
        <v>78</v>
      </c>
      <c r="D388" s="77">
        <f>D387*(BudgetsTable[[#This Row],[lead]]=K387)+(BudgetsTable[[#This Row],[prop_id]]&lt;&gt;A387)</f>
        <v>2</v>
      </c>
      <c r="E388" s="78">
        <v>43005.434027777781</v>
      </c>
      <c r="F388" s="79" t="s">
        <v>524</v>
      </c>
      <c r="G388" s="79" t="s">
        <v>477</v>
      </c>
      <c r="H388" s="79" t="s">
        <v>582</v>
      </c>
      <c r="I388" s="77" t="s">
        <v>654</v>
      </c>
      <c r="J388" s="77" t="s">
        <v>13</v>
      </c>
      <c r="K388" s="79" t="s">
        <v>1343</v>
      </c>
      <c r="L388" s="7" t="str">
        <f>IF(BudgetsTable[[#This Row],[pi_last_name]]=" ","",HYPERLINK("https://www.ejacket.nsf.gov/ej/showProposal.do?Continue=Y&amp;ID="&amp;BudgetsTable[[#This Row],[prop_id]],BudgetsTable[[#This Row],[prop_id]]))</f>
        <v/>
      </c>
      <c r="M388" s="15" t="str">
        <f>IF(BudgetsTable[[#This Row],[pi_last_name]]=" ","",HYPERLINK("https://www.ejacket.nsf.gov/ej/processReviewAnalysis.do?dispatch=add&amp;uniqId="&amp;BudgetsTable[[#This Row],[prop_id]]&amp;PO_id,"&gt;ra"))</f>
        <v/>
      </c>
      <c r="N388" s="79" t="s">
        <v>13</v>
      </c>
      <c r="O388" s="7" t="str">
        <f>IF(BudgetsTable[[#This Row],[pi_last_name]]=" ","",HYPERLINK("mailto:"&amp;BudgetsTable[[#This Row],[pi_email]]&amp;"&amp;subject=Your NSF Proposal:  "&amp;BudgetsTable[[#This Row],[prop_id]],BudgetsTable[[#This Row],[pi_email]]))</f>
        <v/>
      </c>
      <c r="P388" s="79" t="s">
        <v>13</v>
      </c>
      <c r="Q388" s="79">
        <v>1</v>
      </c>
      <c r="R388" s="79">
        <v>0</v>
      </c>
      <c r="S388" s="80">
        <v>0</v>
      </c>
      <c r="T388" s="80">
        <v>3138</v>
      </c>
      <c r="U388" s="80">
        <v>0</v>
      </c>
      <c r="V388" s="81">
        <v>130227</v>
      </c>
      <c r="W388" s="79">
        <v>0</v>
      </c>
      <c r="X388" s="79">
        <v>2</v>
      </c>
      <c r="Y388" s="11" t="str">
        <f ca="1">IF(ISBLANK(BudgetsTable[[#This Row],[budg_seq_yr]]),"FY"&amp;fiscalyear,"FY"&amp;fiscalyear-1+BudgetsTable[[#This Row],[budg_seq_yr]])</f>
        <v>FY19</v>
      </c>
      <c r="Z388" s="80">
        <v>130227</v>
      </c>
      <c r="AA388" s="79" t="s">
        <v>477</v>
      </c>
      <c r="AB388" s="79" t="s">
        <v>582</v>
      </c>
      <c r="AC388" s="77" t="s">
        <v>94</v>
      </c>
      <c r="AD388" s="79" t="s">
        <v>1704</v>
      </c>
    </row>
    <row r="389" spans="1:30" x14ac:dyDescent="0.4">
      <c r="A389" s="10" t="s">
        <v>1765</v>
      </c>
      <c r="B389" s="77" t="s">
        <v>493</v>
      </c>
      <c r="C389" s="77">
        <f>C388+(BudgetsTable[[#This Row],[lead]]&lt;&gt;K388)</f>
        <v>78</v>
      </c>
      <c r="D389" s="77">
        <f>D388*(BudgetsTable[[#This Row],[lead]]=K388)+(BudgetsTable[[#This Row],[prop_id]]&lt;&gt;A388)</f>
        <v>2</v>
      </c>
      <c r="E389" s="78">
        <v>43005.434027777781</v>
      </c>
      <c r="F389" s="79" t="s">
        <v>524</v>
      </c>
      <c r="G389" s="79" t="s">
        <v>477</v>
      </c>
      <c r="H389" s="79" t="s">
        <v>582</v>
      </c>
      <c r="I389" s="77" t="s">
        <v>654</v>
      </c>
      <c r="J389" s="77" t="s">
        <v>13</v>
      </c>
      <c r="K389" s="79" t="s">
        <v>1343</v>
      </c>
      <c r="L389" s="7" t="str">
        <f>IF(BudgetsTable[[#This Row],[pi_last_name]]=" ","",HYPERLINK("https://www.ejacket.nsf.gov/ej/showProposal.do?Continue=Y&amp;ID="&amp;BudgetsTable[[#This Row],[prop_id]],BudgetsTable[[#This Row],[prop_id]]))</f>
        <v/>
      </c>
      <c r="M389" s="15" t="str">
        <f>IF(BudgetsTable[[#This Row],[pi_last_name]]=" ","",HYPERLINK("https://www.ejacket.nsf.gov/ej/processReviewAnalysis.do?dispatch=add&amp;uniqId="&amp;BudgetsTable[[#This Row],[prop_id]]&amp;PO_id,"&gt;ra"))</f>
        <v/>
      </c>
      <c r="N389" s="79" t="s">
        <v>13</v>
      </c>
      <c r="O389" s="7" t="str">
        <f>IF(BudgetsTable[[#This Row],[pi_last_name]]=" ","",HYPERLINK("mailto:"&amp;BudgetsTable[[#This Row],[pi_email]]&amp;"&amp;subject=Your NSF Proposal:  "&amp;BudgetsTable[[#This Row],[prop_id]],BudgetsTable[[#This Row],[pi_email]]))</f>
        <v/>
      </c>
      <c r="P389" s="79" t="s">
        <v>13</v>
      </c>
      <c r="Q389" s="79">
        <v>1</v>
      </c>
      <c r="R389" s="79">
        <v>0</v>
      </c>
      <c r="S389" s="80">
        <v>0</v>
      </c>
      <c r="T389" s="80">
        <v>3217</v>
      </c>
      <c r="U389" s="80">
        <v>0</v>
      </c>
      <c r="V389" s="81">
        <v>129283</v>
      </c>
      <c r="W389" s="79">
        <v>0</v>
      </c>
      <c r="X389" s="79">
        <v>3</v>
      </c>
      <c r="Y389" s="11" t="str">
        <f ca="1">IF(ISBLANK(BudgetsTable[[#This Row],[budg_seq_yr]]),"FY"&amp;fiscalyear,"FY"&amp;fiscalyear-1+BudgetsTable[[#This Row],[budg_seq_yr]])</f>
        <v>FY20</v>
      </c>
      <c r="Z389" s="80">
        <v>129283</v>
      </c>
      <c r="AA389" s="79" t="s">
        <v>477</v>
      </c>
      <c r="AB389" s="79" t="s">
        <v>582</v>
      </c>
      <c r="AC389" s="77" t="s">
        <v>94</v>
      </c>
      <c r="AD389" s="79" t="s">
        <v>1704</v>
      </c>
    </row>
    <row r="390" spans="1:30" x14ac:dyDescent="0.4">
      <c r="A390" s="10" t="s">
        <v>1765</v>
      </c>
      <c r="B390" s="77" t="s">
        <v>493</v>
      </c>
      <c r="C390" s="77">
        <f>C389+(BudgetsTable[[#This Row],[lead]]&lt;&gt;K389)</f>
        <v>78</v>
      </c>
      <c r="D390" s="77">
        <f>D389*(BudgetsTable[[#This Row],[lead]]=K389)+(BudgetsTable[[#This Row],[prop_id]]&lt;&gt;A389)</f>
        <v>2</v>
      </c>
      <c r="E390" s="78">
        <v>43005.434027777781</v>
      </c>
      <c r="F390" s="79" t="s">
        <v>524</v>
      </c>
      <c r="G390" s="79" t="s">
        <v>477</v>
      </c>
      <c r="H390" s="79" t="s">
        <v>582</v>
      </c>
      <c r="I390" s="77" t="s">
        <v>654</v>
      </c>
      <c r="J390" s="77" t="s">
        <v>13</v>
      </c>
      <c r="K390" s="79" t="s">
        <v>1343</v>
      </c>
      <c r="L390" s="7" t="str">
        <f>IF(BudgetsTable[[#This Row],[pi_last_name]]=" ","",HYPERLINK("https://www.ejacket.nsf.gov/ej/showProposal.do?Continue=Y&amp;ID="&amp;BudgetsTable[[#This Row],[prop_id]],BudgetsTable[[#This Row],[prop_id]]))</f>
        <v/>
      </c>
      <c r="M390" s="15" t="str">
        <f>IF(BudgetsTable[[#This Row],[pi_last_name]]=" ","",HYPERLINK("https://www.ejacket.nsf.gov/ej/processReviewAnalysis.do?dispatch=add&amp;uniqId="&amp;BudgetsTable[[#This Row],[prop_id]]&amp;PO_id,"&gt;ra"))</f>
        <v/>
      </c>
      <c r="N390" s="79" t="s">
        <v>13</v>
      </c>
      <c r="O390" s="7" t="str">
        <f>IF(BudgetsTable[[#This Row],[pi_last_name]]=" ","",HYPERLINK("mailto:"&amp;BudgetsTable[[#This Row],[pi_email]]&amp;"&amp;subject=Your NSF Proposal:  "&amp;BudgetsTable[[#This Row],[prop_id]],BudgetsTable[[#This Row],[pi_email]]))</f>
        <v/>
      </c>
      <c r="P390" s="79" t="s">
        <v>13</v>
      </c>
      <c r="Q390" s="79">
        <v>1</v>
      </c>
      <c r="R390" s="79">
        <v>0</v>
      </c>
      <c r="S390" s="80">
        <v>0</v>
      </c>
      <c r="T390" s="80">
        <v>3298</v>
      </c>
      <c r="U390" s="80">
        <v>0</v>
      </c>
      <c r="V390" s="81">
        <v>131412</v>
      </c>
      <c r="W390" s="79">
        <v>0</v>
      </c>
      <c r="X390" s="79">
        <v>4</v>
      </c>
      <c r="Y390" s="11" t="str">
        <f ca="1">IF(ISBLANK(BudgetsTable[[#This Row],[budg_seq_yr]]),"FY"&amp;fiscalyear,"FY"&amp;fiscalyear-1+BudgetsTable[[#This Row],[budg_seq_yr]])</f>
        <v>FY21</v>
      </c>
      <c r="Z390" s="80">
        <v>131412</v>
      </c>
      <c r="AA390" s="79" t="s">
        <v>477</v>
      </c>
      <c r="AB390" s="79" t="s">
        <v>582</v>
      </c>
      <c r="AC390" s="77" t="s">
        <v>94</v>
      </c>
      <c r="AD390" s="79" t="s">
        <v>1704</v>
      </c>
    </row>
    <row r="391" spans="1:30" x14ac:dyDescent="0.4">
      <c r="A391" s="10" t="s">
        <v>1351</v>
      </c>
      <c r="B391" s="77" t="s">
        <v>491</v>
      </c>
      <c r="C391" s="77">
        <f>C390+(BudgetsTable[[#This Row],[lead]]&lt;&gt;K390)</f>
        <v>79</v>
      </c>
      <c r="D391" s="77">
        <f>D390*(BudgetsTable[[#This Row],[lead]]=K390)+(BudgetsTable[[#This Row],[prop_id]]&lt;&gt;A390)</f>
        <v>1</v>
      </c>
      <c r="E391" s="78">
        <v>43005.582638888889</v>
      </c>
      <c r="F391" s="79" t="s">
        <v>524</v>
      </c>
      <c r="G391" s="79" t="s">
        <v>477</v>
      </c>
      <c r="H391" s="79" t="s">
        <v>582</v>
      </c>
      <c r="I391" s="77" t="s">
        <v>611</v>
      </c>
      <c r="J391" s="77" t="s">
        <v>1774</v>
      </c>
      <c r="K391" s="79" t="s">
        <v>1351</v>
      </c>
      <c r="L391" s="7" t="str">
        <f>IF(BudgetsTable[[#This Row],[pi_last_name]]=" ","",HYPERLINK("https://www.ejacket.nsf.gov/ej/showProposal.do?Continue=Y&amp;ID="&amp;BudgetsTable[[#This Row],[prop_id]],BudgetsTable[[#This Row],[prop_id]]))</f>
        <v>1763717</v>
      </c>
      <c r="M391" s="15" t="e">
        <f>IF(BudgetsTable[[#This Row],[pi_last_name]]=" ","",HYPERLINK("https://www.ejacket.nsf.gov/ej/processReviewAnalysis.do?dispatch=add&amp;uniqId="&amp;BudgetsTable[[#This Row],[prop_id]]&amp;PO_id,"&gt;ra"))</f>
        <v>#REF!</v>
      </c>
      <c r="N391" s="79" t="s">
        <v>1352</v>
      </c>
      <c r="O391" s="7" t="str">
        <f>IF(BudgetsTable[[#This Row],[pi_last_name]]=" ","",HYPERLINK("mailto:"&amp;BudgetsTable[[#This Row],[pi_email]]&amp;"&amp;subject=Your NSF Proposal:  "&amp;BudgetsTable[[#This Row],[prop_id]],BudgetsTable[[#This Row],[pi_email]]))</f>
        <v>qcheng@ou.edu</v>
      </c>
      <c r="P391" s="79" t="s">
        <v>1771</v>
      </c>
      <c r="Q391" s="79"/>
      <c r="R391" s="79"/>
      <c r="S391" s="80"/>
      <c r="T391" s="80"/>
      <c r="U391" s="80"/>
      <c r="V391" s="81"/>
      <c r="W391" s="79">
        <v>0</v>
      </c>
      <c r="X391" s="79"/>
      <c r="Y391" s="11" t="str">
        <f ca="1">IF(ISBLANK(BudgetsTable[[#This Row],[budg_seq_yr]]),"FY"&amp;fiscalyear,"FY"&amp;fiscalyear-1+BudgetsTable[[#This Row],[budg_seq_yr]])</f>
        <v>FY18</v>
      </c>
      <c r="Z391" s="80">
        <v>298823</v>
      </c>
      <c r="AA391" s="79" t="s">
        <v>477</v>
      </c>
      <c r="AB391" s="79" t="s">
        <v>582</v>
      </c>
      <c r="AC391" s="77" t="s">
        <v>94</v>
      </c>
      <c r="AD391" s="79" t="s">
        <v>1769</v>
      </c>
    </row>
    <row r="392" spans="1:30" x14ac:dyDescent="0.4">
      <c r="A392" s="10" t="s">
        <v>1351</v>
      </c>
      <c r="B392" s="77" t="s">
        <v>491</v>
      </c>
      <c r="C392" s="77">
        <f>C391+(BudgetsTable[[#This Row],[lead]]&lt;&gt;K391)</f>
        <v>79</v>
      </c>
      <c r="D392" s="77">
        <f>D391*(BudgetsTable[[#This Row],[lead]]=K391)+(BudgetsTable[[#This Row],[prop_id]]&lt;&gt;A391)</f>
        <v>1</v>
      </c>
      <c r="E392" s="78">
        <v>43005.582638888889</v>
      </c>
      <c r="F392" s="79" t="s">
        <v>524</v>
      </c>
      <c r="G392" s="79" t="s">
        <v>477</v>
      </c>
      <c r="H392" s="79" t="s">
        <v>582</v>
      </c>
      <c r="I392" s="77" t="s">
        <v>611</v>
      </c>
      <c r="J392" s="77" t="s">
        <v>13</v>
      </c>
      <c r="K392" s="79" t="s">
        <v>1351</v>
      </c>
      <c r="L392" s="7" t="str">
        <f>IF(BudgetsTable[[#This Row],[pi_last_name]]=" ","",HYPERLINK("https://www.ejacket.nsf.gov/ej/showProposal.do?Continue=Y&amp;ID="&amp;BudgetsTable[[#This Row],[prop_id]],BudgetsTable[[#This Row],[prop_id]]))</f>
        <v/>
      </c>
      <c r="M392" s="15" t="str">
        <f>IF(BudgetsTable[[#This Row],[pi_last_name]]=" ","",HYPERLINK("https://www.ejacket.nsf.gov/ej/processReviewAnalysis.do?dispatch=add&amp;uniqId="&amp;BudgetsTable[[#This Row],[prop_id]]&amp;PO_id,"&gt;ra"))</f>
        <v/>
      </c>
      <c r="N392" s="79" t="s">
        <v>13</v>
      </c>
      <c r="O392" s="7" t="str">
        <f>IF(BudgetsTable[[#This Row],[pi_last_name]]=" ","",HYPERLINK("mailto:"&amp;BudgetsTable[[#This Row],[pi_email]]&amp;"&amp;subject=Your NSF Proposal:  "&amp;BudgetsTable[[#This Row],[prop_id]],BudgetsTable[[#This Row],[pi_email]]))</f>
        <v/>
      </c>
      <c r="P392" s="79" t="s">
        <v>13</v>
      </c>
      <c r="Q392" s="79">
        <v>1</v>
      </c>
      <c r="R392" s="79">
        <v>1</v>
      </c>
      <c r="S392" s="80">
        <v>0</v>
      </c>
      <c r="T392" s="80">
        <v>0</v>
      </c>
      <c r="U392" s="80">
        <v>0</v>
      </c>
      <c r="V392" s="81">
        <v>97590</v>
      </c>
      <c r="W392" s="79">
        <v>0</v>
      </c>
      <c r="X392" s="79">
        <v>1</v>
      </c>
      <c r="Y392" s="11" t="str">
        <f ca="1">IF(ISBLANK(BudgetsTable[[#This Row],[budg_seq_yr]]),"FY"&amp;fiscalyear,"FY"&amp;fiscalyear-1+BudgetsTable[[#This Row],[budg_seq_yr]])</f>
        <v>FY18</v>
      </c>
      <c r="Z392" s="80">
        <v>97590</v>
      </c>
      <c r="AA392" s="79" t="s">
        <v>477</v>
      </c>
      <c r="AB392" s="79" t="s">
        <v>582</v>
      </c>
      <c r="AC392" s="77" t="s">
        <v>94</v>
      </c>
      <c r="AD392" s="79" t="s">
        <v>1769</v>
      </c>
    </row>
    <row r="393" spans="1:30" x14ac:dyDescent="0.4">
      <c r="A393" s="10" t="s">
        <v>1351</v>
      </c>
      <c r="B393" s="77" t="s">
        <v>491</v>
      </c>
      <c r="C393" s="77">
        <f>C392+(BudgetsTable[[#This Row],[lead]]&lt;&gt;K392)</f>
        <v>79</v>
      </c>
      <c r="D393" s="77">
        <f>D392*(BudgetsTable[[#This Row],[lead]]=K392)+(BudgetsTable[[#This Row],[prop_id]]&lt;&gt;A392)</f>
        <v>1</v>
      </c>
      <c r="E393" s="78">
        <v>43005.582638888889</v>
      </c>
      <c r="F393" s="79" t="s">
        <v>524</v>
      </c>
      <c r="G393" s="79" t="s">
        <v>477</v>
      </c>
      <c r="H393" s="79" t="s">
        <v>582</v>
      </c>
      <c r="I393" s="77" t="s">
        <v>611</v>
      </c>
      <c r="J393" s="77" t="s">
        <v>13</v>
      </c>
      <c r="K393" s="79" t="s">
        <v>1351</v>
      </c>
      <c r="L393" s="7" t="str">
        <f>IF(BudgetsTable[[#This Row],[pi_last_name]]=" ","",HYPERLINK("https://www.ejacket.nsf.gov/ej/showProposal.do?Continue=Y&amp;ID="&amp;BudgetsTable[[#This Row],[prop_id]],BudgetsTable[[#This Row],[prop_id]]))</f>
        <v/>
      </c>
      <c r="M393" s="15" t="str">
        <f>IF(BudgetsTable[[#This Row],[pi_last_name]]=" ","",HYPERLINK("https://www.ejacket.nsf.gov/ej/processReviewAnalysis.do?dispatch=add&amp;uniqId="&amp;BudgetsTable[[#This Row],[prop_id]]&amp;PO_id,"&gt;ra"))</f>
        <v/>
      </c>
      <c r="N393" s="79" t="s">
        <v>13</v>
      </c>
      <c r="O393" s="7" t="str">
        <f>IF(BudgetsTable[[#This Row],[pi_last_name]]=" ","",HYPERLINK("mailto:"&amp;BudgetsTable[[#This Row],[pi_email]]&amp;"&amp;subject=Your NSF Proposal:  "&amp;BudgetsTable[[#This Row],[prop_id]],BudgetsTable[[#This Row],[pi_email]]))</f>
        <v/>
      </c>
      <c r="P393" s="79" t="s">
        <v>13</v>
      </c>
      <c r="Q393" s="79">
        <v>1</v>
      </c>
      <c r="R393" s="79">
        <v>1</v>
      </c>
      <c r="S393" s="80">
        <v>0</v>
      </c>
      <c r="T393" s="80">
        <v>0</v>
      </c>
      <c r="U393" s="80">
        <v>0</v>
      </c>
      <c r="V393" s="81">
        <v>100099</v>
      </c>
      <c r="W393" s="79">
        <v>0</v>
      </c>
      <c r="X393" s="79">
        <v>2</v>
      </c>
      <c r="Y393" s="11" t="str">
        <f ca="1">IF(ISBLANK(BudgetsTable[[#This Row],[budg_seq_yr]]),"FY"&amp;fiscalyear,"FY"&amp;fiscalyear-1+BudgetsTable[[#This Row],[budg_seq_yr]])</f>
        <v>FY19</v>
      </c>
      <c r="Z393" s="80">
        <v>100099</v>
      </c>
      <c r="AA393" s="79" t="s">
        <v>477</v>
      </c>
      <c r="AB393" s="79" t="s">
        <v>582</v>
      </c>
      <c r="AC393" s="77" t="s">
        <v>94</v>
      </c>
      <c r="AD393" s="79" t="s">
        <v>1769</v>
      </c>
    </row>
    <row r="394" spans="1:30" x14ac:dyDescent="0.4">
      <c r="A394" s="10" t="s">
        <v>1351</v>
      </c>
      <c r="B394" s="77" t="s">
        <v>491</v>
      </c>
      <c r="C394" s="77">
        <f>C393+(BudgetsTable[[#This Row],[lead]]&lt;&gt;K393)</f>
        <v>79</v>
      </c>
      <c r="D394" s="77">
        <f>D393*(BudgetsTable[[#This Row],[lead]]=K393)+(BudgetsTable[[#This Row],[prop_id]]&lt;&gt;A393)</f>
        <v>1</v>
      </c>
      <c r="E394" s="78">
        <v>43005.582638888889</v>
      </c>
      <c r="F394" s="79" t="s">
        <v>524</v>
      </c>
      <c r="G394" s="79" t="s">
        <v>477</v>
      </c>
      <c r="H394" s="79" t="s">
        <v>582</v>
      </c>
      <c r="I394" s="77" t="s">
        <v>611</v>
      </c>
      <c r="J394" s="77" t="s">
        <v>13</v>
      </c>
      <c r="K394" s="79" t="s">
        <v>1351</v>
      </c>
      <c r="L394" s="7" t="str">
        <f>IF(BudgetsTable[[#This Row],[pi_last_name]]=" ","",HYPERLINK("https://www.ejacket.nsf.gov/ej/showProposal.do?Continue=Y&amp;ID="&amp;BudgetsTable[[#This Row],[prop_id]],BudgetsTable[[#This Row],[prop_id]]))</f>
        <v/>
      </c>
      <c r="M394" s="15" t="str">
        <f>IF(BudgetsTable[[#This Row],[pi_last_name]]=" ","",HYPERLINK("https://www.ejacket.nsf.gov/ej/processReviewAnalysis.do?dispatch=add&amp;uniqId="&amp;BudgetsTable[[#This Row],[prop_id]]&amp;PO_id,"&gt;ra"))</f>
        <v/>
      </c>
      <c r="N394" s="79" t="s">
        <v>13</v>
      </c>
      <c r="O394" s="7" t="str">
        <f>IF(BudgetsTable[[#This Row],[pi_last_name]]=" ","",HYPERLINK("mailto:"&amp;BudgetsTable[[#This Row],[pi_email]]&amp;"&amp;subject=Your NSF Proposal:  "&amp;BudgetsTable[[#This Row],[prop_id]],BudgetsTable[[#This Row],[pi_email]]))</f>
        <v/>
      </c>
      <c r="P394" s="79" t="s">
        <v>13</v>
      </c>
      <c r="Q394" s="79">
        <v>1</v>
      </c>
      <c r="R394" s="79">
        <v>1</v>
      </c>
      <c r="S394" s="80">
        <v>0</v>
      </c>
      <c r="T394" s="80">
        <v>0</v>
      </c>
      <c r="U394" s="80">
        <v>0</v>
      </c>
      <c r="V394" s="81">
        <v>101134</v>
      </c>
      <c r="W394" s="79">
        <v>0</v>
      </c>
      <c r="X394" s="79">
        <v>3</v>
      </c>
      <c r="Y394" s="11" t="str">
        <f ca="1">IF(ISBLANK(BudgetsTable[[#This Row],[budg_seq_yr]]),"FY"&amp;fiscalyear,"FY"&amp;fiscalyear-1+BudgetsTable[[#This Row],[budg_seq_yr]])</f>
        <v>FY20</v>
      </c>
      <c r="Z394" s="80">
        <v>101134</v>
      </c>
      <c r="AA394" s="79" t="s">
        <v>477</v>
      </c>
      <c r="AB394" s="79" t="s">
        <v>582</v>
      </c>
      <c r="AC394" s="77" t="s">
        <v>94</v>
      </c>
      <c r="AD394" s="79" t="s">
        <v>1769</v>
      </c>
    </row>
    <row r="395" spans="1:30" x14ac:dyDescent="0.4">
      <c r="A395" s="10" t="s">
        <v>1775</v>
      </c>
      <c r="B395" s="77" t="s">
        <v>493</v>
      </c>
      <c r="C395" s="77">
        <f>C394+(BudgetsTable[[#This Row],[lead]]&lt;&gt;K394)</f>
        <v>79</v>
      </c>
      <c r="D395" s="77">
        <f>D394*(BudgetsTable[[#This Row],[lead]]=K394)+(BudgetsTable[[#This Row],[prop_id]]&lt;&gt;A394)</f>
        <v>2</v>
      </c>
      <c r="E395" s="78">
        <v>43005.537499999999</v>
      </c>
      <c r="F395" s="79" t="s">
        <v>524</v>
      </c>
      <c r="G395" s="79" t="s">
        <v>477</v>
      </c>
      <c r="H395" s="79" t="s">
        <v>582</v>
      </c>
      <c r="I395" s="77" t="s">
        <v>611</v>
      </c>
      <c r="J395" s="77" t="s">
        <v>1778</v>
      </c>
      <c r="K395" s="79" t="s">
        <v>1351</v>
      </c>
      <c r="L395" s="7" t="str">
        <f>IF(BudgetsTable[[#This Row],[pi_last_name]]=" ","",HYPERLINK("https://www.ejacket.nsf.gov/ej/showProposal.do?Continue=Y&amp;ID="&amp;BudgetsTable[[#This Row],[prop_id]],BudgetsTable[[#This Row],[prop_id]]))</f>
        <v>1763635</v>
      </c>
      <c r="M395" s="15" t="e">
        <f>IF(BudgetsTable[[#This Row],[pi_last_name]]=" ","",HYPERLINK("https://www.ejacket.nsf.gov/ej/processReviewAnalysis.do?dispatch=add&amp;uniqId="&amp;BudgetsTable[[#This Row],[prop_id]]&amp;PO_id,"&gt;ra"))</f>
        <v>#REF!</v>
      </c>
      <c r="N395" s="79" t="s">
        <v>1776</v>
      </c>
      <c r="O395" s="7" t="str">
        <f>IF(BudgetsTable[[#This Row],[pi_last_name]]=" ","",HYPERLINK("mailto:"&amp;BudgetsTable[[#This Row],[pi_email]]&amp;"&amp;subject=Your NSF Proposal:  "&amp;BudgetsTable[[#This Row],[prop_id]],BudgetsTable[[#This Row],[pi_email]]))</f>
        <v>dwan@math.uci.edu</v>
      </c>
      <c r="P395" s="79" t="s">
        <v>1709</v>
      </c>
      <c r="Q395" s="79"/>
      <c r="R395" s="79"/>
      <c r="S395" s="80"/>
      <c r="T395" s="80"/>
      <c r="U395" s="80"/>
      <c r="V395" s="81"/>
      <c r="W395" s="79">
        <v>0</v>
      </c>
      <c r="X395" s="79"/>
      <c r="Y395" s="11" t="str">
        <f ca="1">IF(ISBLANK(BudgetsTable[[#This Row],[budg_seq_yr]]),"FY"&amp;fiscalyear,"FY"&amp;fiscalyear-1+BudgetsTable[[#This Row],[budg_seq_yr]])</f>
        <v>FY18</v>
      </c>
      <c r="Z395" s="80">
        <v>299950</v>
      </c>
      <c r="AA395" s="79" t="s">
        <v>477</v>
      </c>
      <c r="AB395" s="79" t="s">
        <v>582</v>
      </c>
      <c r="AC395" s="77" t="s">
        <v>94</v>
      </c>
      <c r="AD395" s="79" t="s">
        <v>1722</v>
      </c>
    </row>
    <row r="396" spans="1:30" x14ac:dyDescent="0.4">
      <c r="A396" s="10" t="s">
        <v>1775</v>
      </c>
      <c r="B396" s="77" t="s">
        <v>493</v>
      </c>
      <c r="C396" s="77">
        <f>C395+(BudgetsTable[[#This Row],[lead]]&lt;&gt;K395)</f>
        <v>79</v>
      </c>
      <c r="D396" s="77">
        <f>D395*(BudgetsTable[[#This Row],[lead]]=K395)+(BudgetsTable[[#This Row],[prop_id]]&lt;&gt;A395)</f>
        <v>2</v>
      </c>
      <c r="E396" s="78">
        <v>43005.537499999999</v>
      </c>
      <c r="F396" s="79" t="s">
        <v>524</v>
      </c>
      <c r="G396" s="79" t="s">
        <v>477</v>
      </c>
      <c r="H396" s="79" t="s">
        <v>582</v>
      </c>
      <c r="I396" s="77" t="s">
        <v>611</v>
      </c>
      <c r="J396" s="77" t="s">
        <v>13</v>
      </c>
      <c r="K396" s="79" t="s">
        <v>1351</v>
      </c>
      <c r="L396" s="7" t="str">
        <f>IF(BudgetsTable[[#This Row],[pi_last_name]]=" ","",HYPERLINK("https://www.ejacket.nsf.gov/ej/showProposal.do?Continue=Y&amp;ID="&amp;BudgetsTable[[#This Row],[prop_id]],BudgetsTable[[#This Row],[prop_id]]))</f>
        <v/>
      </c>
      <c r="M396" s="15" t="str">
        <f>IF(BudgetsTable[[#This Row],[pi_last_name]]=" ","",HYPERLINK("https://www.ejacket.nsf.gov/ej/processReviewAnalysis.do?dispatch=add&amp;uniqId="&amp;BudgetsTable[[#This Row],[prop_id]]&amp;PO_id,"&gt;ra"))</f>
        <v/>
      </c>
      <c r="N396" s="79" t="s">
        <v>13</v>
      </c>
      <c r="O396" s="7" t="str">
        <f>IF(BudgetsTable[[#This Row],[pi_last_name]]=" ","",HYPERLINK("mailto:"&amp;BudgetsTable[[#This Row],[pi_email]]&amp;"&amp;subject=Your NSF Proposal:  "&amp;BudgetsTable[[#This Row],[prop_id]],BudgetsTable[[#This Row],[pi_email]]))</f>
        <v/>
      </c>
      <c r="P396" s="79" t="s">
        <v>13</v>
      </c>
      <c r="Q396" s="79">
        <v>1</v>
      </c>
      <c r="R396" s="79">
        <v>1</v>
      </c>
      <c r="S396" s="80">
        <v>0</v>
      </c>
      <c r="T396" s="80">
        <v>5000</v>
      </c>
      <c r="U396" s="80">
        <v>0</v>
      </c>
      <c r="V396" s="81">
        <v>99405</v>
      </c>
      <c r="W396" s="79">
        <v>0</v>
      </c>
      <c r="X396" s="79">
        <v>1</v>
      </c>
      <c r="Y396" s="11" t="str">
        <f ca="1">IF(ISBLANK(BudgetsTable[[#This Row],[budg_seq_yr]]),"FY"&amp;fiscalyear,"FY"&amp;fiscalyear-1+BudgetsTable[[#This Row],[budg_seq_yr]])</f>
        <v>FY18</v>
      </c>
      <c r="Z396" s="80">
        <v>99405</v>
      </c>
      <c r="AA396" s="79" t="s">
        <v>477</v>
      </c>
      <c r="AB396" s="79" t="s">
        <v>582</v>
      </c>
      <c r="AC396" s="77" t="s">
        <v>94</v>
      </c>
      <c r="AD396" s="79" t="s">
        <v>1722</v>
      </c>
    </row>
    <row r="397" spans="1:30" x14ac:dyDescent="0.4">
      <c r="A397" s="10" t="s">
        <v>1775</v>
      </c>
      <c r="B397" s="77" t="s">
        <v>493</v>
      </c>
      <c r="C397" s="77">
        <f>C396+(BudgetsTable[[#This Row],[lead]]&lt;&gt;K396)</f>
        <v>79</v>
      </c>
      <c r="D397" s="77">
        <f>D396*(BudgetsTable[[#This Row],[lead]]=K396)+(BudgetsTable[[#This Row],[prop_id]]&lt;&gt;A396)</f>
        <v>2</v>
      </c>
      <c r="E397" s="78">
        <v>43005.537499999999</v>
      </c>
      <c r="F397" s="79" t="s">
        <v>524</v>
      </c>
      <c r="G397" s="79" t="s">
        <v>477</v>
      </c>
      <c r="H397" s="79" t="s">
        <v>582</v>
      </c>
      <c r="I397" s="77" t="s">
        <v>611</v>
      </c>
      <c r="J397" s="77" t="s">
        <v>13</v>
      </c>
      <c r="K397" s="79" t="s">
        <v>1351</v>
      </c>
      <c r="L397" s="7" t="str">
        <f>IF(BudgetsTable[[#This Row],[pi_last_name]]=" ","",HYPERLINK("https://www.ejacket.nsf.gov/ej/showProposal.do?Continue=Y&amp;ID="&amp;BudgetsTable[[#This Row],[prop_id]],BudgetsTable[[#This Row],[prop_id]]))</f>
        <v/>
      </c>
      <c r="M397" s="15" t="str">
        <f>IF(BudgetsTable[[#This Row],[pi_last_name]]=" ","",HYPERLINK("https://www.ejacket.nsf.gov/ej/processReviewAnalysis.do?dispatch=add&amp;uniqId="&amp;BudgetsTable[[#This Row],[prop_id]]&amp;PO_id,"&gt;ra"))</f>
        <v/>
      </c>
      <c r="N397" s="79" t="s">
        <v>13</v>
      </c>
      <c r="O397" s="7" t="str">
        <f>IF(BudgetsTable[[#This Row],[pi_last_name]]=" ","",HYPERLINK("mailto:"&amp;BudgetsTable[[#This Row],[pi_email]]&amp;"&amp;subject=Your NSF Proposal:  "&amp;BudgetsTable[[#This Row],[prop_id]],BudgetsTable[[#This Row],[pi_email]]))</f>
        <v/>
      </c>
      <c r="P397" s="79" t="s">
        <v>13</v>
      </c>
      <c r="Q397" s="79">
        <v>1</v>
      </c>
      <c r="R397" s="79">
        <v>1</v>
      </c>
      <c r="S397" s="80">
        <v>0</v>
      </c>
      <c r="T397" s="80">
        <v>5150</v>
      </c>
      <c r="U397" s="80">
        <v>0</v>
      </c>
      <c r="V397" s="81">
        <v>98870</v>
      </c>
      <c r="W397" s="79">
        <v>0</v>
      </c>
      <c r="X397" s="79">
        <v>2</v>
      </c>
      <c r="Y397" s="11" t="str">
        <f ca="1">IF(ISBLANK(BudgetsTable[[#This Row],[budg_seq_yr]]),"FY"&amp;fiscalyear,"FY"&amp;fiscalyear-1+BudgetsTable[[#This Row],[budg_seq_yr]])</f>
        <v>FY19</v>
      </c>
      <c r="Z397" s="80">
        <v>98870</v>
      </c>
      <c r="AA397" s="79" t="s">
        <v>477</v>
      </c>
      <c r="AB397" s="79" t="s">
        <v>582</v>
      </c>
      <c r="AC397" s="77" t="s">
        <v>94</v>
      </c>
      <c r="AD397" s="79" t="s">
        <v>1722</v>
      </c>
    </row>
    <row r="398" spans="1:30" x14ac:dyDescent="0.4">
      <c r="A398" s="10" t="s">
        <v>1775</v>
      </c>
      <c r="B398" s="77" t="s">
        <v>493</v>
      </c>
      <c r="C398" s="77">
        <f>C397+(BudgetsTable[[#This Row],[lead]]&lt;&gt;K397)</f>
        <v>79</v>
      </c>
      <c r="D398" s="77">
        <f>D397*(BudgetsTable[[#This Row],[lead]]=K397)+(BudgetsTable[[#This Row],[prop_id]]&lt;&gt;A397)</f>
        <v>2</v>
      </c>
      <c r="E398" s="78">
        <v>43005.537499999999</v>
      </c>
      <c r="F398" s="79" t="s">
        <v>524</v>
      </c>
      <c r="G398" s="79" t="s">
        <v>477</v>
      </c>
      <c r="H398" s="79" t="s">
        <v>582</v>
      </c>
      <c r="I398" s="77" t="s">
        <v>611</v>
      </c>
      <c r="J398" s="77" t="s">
        <v>13</v>
      </c>
      <c r="K398" s="79" t="s">
        <v>1351</v>
      </c>
      <c r="L398" s="7" t="str">
        <f>IF(BudgetsTable[[#This Row],[pi_last_name]]=" ","",HYPERLINK("https://www.ejacket.nsf.gov/ej/showProposal.do?Continue=Y&amp;ID="&amp;BudgetsTable[[#This Row],[prop_id]],BudgetsTable[[#This Row],[prop_id]]))</f>
        <v/>
      </c>
      <c r="M398" s="15" t="str">
        <f>IF(BudgetsTable[[#This Row],[pi_last_name]]=" ","",HYPERLINK("https://www.ejacket.nsf.gov/ej/processReviewAnalysis.do?dispatch=add&amp;uniqId="&amp;BudgetsTable[[#This Row],[prop_id]]&amp;PO_id,"&gt;ra"))</f>
        <v/>
      </c>
      <c r="N398" s="79" t="s">
        <v>13</v>
      </c>
      <c r="O398" s="7" t="str">
        <f>IF(BudgetsTable[[#This Row],[pi_last_name]]=" ","",HYPERLINK("mailto:"&amp;BudgetsTable[[#This Row],[pi_email]]&amp;"&amp;subject=Your NSF Proposal:  "&amp;BudgetsTable[[#This Row],[prop_id]],BudgetsTable[[#This Row],[pi_email]]))</f>
        <v/>
      </c>
      <c r="P398" s="79" t="s">
        <v>13</v>
      </c>
      <c r="Q398" s="79">
        <v>1</v>
      </c>
      <c r="R398" s="79">
        <v>1</v>
      </c>
      <c r="S398" s="80">
        <v>0</v>
      </c>
      <c r="T398" s="80">
        <v>5305</v>
      </c>
      <c r="U398" s="80">
        <v>0</v>
      </c>
      <c r="V398" s="81">
        <v>101675</v>
      </c>
      <c r="W398" s="79">
        <v>0</v>
      </c>
      <c r="X398" s="79">
        <v>3</v>
      </c>
      <c r="Y398" s="11" t="str">
        <f ca="1">IF(ISBLANK(BudgetsTable[[#This Row],[budg_seq_yr]]),"FY"&amp;fiscalyear,"FY"&amp;fiscalyear-1+BudgetsTable[[#This Row],[budg_seq_yr]])</f>
        <v>FY20</v>
      </c>
      <c r="Z398" s="80">
        <v>101675</v>
      </c>
      <c r="AA398" s="79" t="s">
        <v>477</v>
      </c>
      <c r="AB398" s="79" t="s">
        <v>582</v>
      </c>
      <c r="AC398" s="77" t="s">
        <v>94</v>
      </c>
      <c r="AD398" s="79" t="s">
        <v>1722</v>
      </c>
    </row>
    <row r="399" spans="1:30" x14ac:dyDescent="0.4">
      <c r="A399" s="10" t="s">
        <v>1779</v>
      </c>
      <c r="B399" s="77" t="s">
        <v>493</v>
      </c>
      <c r="C399" s="77">
        <f>C398+(BudgetsTable[[#This Row],[lead]]&lt;&gt;K398)</f>
        <v>79</v>
      </c>
      <c r="D399" s="77">
        <f>D398*(BudgetsTable[[#This Row],[lead]]=K398)+(BudgetsTable[[#This Row],[prop_id]]&lt;&gt;A398)</f>
        <v>3</v>
      </c>
      <c r="E399" s="78">
        <v>43005.547222222223</v>
      </c>
      <c r="F399" s="79" t="s">
        <v>524</v>
      </c>
      <c r="G399" s="79" t="s">
        <v>477</v>
      </c>
      <c r="H399" s="79" t="s">
        <v>582</v>
      </c>
      <c r="I399" s="77" t="s">
        <v>611</v>
      </c>
      <c r="J399" s="77" t="s">
        <v>1784</v>
      </c>
      <c r="K399" s="79" t="s">
        <v>1351</v>
      </c>
      <c r="L399" s="7" t="str">
        <f>IF(BudgetsTable[[#This Row],[pi_last_name]]=" ","",HYPERLINK("https://www.ejacket.nsf.gov/ej/showProposal.do?Continue=Y&amp;ID="&amp;BudgetsTable[[#This Row],[prop_id]],BudgetsTable[[#This Row],[prop_id]]))</f>
        <v>1763644</v>
      </c>
      <c r="M399" s="15" t="e">
        <f>IF(BudgetsTable[[#This Row],[pi_last_name]]=" ","",HYPERLINK("https://www.ejacket.nsf.gov/ej/processReviewAnalysis.do?dispatch=add&amp;uniqId="&amp;BudgetsTable[[#This Row],[prop_id]]&amp;PO_id,"&gt;ra"))</f>
        <v>#REF!</v>
      </c>
      <c r="N399" s="79" t="s">
        <v>1780</v>
      </c>
      <c r="O399" s="7" t="str">
        <f>IF(BudgetsTable[[#This Row],[pi_last_name]]=" ","",HYPERLINK("mailto:"&amp;BudgetsTable[[#This Row],[pi_email]]&amp;"&amp;subject=Your NSF Proposal:  "&amp;BudgetsTable[[#This Row],[prop_id]],BudgetsTable[[#This Row],[pi_email]]))</f>
        <v>sgao@clemson.edu</v>
      </c>
      <c r="P399" s="79" t="s">
        <v>1782</v>
      </c>
      <c r="Q399" s="79"/>
      <c r="R399" s="79"/>
      <c r="S399" s="80"/>
      <c r="T399" s="80"/>
      <c r="U399" s="80"/>
      <c r="V399" s="81"/>
      <c r="W399" s="79">
        <v>0</v>
      </c>
      <c r="X399" s="79"/>
      <c r="Y399" s="11" t="str">
        <f ca="1">IF(ISBLANK(BudgetsTable[[#This Row],[budg_seq_yr]]),"FY"&amp;fiscalyear,"FY"&amp;fiscalyear-1+BudgetsTable[[#This Row],[budg_seq_yr]])</f>
        <v>FY18</v>
      </c>
      <c r="Z399" s="80">
        <v>299918</v>
      </c>
      <c r="AA399" s="79" t="s">
        <v>477</v>
      </c>
      <c r="AB399" s="79" t="s">
        <v>582</v>
      </c>
      <c r="AC399" s="77" t="s">
        <v>94</v>
      </c>
      <c r="AD399" s="79" t="s">
        <v>1769</v>
      </c>
    </row>
    <row r="400" spans="1:30" x14ac:dyDescent="0.4">
      <c r="A400" s="10" t="s">
        <v>1779</v>
      </c>
      <c r="B400" s="77" t="s">
        <v>493</v>
      </c>
      <c r="C400" s="77">
        <f>C399+(BudgetsTable[[#This Row],[lead]]&lt;&gt;K399)</f>
        <v>79</v>
      </c>
      <c r="D400" s="77">
        <f>D399*(BudgetsTable[[#This Row],[lead]]=K399)+(BudgetsTable[[#This Row],[prop_id]]&lt;&gt;A399)</f>
        <v>3</v>
      </c>
      <c r="E400" s="78">
        <v>43005.547222222223</v>
      </c>
      <c r="F400" s="79" t="s">
        <v>524</v>
      </c>
      <c r="G400" s="79" t="s">
        <v>477</v>
      </c>
      <c r="H400" s="79" t="s">
        <v>582</v>
      </c>
      <c r="I400" s="77" t="s">
        <v>611</v>
      </c>
      <c r="J400" s="77" t="s">
        <v>13</v>
      </c>
      <c r="K400" s="79" t="s">
        <v>1351</v>
      </c>
      <c r="L400" s="7" t="str">
        <f>IF(BudgetsTable[[#This Row],[pi_last_name]]=" ","",HYPERLINK("https://www.ejacket.nsf.gov/ej/showProposal.do?Continue=Y&amp;ID="&amp;BudgetsTable[[#This Row],[prop_id]],BudgetsTable[[#This Row],[prop_id]]))</f>
        <v/>
      </c>
      <c r="M400" s="15" t="str">
        <f>IF(BudgetsTable[[#This Row],[pi_last_name]]=" ","",HYPERLINK("https://www.ejacket.nsf.gov/ej/processReviewAnalysis.do?dispatch=add&amp;uniqId="&amp;BudgetsTable[[#This Row],[prop_id]]&amp;PO_id,"&gt;ra"))</f>
        <v/>
      </c>
      <c r="N400" s="79" t="s">
        <v>13</v>
      </c>
      <c r="O400" s="7" t="str">
        <f>IF(BudgetsTable[[#This Row],[pi_last_name]]=" ","",HYPERLINK("mailto:"&amp;BudgetsTable[[#This Row],[pi_email]]&amp;"&amp;subject=Your NSF Proposal:  "&amp;BudgetsTable[[#This Row],[prop_id]],BudgetsTable[[#This Row],[pi_email]]))</f>
        <v/>
      </c>
      <c r="P400" s="79" t="s">
        <v>13</v>
      </c>
      <c r="Q400" s="79">
        <v>1</v>
      </c>
      <c r="R400" s="79">
        <v>1.1000000000000001</v>
      </c>
      <c r="S400" s="80">
        <v>0</v>
      </c>
      <c r="T400" s="80">
        <v>4500</v>
      </c>
      <c r="U400" s="80">
        <v>0</v>
      </c>
      <c r="V400" s="81">
        <v>98313</v>
      </c>
      <c r="W400" s="79">
        <v>0</v>
      </c>
      <c r="X400" s="79">
        <v>1</v>
      </c>
      <c r="Y400" s="11" t="str">
        <f ca="1">IF(ISBLANK(BudgetsTable[[#This Row],[budg_seq_yr]]),"FY"&amp;fiscalyear,"FY"&amp;fiscalyear-1+BudgetsTable[[#This Row],[budg_seq_yr]])</f>
        <v>FY18</v>
      </c>
      <c r="Z400" s="80">
        <v>98313</v>
      </c>
      <c r="AA400" s="79" t="s">
        <v>477</v>
      </c>
      <c r="AB400" s="79" t="s">
        <v>582</v>
      </c>
      <c r="AC400" s="77" t="s">
        <v>94</v>
      </c>
      <c r="AD400" s="79" t="s">
        <v>1769</v>
      </c>
    </row>
    <row r="401" spans="1:30" x14ac:dyDescent="0.4">
      <c r="A401" s="10" t="s">
        <v>1779</v>
      </c>
      <c r="B401" s="77" t="s">
        <v>493</v>
      </c>
      <c r="C401" s="77">
        <f>C400+(BudgetsTable[[#This Row],[lead]]&lt;&gt;K400)</f>
        <v>79</v>
      </c>
      <c r="D401" s="77">
        <f>D400*(BudgetsTable[[#This Row],[lead]]=K400)+(BudgetsTable[[#This Row],[prop_id]]&lt;&gt;A400)</f>
        <v>3</v>
      </c>
      <c r="E401" s="78">
        <v>43005.547222222223</v>
      </c>
      <c r="F401" s="79" t="s">
        <v>524</v>
      </c>
      <c r="G401" s="79" t="s">
        <v>477</v>
      </c>
      <c r="H401" s="79" t="s">
        <v>582</v>
      </c>
      <c r="I401" s="77" t="s">
        <v>611</v>
      </c>
      <c r="J401" s="77" t="s">
        <v>13</v>
      </c>
      <c r="K401" s="79" t="s">
        <v>1351</v>
      </c>
      <c r="L401" s="7" t="str">
        <f>IF(BudgetsTable[[#This Row],[pi_last_name]]=" ","",HYPERLINK("https://www.ejacket.nsf.gov/ej/showProposal.do?Continue=Y&amp;ID="&amp;BudgetsTable[[#This Row],[prop_id]],BudgetsTable[[#This Row],[prop_id]]))</f>
        <v/>
      </c>
      <c r="M401" s="15" t="str">
        <f>IF(BudgetsTable[[#This Row],[pi_last_name]]=" ","",HYPERLINK("https://www.ejacket.nsf.gov/ej/processReviewAnalysis.do?dispatch=add&amp;uniqId="&amp;BudgetsTable[[#This Row],[prop_id]]&amp;PO_id,"&gt;ra"))</f>
        <v/>
      </c>
      <c r="N401" s="79" t="s">
        <v>13</v>
      </c>
      <c r="O401" s="7" t="str">
        <f>IF(BudgetsTable[[#This Row],[pi_last_name]]=" ","",HYPERLINK("mailto:"&amp;BudgetsTable[[#This Row],[pi_email]]&amp;"&amp;subject=Your NSF Proposal:  "&amp;BudgetsTable[[#This Row],[prop_id]],BudgetsTable[[#This Row],[pi_email]]))</f>
        <v/>
      </c>
      <c r="P401" s="79" t="s">
        <v>13</v>
      </c>
      <c r="Q401" s="79">
        <v>1</v>
      </c>
      <c r="R401" s="79">
        <v>1.1000000000000001</v>
      </c>
      <c r="S401" s="80">
        <v>0</v>
      </c>
      <c r="T401" s="80">
        <v>4500</v>
      </c>
      <c r="U401" s="80">
        <v>0</v>
      </c>
      <c r="V401" s="81">
        <v>99952</v>
      </c>
      <c r="W401" s="79">
        <v>0</v>
      </c>
      <c r="X401" s="79">
        <v>2</v>
      </c>
      <c r="Y401" s="11" t="str">
        <f ca="1">IF(ISBLANK(BudgetsTable[[#This Row],[budg_seq_yr]]),"FY"&amp;fiscalyear,"FY"&amp;fiscalyear-1+BudgetsTable[[#This Row],[budg_seq_yr]])</f>
        <v>FY19</v>
      </c>
      <c r="Z401" s="80">
        <v>99952</v>
      </c>
      <c r="AA401" s="79" t="s">
        <v>477</v>
      </c>
      <c r="AB401" s="79" t="s">
        <v>582</v>
      </c>
      <c r="AC401" s="77" t="s">
        <v>94</v>
      </c>
      <c r="AD401" s="79" t="s">
        <v>1769</v>
      </c>
    </row>
    <row r="402" spans="1:30" x14ac:dyDescent="0.4">
      <c r="A402" s="10" t="s">
        <v>1779</v>
      </c>
      <c r="B402" s="77" t="s">
        <v>493</v>
      </c>
      <c r="C402" s="77">
        <f>C401+(BudgetsTable[[#This Row],[lead]]&lt;&gt;K401)</f>
        <v>79</v>
      </c>
      <c r="D402" s="77">
        <f>D401*(BudgetsTable[[#This Row],[lead]]=K401)+(BudgetsTable[[#This Row],[prop_id]]&lt;&gt;A401)</f>
        <v>3</v>
      </c>
      <c r="E402" s="78">
        <v>43005.547222222223</v>
      </c>
      <c r="F402" s="79" t="s">
        <v>524</v>
      </c>
      <c r="G402" s="79" t="s">
        <v>477</v>
      </c>
      <c r="H402" s="79" t="s">
        <v>582</v>
      </c>
      <c r="I402" s="77" t="s">
        <v>611</v>
      </c>
      <c r="J402" s="77" t="s">
        <v>13</v>
      </c>
      <c r="K402" s="79" t="s">
        <v>1351</v>
      </c>
      <c r="L402" s="7" t="str">
        <f>IF(BudgetsTable[[#This Row],[pi_last_name]]=" ","",HYPERLINK("https://www.ejacket.nsf.gov/ej/showProposal.do?Continue=Y&amp;ID="&amp;BudgetsTable[[#This Row],[prop_id]],BudgetsTable[[#This Row],[prop_id]]))</f>
        <v/>
      </c>
      <c r="M402" s="15" t="str">
        <f>IF(BudgetsTable[[#This Row],[pi_last_name]]=" ","",HYPERLINK("https://www.ejacket.nsf.gov/ej/processReviewAnalysis.do?dispatch=add&amp;uniqId="&amp;BudgetsTable[[#This Row],[prop_id]]&amp;PO_id,"&gt;ra"))</f>
        <v/>
      </c>
      <c r="N402" s="79" t="s">
        <v>13</v>
      </c>
      <c r="O402" s="7" t="str">
        <f>IF(BudgetsTable[[#This Row],[pi_last_name]]=" ","",HYPERLINK("mailto:"&amp;BudgetsTable[[#This Row],[pi_email]]&amp;"&amp;subject=Your NSF Proposal:  "&amp;BudgetsTable[[#This Row],[prop_id]],BudgetsTable[[#This Row],[pi_email]]))</f>
        <v/>
      </c>
      <c r="P402" s="79" t="s">
        <v>13</v>
      </c>
      <c r="Q402" s="79">
        <v>1</v>
      </c>
      <c r="R402" s="79">
        <v>1.1000000000000001</v>
      </c>
      <c r="S402" s="80">
        <v>0</v>
      </c>
      <c r="T402" s="80">
        <v>4500</v>
      </c>
      <c r="U402" s="80">
        <v>0</v>
      </c>
      <c r="V402" s="81">
        <v>101653</v>
      </c>
      <c r="W402" s="79">
        <v>0</v>
      </c>
      <c r="X402" s="79">
        <v>3</v>
      </c>
      <c r="Y402" s="11" t="str">
        <f ca="1">IF(ISBLANK(BudgetsTable[[#This Row],[budg_seq_yr]]),"FY"&amp;fiscalyear,"FY"&amp;fiscalyear-1+BudgetsTable[[#This Row],[budg_seq_yr]])</f>
        <v>FY20</v>
      </c>
      <c r="Z402" s="80">
        <v>101653</v>
      </c>
      <c r="AA402" s="79" t="s">
        <v>477</v>
      </c>
      <c r="AB402" s="79" t="s">
        <v>582</v>
      </c>
      <c r="AC402" s="77" t="s">
        <v>94</v>
      </c>
      <c r="AD402" s="79" t="s">
        <v>1769</v>
      </c>
    </row>
    <row r="403" spans="1:30" x14ac:dyDescent="0.4">
      <c r="A403" s="10" t="s">
        <v>1785</v>
      </c>
      <c r="B403" s="77" t="s">
        <v>493</v>
      </c>
      <c r="C403" s="77">
        <f>C402+(BudgetsTable[[#This Row],[lead]]&lt;&gt;K402)</f>
        <v>79</v>
      </c>
      <c r="D403" s="77">
        <f>D402*(BudgetsTable[[#This Row],[lead]]=K402)+(BudgetsTable[[#This Row],[prop_id]]&lt;&gt;A402)</f>
        <v>4</v>
      </c>
      <c r="E403" s="78">
        <v>43005.606249999997</v>
      </c>
      <c r="F403" s="79" t="s">
        <v>524</v>
      </c>
      <c r="G403" s="79" t="s">
        <v>477</v>
      </c>
      <c r="H403" s="79" t="s">
        <v>582</v>
      </c>
      <c r="I403" s="77" t="s">
        <v>611</v>
      </c>
      <c r="J403" s="77" t="s">
        <v>1789</v>
      </c>
      <c r="K403" s="79" t="s">
        <v>1351</v>
      </c>
      <c r="L403" s="7" t="str">
        <f>IF(BudgetsTable[[#This Row],[pi_last_name]]=" ","",HYPERLINK("https://www.ejacket.nsf.gov/ej/showProposal.do?Continue=Y&amp;ID="&amp;BudgetsTable[[#This Row],[prop_id]],BudgetsTable[[#This Row],[prop_id]]))</f>
        <v>1763774</v>
      </c>
      <c r="M403" s="15" t="e">
        <f>IF(BudgetsTable[[#This Row],[pi_last_name]]=" ","",HYPERLINK("https://www.ejacket.nsf.gov/ej/processReviewAnalysis.do?dispatch=add&amp;uniqId="&amp;BudgetsTable[[#This Row],[prop_id]]&amp;PO_id,"&gt;ra"))</f>
        <v>#REF!</v>
      </c>
      <c r="N403" s="79" t="s">
        <v>1786</v>
      </c>
      <c r="O403" s="7" t="str">
        <f>IF(BudgetsTable[[#This Row],[pi_last_name]]=" ","",HYPERLINK("mailto:"&amp;BudgetsTable[[#This Row],[pi_email]]&amp;"&amp;subject=Your NSF Proposal:  "&amp;BudgetsTable[[#This Row],[prop_id]],BudgetsTable[[#This Row],[pi_email]]))</f>
        <v>rojas@math.tamu.edu</v>
      </c>
      <c r="P403" s="79" t="s">
        <v>1788</v>
      </c>
      <c r="Q403" s="79"/>
      <c r="R403" s="79"/>
      <c r="S403" s="80"/>
      <c r="T403" s="80"/>
      <c r="U403" s="80"/>
      <c r="V403" s="81"/>
      <c r="W403" s="79">
        <v>0</v>
      </c>
      <c r="X403" s="79"/>
      <c r="Y403" s="11" t="str">
        <f ca="1">IF(ISBLANK(BudgetsTable[[#This Row],[budg_seq_yr]]),"FY"&amp;fiscalyear,"FY"&amp;fiscalyear-1+BudgetsTable[[#This Row],[budg_seq_yr]])</f>
        <v>FY18</v>
      </c>
      <c r="Z403" s="80">
        <v>300000</v>
      </c>
      <c r="AA403" s="79" t="s">
        <v>477</v>
      </c>
      <c r="AB403" s="79" t="s">
        <v>582</v>
      </c>
      <c r="AC403" s="77" t="s">
        <v>94</v>
      </c>
      <c r="AD403" s="79" t="s">
        <v>1722</v>
      </c>
    </row>
    <row r="404" spans="1:30" x14ac:dyDescent="0.4">
      <c r="A404" s="10" t="s">
        <v>1785</v>
      </c>
      <c r="B404" s="77" t="s">
        <v>493</v>
      </c>
      <c r="C404" s="77">
        <f>C403+(BudgetsTable[[#This Row],[lead]]&lt;&gt;K403)</f>
        <v>79</v>
      </c>
      <c r="D404" s="77">
        <f>D403*(BudgetsTable[[#This Row],[lead]]=K403)+(BudgetsTable[[#This Row],[prop_id]]&lt;&gt;A403)</f>
        <v>4</v>
      </c>
      <c r="E404" s="78">
        <v>43005.606249999997</v>
      </c>
      <c r="F404" s="79" t="s">
        <v>524</v>
      </c>
      <c r="G404" s="79" t="s">
        <v>477</v>
      </c>
      <c r="H404" s="79" t="s">
        <v>582</v>
      </c>
      <c r="I404" s="77" t="s">
        <v>611</v>
      </c>
      <c r="J404" s="77" t="s">
        <v>13</v>
      </c>
      <c r="K404" s="79" t="s">
        <v>1351</v>
      </c>
      <c r="L404" s="7" t="str">
        <f>IF(BudgetsTable[[#This Row],[pi_last_name]]=" ","",HYPERLINK("https://www.ejacket.nsf.gov/ej/showProposal.do?Continue=Y&amp;ID="&amp;BudgetsTable[[#This Row],[prop_id]],BudgetsTable[[#This Row],[prop_id]]))</f>
        <v/>
      </c>
      <c r="M404" s="15" t="str">
        <f>IF(BudgetsTable[[#This Row],[pi_last_name]]=" ","",HYPERLINK("https://www.ejacket.nsf.gov/ej/processReviewAnalysis.do?dispatch=add&amp;uniqId="&amp;BudgetsTable[[#This Row],[prop_id]]&amp;PO_id,"&gt;ra"))</f>
        <v/>
      </c>
      <c r="N404" s="79" t="s">
        <v>13</v>
      </c>
      <c r="O404" s="7" t="str">
        <f>IF(BudgetsTable[[#This Row],[pi_last_name]]=" ","",HYPERLINK("mailto:"&amp;BudgetsTable[[#This Row],[pi_email]]&amp;"&amp;subject=Your NSF Proposal:  "&amp;BudgetsTable[[#This Row],[prop_id]],BudgetsTable[[#This Row],[pi_email]]))</f>
        <v/>
      </c>
      <c r="P404" s="79" t="s">
        <v>13</v>
      </c>
      <c r="Q404" s="79">
        <v>1</v>
      </c>
      <c r="R404" s="79">
        <v>0</v>
      </c>
      <c r="S404" s="80">
        <v>0</v>
      </c>
      <c r="T404" s="80">
        <v>0</v>
      </c>
      <c r="U404" s="80">
        <v>0</v>
      </c>
      <c r="V404" s="81">
        <v>97138</v>
      </c>
      <c r="W404" s="79">
        <v>0</v>
      </c>
      <c r="X404" s="79">
        <v>1</v>
      </c>
      <c r="Y404" s="11" t="str">
        <f ca="1">IF(ISBLANK(BudgetsTable[[#This Row],[budg_seq_yr]]),"FY"&amp;fiscalyear,"FY"&amp;fiscalyear-1+BudgetsTable[[#This Row],[budg_seq_yr]])</f>
        <v>FY18</v>
      </c>
      <c r="Z404" s="80">
        <v>97138</v>
      </c>
      <c r="AA404" s="79" t="s">
        <v>477</v>
      </c>
      <c r="AB404" s="79" t="s">
        <v>582</v>
      </c>
      <c r="AC404" s="77" t="s">
        <v>94</v>
      </c>
      <c r="AD404" s="79" t="s">
        <v>1722</v>
      </c>
    </row>
    <row r="405" spans="1:30" x14ac:dyDescent="0.4">
      <c r="A405" s="10" t="s">
        <v>1785</v>
      </c>
      <c r="B405" s="77" t="s">
        <v>493</v>
      </c>
      <c r="C405" s="77">
        <f>C404+(BudgetsTable[[#This Row],[lead]]&lt;&gt;K404)</f>
        <v>79</v>
      </c>
      <c r="D405" s="77">
        <f>D404*(BudgetsTable[[#This Row],[lead]]=K404)+(BudgetsTable[[#This Row],[prop_id]]&lt;&gt;A404)</f>
        <v>4</v>
      </c>
      <c r="E405" s="78">
        <v>43005.606249999997</v>
      </c>
      <c r="F405" s="79" t="s">
        <v>524</v>
      </c>
      <c r="G405" s="79" t="s">
        <v>477</v>
      </c>
      <c r="H405" s="79" t="s">
        <v>582</v>
      </c>
      <c r="I405" s="77" t="s">
        <v>611</v>
      </c>
      <c r="J405" s="77" t="s">
        <v>13</v>
      </c>
      <c r="K405" s="79" t="s">
        <v>1351</v>
      </c>
      <c r="L405" s="7" t="str">
        <f>IF(BudgetsTable[[#This Row],[pi_last_name]]=" ","",HYPERLINK("https://www.ejacket.nsf.gov/ej/showProposal.do?Continue=Y&amp;ID="&amp;BudgetsTable[[#This Row],[prop_id]],BudgetsTable[[#This Row],[prop_id]]))</f>
        <v/>
      </c>
      <c r="M405" s="15" t="str">
        <f>IF(BudgetsTable[[#This Row],[pi_last_name]]=" ","",HYPERLINK("https://www.ejacket.nsf.gov/ej/processReviewAnalysis.do?dispatch=add&amp;uniqId="&amp;BudgetsTable[[#This Row],[prop_id]]&amp;PO_id,"&gt;ra"))</f>
        <v/>
      </c>
      <c r="N405" s="79" t="s">
        <v>13</v>
      </c>
      <c r="O405" s="7" t="str">
        <f>IF(BudgetsTable[[#This Row],[pi_last_name]]=" ","",HYPERLINK("mailto:"&amp;BudgetsTable[[#This Row],[pi_email]]&amp;"&amp;subject=Your NSF Proposal:  "&amp;BudgetsTable[[#This Row],[prop_id]],BudgetsTable[[#This Row],[pi_email]]))</f>
        <v/>
      </c>
      <c r="P405" s="79" t="s">
        <v>13</v>
      </c>
      <c r="Q405" s="79">
        <v>1</v>
      </c>
      <c r="R405" s="79">
        <v>0</v>
      </c>
      <c r="S405" s="80">
        <v>0</v>
      </c>
      <c r="T405" s="80">
        <v>0</v>
      </c>
      <c r="U405" s="80">
        <v>0</v>
      </c>
      <c r="V405" s="81">
        <v>99968</v>
      </c>
      <c r="W405" s="79">
        <v>0</v>
      </c>
      <c r="X405" s="79">
        <v>2</v>
      </c>
      <c r="Y405" s="11" t="str">
        <f ca="1">IF(ISBLANK(BudgetsTable[[#This Row],[budg_seq_yr]]),"FY"&amp;fiscalyear,"FY"&amp;fiscalyear-1+BudgetsTable[[#This Row],[budg_seq_yr]])</f>
        <v>FY19</v>
      </c>
      <c r="Z405" s="80">
        <v>99968</v>
      </c>
      <c r="AA405" s="79" t="s">
        <v>477</v>
      </c>
      <c r="AB405" s="79" t="s">
        <v>582</v>
      </c>
      <c r="AC405" s="77" t="s">
        <v>94</v>
      </c>
      <c r="AD405" s="79" t="s">
        <v>1722</v>
      </c>
    </row>
    <row r="406" spans="1:30" x14ac:dyDescent="0.4">
      <c r="A406" s="10" t="s">
        <v>1785</v>
      </c>
      <c r="B406" s="77" t="s">
        <v>493</v>
      </c>
      <c r="C406" s="77">
        <f>C405+(BudgetsTable[[#This Row],[lead]]&lt;&gt;K405)</f>
        <v>79</v>
      </c>
      <c r="D406" s="77">
        <f>D405*(BudgetsTable[[#This Row],[lead]]=K405)+(BudgetsTable[[#This Row],[prop_id]]&lt;&gt;A405)</f>
        <v>4</v>
      </c>
      <c r="E406" s="78">
        <v>43005.606249999997</v>
      </c>
      <c r="F406" s="79" t="s">
        <v>524</v>
      </c>
      <c r="G406" s="79" t="s">
        <v>477</v>
      </c>
      <c r="H406" s="79" t="s">
        <v>582</v>
      </c>
      <c r="I406" s="77" t="s">
        <v>611</v>
      </c>
      <c r="J406" s="77" t="s">
        <v>13</v>
      </c>
      <c r="K406" s="79" t="s">
        <v>1351</v>
      </c>
      <c r="L406" s="7" t="str">
        <f>IF(BudgetsTable[[#This Row],[pi_last_name]]=" ","",HYPERLINK("https://www.ejacket.nsf.gov/ej/showProposal.do?Continue=Y&amp;ID="&amp;BudgetsTable[[#This Row],[prop_id]],BudgetsTable[[#This Row],[prop_id]]))</f>
        <v/>
      </c>
      <c r="M406" s="15" t="str">
        <f>IF(BudgetsTable[[#This Row],[pi_last_name]]=" ","",HYPERLINK("https://www.ejacket.nsf.gov/ej/processReviewAnalysis.do?dispatch=add&amp;uniqId="&amp;BudgetsTable[[#This Row],[prop_id]]&amp;PO_id,"&gt;ra"))</f>
        <v/>
      </c>
      <c r="N406" s="79" t="s">
        <v>13</v>
      </c>
      <c r="O406" s="7" t="str">
        <f>IF(BudgetsTable[[#This Row],[pi_last_name]]=" ","",HYPERLINK("mailto:"&amp;BudgetsTable[[#This Row],[pi_email]]&amp;"&amp;subject=Your NSF Proposal:  "&amp;BudgetsTable[[#This Row],[prop_id]],BudgetsTable[[#This Row],[pi_email]]))</f>
        <v/>
      </c>
      <c r="P406" s="79" t="s">
        <v>13</v>
      </c>
      <c r="Q406" s="79">
        <v>1</v>
      </c>
      <c r="R406" s="79">
        <v>0</v>
      </c>
      <c r="S406" s="80">
        <v>0</v>
      </c>
      <c r="T406" s="80">
        <v>0</v>
      </c>
      <c r="U406" s="80">
        <v>0</v>
      </c>
      <c r="V406" s="81">
        <v>102894</v>
      </c>
      <c r="W406" s="79">
        <v>0</v>
      </c>
      <c r="X406" s="79">
        <v>3</v>
      </c>
      <c r="Y406" s="11" t="str">
        <f ca="1">IF(ISBLANK(BudgetsTable[[#This Row],[budg_seq_yr]]),"FY"&amp;fiscalyear,"FY"&amp;fiscalyear-1+BudgetsTable[[#This Row],[budg_seq_yr]])</f>
        <v>FY20</v>
      </c>
      <c r="Z406" s="80">
        <v>102894</v>
      </c>
      <c r="AA406" s="79" t="s">
        <v>477</v>
      </c>
      <c r="AB406" s="79" t="s">
        <v>582</v>
      </c>
      <c r="AC406" s="77" t="s">
        <v>94</v>
      </c>
      <c r="AD406" s="79" t="s">
        <v>1722</v>
      </c>
    </row>
    <row r="407" spans="1:30" x14ac:dyDescent="0.4">
      <c r="A407" s="10" t="s">
        <v>1360</v>
      </c>
      <c r="B407" s="77" t="s">
        <v>491</v>
      </c>
      <c r="C407" s="77">
        <f>C406+(BudgetsTable[[#This Row],[lead]]&lt;&gt;K406)</f>
        <v>80</v>
      </c>
      <c r="D407" s="77">
        <f>D406*(BudgetsTable[[#This Row],[lead]]=K406)+(BudgetsTable[[#This Row],[prop_id]]&lt;&gt;A406)</f>
        <v>1</v>
      </c>
      <c r="E407" s="78">
        <v>43005.590277777781</v>
      </c>
      <c r="F407" s="79" t="s">
        <v>524</v>
      </c>
      <c r="G407" s="79" t="s">
        <v>477</v>
      </c>
      <c r="H407" s="79" t="s">
        <v>582</v>
      </c>
      <c r="I407" s="77" t="s">
        <v>611</v>
      </c>
      <c r="J407" s="77" t="s">
        <v>1792</v>
      </c>
      <c r="K407" s="79" t="s">
        <v>1360</v>
      </c>
      <c r="L407" s="7" t="str">
        <f>IF(BudgetsTable[[#This Row],[pi_last_name]]=" ","",HYPERLINK("https://www.ejacket.nsf.gov/ej/showProposal.do?Continue=Y&amp;ID="&amp;BudgetsTable[[#This Row],[prop_id]],BudgetsTable[[#This Row],[prop_id]]))</f>
        <v>1763733</v>
      </c>
      <c r="M407" s="15" t="e">
        <f>IF(BudgetsTable[[#This Row],[pi_last_name]]=" ","",HYPERLINK("https://www.ejacket.nsf.gov/ej/processReviewAnalysis.do?dispatch=add&amp;uniqId="&amp;BudgetsTable[[#This Row],[prop_id]]&amp;PO_id,"&gt;ra"))</f>
        <v>#REF!</v>
      </c>
      <c r="N407" s="79" t="s">
        <v>1361</v>
      </c>
      <c r="O407" s="7" t="str">
        <f>IF(BudgetsTable[[#This Row],[pi_last_name]]=" ","",HYPERLINK("mailto:"&amp;BudgetsTable[[#This Row],[pi_email]]&amp;"&amp;subject=Your NSF Proposal:  "&amp;BudgetsTable[[#This Row],[prop_id]],BudgetsTable[[#This Row],[pi_email]]))</f>
        <v>dgleich@purdue.edu</v>
      </c>
      <c r="P407" s="79" t="s">
        <v>495</v>
      </c>
      <c r="Q407" s="79"/>
      <c r="R407" s="79"/>
      <c r="S407" s="80"/>
      <c r="T407" s="80"/>
      <c r="U407" s="80"/>
      <c r="V407" s="81"/>
      <c r="W407" s="79">
        <v>0</v>
      </c>
      <c r="X407" s="79"/>
      <c r="Y407" s="11" t="str">
        <f ca="1">IF(ISBLANK(BudgetsTable[[#This Row],[budg_seq_yr]]),"FY"&amp;fiscalyear,"FY"&amp;fiscalyear-1+BudgetsTable[[#This Row],[budg_seq_yr]])</f>
        <v>FY18</v>
      </c>
      <c r="Z407" s="80">
        <v>508040</v>
      </c>
      <c r="AA407" s="79" t="s">
        <v>477</v>
      </c>
      <c r="AB407" s="79" t="s">
        <v>582</v>
      </c>
      <c r="AC407" s="77" t="s">
        <v>94</v>
      </c>
      <c r="AD407" s="79" t="s">
        <v>1790</v>
      </c>
    </row>
    <row r="408" spans="1:30" x14ac:dyDescent="0.4">
      <c r="A408" s="10" t="s">
        <v>1360</v>
      </c>
      <c r="B408" s="77" t="s">
        <v>491</v>
      </c>
      <c r="C408" s="77">
        <f>C407+(BudgetsTable[[#This Row],[lead]]&lt;&gt;K407)</f>
        <v>80</v>
      </c>
      <c r="D408" s="77">
        <f>D407*(BudgetsTable[[#This Row],[lead]]=K407)+(BudgetsTable[[#This Row],[prop_id]]&lt;&gt;A407)</f>
        <v>1</v>
      </c>
      <c r="E408" s="78">
        <v>43005.590277777781</v>
      </c>
      <c r="F408" s="79" t="s">
        <v>524</v>
      </c>
      <c r="G408" s="79" t="s">
        <v>477</v>
      </c>
      <c r="H408" s="79" t="s">
        <v>582</v>
      </c>
      <c r="I408" s="77" t="s">
        <v>611</v>
      </c>
      <c r="J408" s="77" t="s">
        <v>13</v>
      </c>
      <c r="K408" s="79" t="s">
        <v>1360</v>
      </c>
      <c r="L408" s="7" t="str">
        <f>IF(BudgetsTable[[#This Row],[pi_last_name]]=" ","",HYPERLINK("https://www.ejacket.nsf.gov/ej/showProposal.do?Continue=Y&amp;ID="&amp;BudgetsTable[[#This Row],[prop_id]],BudgetsTable[[#This Row],[prop_id]]))</f>
        <v/>
      </c>
      <c r="M408" s="15" t="str">
        <f>IF(BudgetsTable[[#This Row],[pi_last_name]]=" ","",HYPERLINK("https://www.ejacket.nsf.gov/ej/processReviewAnalysis.do?dispatch=add&amp;uniqId="&amp;BudgetsTable[[#This Row],[prop_id]]&amp;PO_id,"&gt;ra"))</f>
        <v/>
      </c>
      <c r="N408" s="79" t="s">
        <v>13</v>
      </c>
      <c r="O408" s="7" t="str">
        <f>IF(BudgetsTable[[#This Row],[pi_last_name]]=" ","",HYPERLINK("mailto:"&amp;BudgetsTable[[#This Row],[pi_email]]&amp;"&amp;subject=Your NSF Proposal:  "&amp;BudgetsTable[[#This Row],[prop_id]],BudgetsTable[[#This Row],[pi_email]]))</f>
        <v/>
      </c>
      <c r="P408" s="79" t="s">
        <v>13</v>
      </c>
      <c r="Q408" s="79">
        <v>1</v>
      </c>
      <c r="R408" s="79">
        <v>1</v>
      </c>
      <c r="S408" s="80">
        <v>0</v>
      </c>
      <c r="T408" s="80">
        <v>5000</v>
      </c>
      <c r="U408" s="80">
        <v>0</v>
      </c>
      <c r="V408" s="81">
        <v>131114</v>
      </c>
      <c r="W408" s="79">
        <v>0</v>
      </c>
      <c r="X408" s="79">
        <v>1</v>
      </c>
      <c r="Y408" s="11" t="str">
        <f ca="1">IF(ISBLANK(BudgetsTable[[#This Row],[budg_seq_yr]]),"FY"&amp;fiscalyear,"FY"&amp;fiscalyear-1+BudgetsTable[[#This Row],[budg_seq_yr]])</f>
        <v>FY18</v>
      </c>
      <c r="Z408" s="80">
        <v>131114</v>
      </c>
      <c r="AA408" s="79" t="s">
        <v>477</v>
      </c>
      <c r="AB408" s="79" t="s">
        <v>582</v>
      </c>
      <c r="AC408" s="77" t="s">
        <v>94</v>
      </c>
      <c r="AD408" s="79" t="s">
        <v>1790</v>
      </c>
    </row>
    <row r="409" spans="1:30" x14ac:dyDescent="0.4">
      <c r="A409" s="10" t="s">
        <v>1360</v>
      </c>
      <c r="B409" s="77" t="s">
        <v>491</v>
      </c>
      <c r="C409" s="77">
        <f>C408+(BudgetsTable[[#This Row],[lead]]&lt;&gt;K408)</f>
        <v>80</v>
      </c>
      <c r="D409" s="77">
        <f>D408*(BudgetsTable[[#This Row],[lead]]=K408)+(BudgetsTable[[#This Row],[prop_id]]&lt;&gt;A408)</f>
        <v>1</v>
      </c>
      <c r="E409" s="78">
        <v>43005.590277777781</v>
      </c>
      <c r="F409" s="79" t="s">
        <v>524</v>
      </c>
      <c r="G409" s="79" t="s">
        <v>477</v>
      </c>
      <c r="H409" s="79" t="s">
        <v>582</v>
      </c>
      <c r="I409" s="77" t="s">
        <v>611</v>
      </c>
      <c r="J409" s="77" t="s">
        <v>13</v>
      </c>
      <c r="K409" s="79" t="s">
        <v>1360</v>
      </c>
      <c r="L409" s="7" t="str">
        <f>IF(BudgetsTable[[#This Row],[pi_last_name]]=" ","",HYPERLINK("https://www.ejacket.nsf.gov/ej/showProposal.do?Continue=Y&amp;ID="&amp;BudgetsTable[[#This Row],[prop_id]],BudgetsTable[[#This Row],[prop_id]]))</f>
        <v/>
      </c>
      <c r="M409" s="15" t="str">
        <f>IF(BudgetsTable[[#This Row],[pi_last_name]]=" ","",HYPERLINK("https://www.ejacket.nsf.gov/ej/processReviewAnalysis.do?dispatch=add&amp;uniqId="&amp;BudgetsTable[[#This Row],[prop_id]]&amp;PO_id,"&gt;ra"))</f>
        <v/>
      </c>
      <c r="N409" s="79" t="s">
        <v>13</v>
      </c>
      <c r="O409" s="7" t="str">
        <f>IF(BudgetsTable[[#This Row],[pi_last_name]]=" ","",HYPERLINK("mailto:"&amp;BudgetsTable[[#This Row],[pi_email]]&amp;"&amp;subject=Your NSF Proposal:  "&amp;BudgetsTable[[#This Row],[prop_id]],BudgetsTable[[#This Row],[pi_email]]))</f>
        <v/>
      </c>
      <c r="P409" s="79" t="s">
        <v>13</v>
      </c>
      <c r="Q409" s="79">
        <v>1</v>
      </c>
      <c r="R409" s="79">
        <v>1</v>
      </c>
      <c r="S409" s="80">
        <v>0</v>
      </c>
      <c r="T409" s="80">
        <v>5000</v>
      </c>
      <c r="U409" s="80">
        <v>0</v>
      </c>
      <c r="V409" s="81">
        <v>123341</v>
      </c>
      <c r="W409" s="79">
        <v>0</v>
      </c>
      <c r="X409" s="79">
        <v>2</v>
      </c>
      <c r="Y409" s="11" t="str">
        <f ca="1">IF(ISBLANK(BudgetsTable[[#This Row],[budg_seq_yr]]),"FY"&amp;fiscalyear,"FY"&amp;fiscalyear-1+BudgetsTable[[#This Row],[budg_seq_yr]])</f>
        <v>FY19</v>
      </c>
      <c r="Z409" s="80">
        <v>123341</v>
      </c>
      <c r="AA409" s="79" t="s">
        <v>477</v>
      </c>
      <c r="AB409" s="79" t="s">
        <v>582</v>
      </c>
      <c r="AC409" s="77" t="s">
        <v>94</v>
      </c>
      <c r="AD409" s="79" t="s">
        <v>1790</v>
      </c>
    </row>
    <row r="410" spans="1:30" x14ac:dyDescent="0.4">
      <c r="A410" s="10" t="s">
        <v>1360</v>
      </c>
      <c r="B410" s="77" t="s">
        <v>491</v>
      </c>
      <c r="C410" s="77">
        <f>C409+(BudgetsTable[[#This Row],[lead]]&lt;&gt;K409)</f>
        <v>80</v>
      </c>
      <c r="D410" s="77">
        <f>D409*(BudgetsTable[[#This Row],[lead]]=K409)+(BudgetsTable[[#This Row],[prop_id]]&lt;&gt;A409)</f>
        <v>1</v>
      </c>
      <c r="E410" s="78">
        <v>43005.590277777781</v>
      </c>
      <c r="F410" s="79" t="s">
        <v>524</v>
      </c>
      <c r="G410" s="79" t="s">
        <v>477</v>
      </c>
      <c r="H410" s="79" t="s">
        <v>582</v>
      </c>
      <c r="I410" s="77" t="s">
        <v>611</v>
      </c>
      <c r="J410" s="77" t="s">
        <v>13</v>
      </c>
      <c r="K410" s="79" t="s">
        <v>1360</v>
      </c>
      <c r="L410" s="7" t="str">
        <f>IF(BudgetsTable[[#This Row],[pi_last_name]]=" ","",HYPERLINK("https://www.ejacket.nsf.gov/ej/showProposal.do?Continue=Y&amp;ID="&amp;BudgetsTable[[#This Row],[prop_id]],BudgetsTable[[#This Row],[prop_id]]))</f>
        <v/>
      </c>
      <c r="M410" s="15" t="str">
        <f>IF(BudgetsTable[[#This Row],[pi_last_name]]=" ","",HYPERLINK("https://www.ejacket.nsf.gov/ej/processReviewAnalysis.do?dispatch=add&amp;uniqId="&amp;BudgetsTable[[#This Row],[prop_id]]&amp;PO_id,"&gt;ra"))</f>
        <v/>
      </c>
      <c r="N410" s="79" t="s">
        <v>13</v>
      </c>
      <c r="O410" s="7" t="str">
        <f>IF(BudgetsTable[[#This Row],[pi_last_name]]=" ","",HYPERLINK("mailto:"&amp;BudgetsTable[[#This Row],[pi_email]]&amp;"&amp;subject=Your NSF Proposal:  "&amp;BudgetsTable[[#This Row],[prop_id]],BudgetsTable[[#This Row],[pi_email]]))</f>
        <v/>
      </c>
      <c r="P410" s="79" t="s">
        <v>13</v>
      </c>
      <c r="Q410" s="79">
        <v>1</v>
      </c>
      <c r="R410" s="79">
        <v>1</v>
      </c>
      <c r="S410" s="80">
        <v>0</v>
      </c>
      <c r="T410" s="80">
        <v>5000</v>
      </c>
      <c r="U410" s="80">
        <v>0</v>
      </c>
      <c r="V410" s="81">
        <v>125623</v>
      </c>
      <c r="W410" s="79">
        <v>0</v>
      </c>
      <c r="X410" s="79">
        <v>3</v>
      </c>
      <c r="Y410" s="11" t="str">
        <f ca="1">IF(ISBLANK(BudgetsTable[[#This Row],[budg_seq_yr]]),"FY"&amp;fiscalyear,"FY"&amp;fiscalyear-1+BudgetsTable[[#This Row],[budg_seq_yr]])</f>
        <v>FY20</v>
      </c>
      <c r="Z410" s="80">
        <v>125623</v>
      </c>
      <c r="AA410" s="79" t="s">
        <v>477</v>
      </c>
      <c r="AB410" s="79" t="s">
        <v>582</v>
      </c>
      <c r="AC410" s="77" t="s">
        <v>94</v>
      </c>
      <c r="AD410" s="79" t="s">
        <v>1790</v>
      </c>
    </row>
    <row r="411" spans="1:30" x14ac:dyDescent="0.4">
      <c r="A411" s="10" t="s">
        <v>1360</v>
      </c>
      <c r="B411" s="77" t="s">
        <v>491</v>
      </c>
      <c r="C411" s="77">
        <f>C410+(BudgetsTable[[#This Row],[lead]]&lt;&gt;K410)</f>
        <v>80</v>
      </c>
      <c r="D411" s="77">
        <f>D410*(BudgetsTable[[#This Row],[lead]]=K410)+(BudgetsTable[[#This Row],[prop_id]]&lt;&gt;A410)</f>
        <v>1</v>
      </c>
      <c r="E411" s="78">
        <v>43005.590277777781</v>
      </c>
      <c r="F411" s="79" t="s">
        <v>524</v>
      </c>
      <c r="G411" s="79" t="s">
        <v>477</v>
      </c>
      <c r="H411" s="79" t="s">
        <v>582</v>
      </c>
      <c r="I411" s="77" t="s">
        <v>611</v>
      </c>
      <c r="J411" s="77" t="s">
        <v>13</v>
      </c>
      <c r="K411" s="79" t="s">
        <v>1360</v>
      </c>
      <c r="L411" s="7" t="str">
        <f>IF(BudgetsTable[[#This Row],[pi_last_name]]=" ","",HYPERLINK("https://www.ejacket.nsf.gov/ej/showProposal.do?Continue=Y&amp;ID="&amp;BudgetsTable[[#This Row],[prop_id]],BudgetsTable[[#This Row],[prop_id]]))</f>
        <v/>
      </c>
      <c r="M411" s="15" t="str">
        <f>IF(BudgetsTable[[#This Row],[pi_last_name]]=" ","",HYPERLINK("https://www.ejacket.nsf.gov/ej/processReviewAnalysis.do?dispatch=add&amp;uniqId="&amp;BudgetsTable[[#This Row],[prop_id]]&amp;PO_id,"&gt;ra"))</f>
        <v/>
      </c>
      <c r="N411" s="79" t="s">
        <v>13</v>
      </c>
      <c r="O411" s="7" t="str">
        <f>IF(BudgetsTable[[#This Row],[pi_last_name]]=" ","",HYPERLINK("mailto:"&amp;BudgetsTable[[#This Row],[pi_email]]&amp;"&amp;subject=Your NSF Proposal:  "&amp;BudgetsTable[[#This Row],[prop_id]],BudgetsTable[[#This Row],[pi_email]]))</f>
        <v/>
      </c>
      <c r="P411" s="79" t="s">
        <v>13</v>
      </c>
      <c r="Q411" s="79">
        <v>1</v>
      </c>
      <c r="R411" s="79">
        <v>1</v>
      </c>
      <c r="S411" s="80">
        <v>0</v>
      </c>
      <c r="T411" s="80">
        <v>5000</v>
      </c>
      <c r="U411" s="80">
        <v>0</v>
      </c>
      <c r="V411" s="81">
        <v>127962</v>
      </c>
      <c r="W411" s="79">
        <v>0</v>
      </c>
      <c r="X411" s="79">
        <v>4</v>
      </c>
      <c r="Y411" s="11" t="str">
        <f ca="1">IF(ISBLANK(BudgetsTable[[#This Row],[budg_seq_yr]]),"FY"&amp;fiscalyear,"FY"&amp;fiscalyear-1+BudgetsTable[[#This Row],[budg_seq_yr]])</f>
        <v>FY21</v>
      </c>
      <c r="Z411" s="80">
        <v>127962</v>
      </c>
      <c r="AA411" s="79" t="s">
        <v>477</v>
      </c>
      <c r="AB411" s="79" t="s">
        <v>582</v>
      </c>
      <c r="AC411" s="77" t="s">
        <v>94</v>
      </c>
      <c r="AD411" s="79" t="s">
        <v>1790</v>
      </c>
    </row>
    <row r="412" spans="1:30" x14ac:dyDescent="0.4">
      <c r="A412" s="10" t="s">
        <v>1793</v>
      </c>
      <c r="B412" s="77" t="s">
        <v>493</v>
      </c>
      <c r="C412" s="77">
        <f>C411+(BudgetsTable[[#This Row],[lead]]&lt;&gt;K411)</f>
        <v>80</v>
      </c>
      <c r="D412" s="77">
        <f>D411*(BudgetsTable[[#This Row],[lead]]=K411)+(BudgetsTable[[#This Row],[prop_id]]&lt;&gt;A411)</f>
        <v>2</v>
      </c>
      <c r="E412" s="78">
        <v>43005.378472222219</v>
      </c>
      <c r="F412" s="79" t="s">
        <v>524</v>
      </c>
      <c r="G412" s="79" t="s">
        <v>477</v>
      </c>
      <c r="H412" s="79" t="s">
        <v>582</v>
      </c>
      <c r="I412" s="77" t="s">
        <v>611</v>
      </c>
      <c r="J412" s="77" t="s">
        <v>1796</v>
      </c>
      <c r="K412" s="79" t="s">
        <v>1360</v>
      </c>
      <c r="L412" s="7" t="str">
        <f>IF(BudgetsTable[[#This Row],[pi_last_name]]=" ","",HYPERLINK("https://www.ejacket.nsf.gov/ej/showProposal.do?Continue=Y&amp;ID="&amp;BudgetsTable[[#This Row],[prop_id]],BudgetsTable[[#This Row],[prop_id]]))</f>
        <v>1763455</v>
      </c>
      <c r="M412" s="15" t="e">
        <f>IF(BudgetsTable[[#This Row],[pi_last_name]]=" ","",HYPERLINK("https://www.ejacket.nsf.gov/ej/processReviewAnalysis.do?dispatch=add&amp;uniqId="&amp;BudgetsTable[[#This Row],[prop_id]]&amp;PO_id,"&gt;ra"))</f>
        <v>#REF!</v>
      </c>
      <c r="N412" s="79" t="s">
        <v>1794</v>
      </c>
      <c r="O412" s="7" t="str">
        <f>IF(BudgetsTable[[#This Row],[pi_last_name]]=" ","",HYPERLINK("mailto:"&amp;BudgetsTable[[#This Row],[pi_email]]&amp;"&amp;subject=Your NSF Proposal:  "&amp;BudgetsTable[[#This Row],[prop_id]],BudgetsTable[[#This Row],[pi_email]]))</f>
        <v>arb@cs.cornell.edu</v>
      </c>
      <c r="P412" s="79" t="s">
        <v>1754</v>
      </c>
      <c r="Q412" s="79"/>
      <c r="R412" s="79"/>
      <c r="S412" s="80"/>
      <c r="T412" s="80"/>
      <c r="U412" s="80"/>
      <c r="V412" s="81"/>
      <c r="W412" s="79">
        <v>0</v>
      </c>
      <c r="X412" s="79"/>
      <c r="Y412" s="11" t="str">
        <f ca="1">IF(ISBLANK(BudgetsTable[[#This Row],[budg_seq_yr]]),"FY"&amp;fiscalyear,"FY"&amp;fiscalyear-1+BudgetsTable[[#This Row],[budg_seq_yr]])</f>
        <v>FY18</v>
      </c>
      <c r="Z412" s="80">
        <v>591393</v>
      </c>
      <c r="AA412" s="79" t="s">
        <v>477</v>
      </c>
      <c r="AB412" s="79" t="s">
        <v>582</v>
      </c>
      <c r="AC412" s="77" t="s">
        <v>94</v>
      </c>
      <c r="AD412" s="79" t="s">
        <v>1790</v>
      </c>
    </row>
    <row r="413" spans="1:30" x14ac:dyDescent="0.4">
      <c r="A413" s="10" t="s">
        <v>1793</v>
      </c>
      <c r="B413" s="77" t="s">
        <v>493</v>
      </c>
      <c r="C413" s="77">
        <f>C412+(BudgetsTable[[#This Row],[lead]]&lt;&gt;K412)</f>
        <v>80</v>
      </c>
      <c r="D413" s="77">
        <f>D412*(BudgetsTable[[#This Row],[lead]]=K412)+(BudgetsTable[[#This Row],[prop_id]]&lt;&gt;A412)</f>
        <v>2</v>
      </c>
      <c r="E413" s="78">
        <v>43005.378472222219</v>
      </c>
      <c r="F413" s="79" t="s">
        <v>524</v>
      </c>
      <c r="G413" s="79" t="s">
        <v>477</v>
      </c>
      <c r="H413" s="79" t="s">
        <v>582</v>
      </c>
      <c r="I413" s="77" t="s">
        <v>611</v>
      </c>
      <c r="J413" s="77" t="s">
        <v>13</v>
      </c>
      <c r="K413" s="79" t="s">
        <v>1360</v>
      </c>
      <c r="L413" s="7" t="str">
        <f>IF(BudgetsTable[[#This Row],[pi_last_name]]=" ","",HYPERLINK("https://www.ejacket.nsf.gov/ej/showProposal.do?Continue=Y&amp;ID="&amp;BudgetsTable[[#This Row],[prop_id]],BudgetsTable[[#This Row],[prop_id]]))</f>
        <v/>
      </c>
      <c r="M413" s="15" t="str">
        <f>IF(BudgetsTable[[#This Row],[pi_last_name]]=" ","",HYPERLINK("https://www.ejacket.nsf.gov/ej/processReviewAnalysis.do?dispatch=add&amp;uniqId="&amp;BudgetsTable[[#This Row],[prop_id]]&amp;PO_id,"&gt;ra"))</f>
        <v/>
      </c>
      <c r="N413" s="79" t="s">
        <v>13</v>
      </c>
      <c r="O413" s="7" t="str">
        <f>IF(BudgetsTable[[#This Row],[pi_last_name]]=" ","",HYPERLINK("mailto:"&amp;BudgetsTable[[#This Row],[pi_email]]&amp;"&amp;subject=Your NSF Proposal:  "&amp;BudgetsTable[[#This Row],[prop_id]],BudgetsTable[[#This Row],[pi_email]]))</f>
        <v/>
      </c>
      <c r="P413" s="79" t="s">
        <v>13</v>
      </c>
      <c r="Q413" s="79">
        <v>1</v>
      </c>
      <c r="R413" s="79">
        <v>1</v>
      </c>
      <c r="S413" s="80">
        <v>0</v>
      </c>
      <c r="T413" s="80">
        <v>5484</v>
      </c>
      <c r="U413" s="80">
        <v>0</v>
      </c>
      <c r="V413" s="81">
        <v>148583</v>
      </c>
      <c r="W413" s="79">
        <v>0</v>
      </c>
      <c r="X413" s="79">
        <v>1</v>
      </c>
      <c r="Y413" s="11" t="str">
        <f ca="1">IF(ISBLANK(BudgetsTable[[#This Row],[budg_seq_yr]]),"FY"&amp;fiscalyear,"FY"&amp;fiscalyear-1+BudgetsTable[[#This Row],[budg_seq_yr]])</f>
        <v>FY18</v>
      </c>
      <c r="Z413" s="80">
        <v>148583</v>
      </c>
      <c r="AA413" s="79" t="s">
        <v>477</v>
      </c>
      <c r="AB413" s="79" t="s">
        <v>582</v>
      </c>
      <c r="AC413" s="77" t="s">
        <v>94</v>
      </c>
      <c r="AD413" s="79" t="s">
        <v>1790</v>
      </c>
    </row>
    <row r="414" spans="1:30" x14ac:dyDescent="0.4">
      <c r="A414" s="10" t="s">
        <v>1793</v>
      </c>
      <c r="B414" s="77" t="s">
        <v>493</v>
      </c>
      <c r="C414" s="77">
        <f>C413+(BudgetsTable[[#This Row],[lead]]&lt;&gt;K413)</f>
        <v>80</v>
      </c>
      <c r="D414" s="77">
        <f>D413*(BudgetsTable[[#This Row],[lead]]=K413)+(BudgetsTable[[#This Row],[prop_id]]&lt;&gt;A413)</f>
        <v>2</v>
      </c>
      <c r="E414" s="78">
        <v>43005.378472222219</v>
      </c>
      <c r="F414" s="79" t="s">
        <v>524</v>
      </c>
      <c r="G414" s="79" t="s">
        <v>477</v>
      </c>
      <c r="H414" s="79" t="s">
        <v>582</v>
      </c>
      <c r="I414" s="77" t="s">
        <v>611</v>
      </c>
      <c r="J414" s="77" t="s">
        <v>13</v>
      </c>
      <c r="K414" s="79" t="s">
        <v>1360</v>
      </c>
      <c r="L414" s="7" t="str">
        <f>IF(BudgetsTable[[#This Row],[pi_last_name]]=" ","",HYPERLINK("https://www.ejacket.nsf.gov/ej/showProposal.do?Continue=Y&amp;ID="&amp;BudgetsTable[[#This Row],[prop_id]],BudgetsTable[[#This Row],[prop_id]]))</f>
        <v/>
      </c>
      <c r="M414" s="15" t="str">
        <f>IF(BudgetsTable[[#This Row],[pi_last_name]]=" ","",HYPERLINK("https://www.ejacket.nsf.gov/ej/processReviewAnalysis.do?dispatch=add&amp;uniqId="&amp;BudgetsTable[[#This Row],[prop_id]]&amp;PO_id,"&gt;ra"))</f>
        <v/>
      </c>
      <c r="N414" s="79" t="s">
        <v>13</v>
      </c>
      <c r="O414" s="7" t="str">
        <f>IF(BudgetsTable[[#This Row],[pi_last_name]]=" ","",HYPERLINK("mailto:"&amp;BudgetsTable[[#This Row],[pi_email]]&amp;"&amp;subject=Your NSF Proposal:  "&amp;BudgetsTable[[#This Row],[prop_id]],BudgetsTable[[#This Row],[pi_email]]))</f>
        <v/>
      </c>
      <c r="P414" s="79" t="s">
        <v>13</v>
      </c>
      <c r="Q414" s="79">
        <v>1</v>
      </c>
      <c r="R414" s="79">
        <v>1</v>
      </c>
      <c r="S414" s="80">
        <v>0</v>
      </c>
      <c r="T414" s="80">
        <v>5758</v>
      </c>
      <c r="U414" s="80">
        <v>0</v>
      </c>
      <c r="V414" s="81">
        <v>142982</v>
      </c>
      <c r="W414" s="79">
        <v>0</v>
      </c>
      <c r="X414" s="79">
        <v>2</v>
      </c>
      <c r="Y414" s="11" t="str">
        <f ca="1">IF(ISBLANK(BudgetsTable[[#This Row],[budg_seq_yr]]),"FY"&amp;fiscalyear,"FY"&amp;fiscalyear-1+BudgetsTable[[#This Row],[budg_seq_yr]])</f>
        <v>FY19</v>
      </c>
      <c r="Z414" s="80">
        <v>142982</v>
      </c>
      <c r="AA414" s="79" t="s">
        <v>477</v>
      </c>
      <c r="AB414" s="79" t="s">
        <v>582</v>
      </c>
      <c r="AC414" s="77" t="s">
        <v>94</v>
      </c>
      <c r="AD414" s="79" t="s">
        <v>1790</v>
      </c>
    </row>
    <row r="415" spans="1:30" x14ac:dyDescent="0.4">
      <c r="A415" s="10" t="s">
        <v>1793</v>
      </c>
      <c r="B415" s="77" t="s">
        <v>493</v>
      </c>
      <c r="C415" s="77">
        <f>C414+(BudgetsTable[[#This Row],[lead]]&lt;&gt;K414)</f>
        <v>80</v>
      </c>
      <c r="D415" s="77">
        <f>D414*(BudgetsTable[[#This Row],[lead]]=K414)+(BudgetsTable[[#This Row],[prop_id]]&lt;&gt;A414)</f>
        <v>2</v>
      </c>
      <c r="E415" s="78">
        <v>43005.378472222219</v>
      </c>
      <c r="F415" s="79" t="s">
        <v>524</v>
      </c>
      <c r="G415" s="79" t="s">
        <v>477</v>
      </c>
      <c r="H415" s="79" t="s">
        <v>582</v>
      </c>
      <c r="I415" s="77" t="s">
        <v>611</v>
      </c>
      <c r="J415" s="77" t="s">
        <v>13</v>
      </c>
      <c r="K415" s="79" t="s">
        <v>1360</v>
      </c>
      <c r="L415" s="7" t="str">
        <f>IF(BudgetsTable[[#This Row],[pi_last_name]]=" ","",HYPERLINK("https://www.ejacket.nsf.gov/ej/showProposal.do?Continue=Y&amp;ID="&amp;BudgetsTable[[#This Row],[prop_id]],BudgetsTable[[#This Row],[prop_id]]))</f>
        <v/>
      </c>
      <c r="M415" s="15" t="str">
        <f>IF(BudgetsTable[[#This Row],[pi_last_name]]=" ","",HYPERLINK("https://www.ejacket.nsf.gov/ej/processReviewAnalysis.do?dispatch=add&amp;uniqId="&amp;BudgetsTable[[#This Row],[prop_id]]&amp;PO_id,"&gt;ra"))</f>
        <v/>
      </c>
      <c r="N415" s="79" t="s">
        <v>13</v>
      </c>
      <c r="O415" s="7" t="str">
        <f>IF(BudgetsTable[[#This Row],[pi_last_name]]=" ","",HYPERLINK("mailto:"&amp;BudgetsTable[[#This Row],[pi_email]]&amp;"&amp;subject=Your NSF Proposal:  "&amp;BudgetsTable[[#This Row],[prop_id]],BudgetsTable[[#This Row],[pi_email]]))</f>
        <v/>
      </c>
      <c r="P415" s="79" t="s">
        <v>13</v>
      </c>
      <c r="Q415" s="79">
        <v>1</v>
      </c>
      <c r="R415" s="79">
        <v>1</v>
      </c>
      <c r="S415" s="80">
        <v>0</v>
      </c>
      <c r="T415" s="80">
        <v>6046</v>
      </c>
      <c r="U415" s="80">
        <v>0</v>
      </c>
      <c r="V415" s="81">
        <v>147549</v>
      </c>
      <c r="W415" s="79">
        <v>0</v>
      </c>
      <c r="X415" s="79">
        <v>3</v>
      </c>
      <c r="Y415" s="11" t="str">
        <f ca="1">IF(ISBLANK(BudgetsTable[[#This Row],[budg_seq_yr]]),"FY"&amp;fiscalyear,"FY"&amp;fiscalyear-1+BudgetsTable[[#This Row],[budg_seq_yr]])</f>
        <v>FY20</v>
      </c>
      <c r="Z415" s="80">
        <v>147549</v>
      </c>
      <c r="AA415" s="79" t="s">
        <v>477</v>
      </c>
      <c r="AB415" s="79" t="s">
        <v>582</v>
      </c>
      <c r="AC415" s="77" t="s">
        <v>94</v>
      </c>
      <c r="AD415" s="79" t="s">
        <v>1790</v>
      </c>
    </row>
    <row r="416" spans="1:30" x14ac:dyDescent="0.4">
      <c r="A416" s="10" t="s">
        <v>1793</v>
      </c>
      <c r="B416" s="77" t="s">
        <v>493</v>
      </c>
      <c r="C416" s="77">
        <f>C415+(BudgetsTable[[#This Row],[lead]]&lt;&gt;K415)</f>
        <v>80</v>
      </c>
      <c r="D416" s="77">
        <f>D415*(BudgetsTable[[#This Row],[lead]]=K415)+(BudgetsTable[[#This Row],[prop_id]]&lt;&gt;A415)</f>
        <v>2</v>
      </c>
      <c r="E416" s="78">
        <v>43005.378472222219</v>
      </c>
      <c r="F416" s="79" t="s">
        <v>524</v>
      </c>
      <c r="G416" s="79" t="s">
        <v>477</v>
      </c>
      <c r="H416" s="79" t="s">
        <v>582</v>
      </c>
      <c r="I416" s="77" t="s">
        <v>611</v>
      </c>
      <c r="J416" s="77" t="s">
        <v>13</v>
      </c>
      <c r="K416" s="79" t="s">
        <v>1360</v>
      </c>
      <c r="L416" s="7" t="str">
        <f>IF(BudgetsTable[[#This Row],[pi_last_name]]=" ","",HYPERLINK("https://www.ejacket.nsf.gov/ej/showProposal.do?Continue=Y&amp;ID="&amp;BudgetsTable[[#This Row],[prop_id]],BudgetsTable[[#This Row],[prop_id]]))</f>
        <v/>
      </c>
      <c r="M416" s="15" t="str">
        <f>IF(BudgetsTable[[#This Row],[pi_last_name]]=" ","",HYPERLINK("https://www.ejacket.nsf.gov/ej/processReviewAnalysis.do?dispatch=add&amp;uniqId="&amp;BudgetsTable[[#This Row],[prop_id]]&amp;PO_id,"&gt;ra"))</f>
        <v/>
      </c>
      <c r="N416" s="79" t="s">
        <v>13</v>
      </c>
      <c r="O416" s="7" t="str">
        <f>IF(BudgetsTable[[#This Row],[pi_last_name]]=" ","",HYPERLINK("mailto:"&amp;BudgetsTable[[#This Row],[pi_email]]&amp;"&amp;subject=Your NSF Proposal:  "&amp;BudgetsTable[[#This Row],[prop_id]],BudgetsTable[[#This Row],[pi_email]]))</f>
        <v/>
      </c>
      <c r="P416" s="79" t="s">
        <v>13</v>
      </c>
      <c r="Q416" s="79">
        <v>1</v>
      </c>
      <c r="R416" s="79">
        <v>1</v>
      </c>
      <c r="S416" s="80">
        <v>0</v>
      </c>
      <c r="T416" s="80">
        <v>6348</v>
      </c>
      <c r="U416" s="80">
        <v>0</v>
      </c>
      <c r="V416" s="81">
        <v>152279</v>
      </c>
      <c r="W416" s="79">
        <v>0</v>
      </c>
      <c r="X416" s="79">
        <v>4</v>
      </c>
      <c r="Y416" s="11" t="str">
        <f ca="1">IF(ISBLANK(BudgetsTable[[#This Row],[budg_seq_yr]]),"FY"&amp;fiscalyear,"FY"&amp;fiscalyear-1+BudgetsTable[[#This Row],[budg_seq_yr]])</f>
        <v>FY21</v>
      </c>
      <c r="Z416" s="80">
        <v>152279</v>
      </c>
      <c r="AA416" s="79" t="s">
        <v>477</v>
      </c>
      <c r="AB416" s="79" t="s">
        <v>582</v>
      </c>
      <c r="AC416" s="77" t="s">
        <v>94</v>
      </c>
      <c r="AD416" s="79" t="s">
        <v>1790</v>
      </c>
    </row>
    <row r="417" spans="1:30" x14ac:dyDescent="0.4">
      <c r="A417" s="10" t="s">
        <v>1372</v>
      </c>
      <c r="B417" s="77" t="s">
        <v>491</v>
      </c>
      <c r="C417" s="77">
        <f>C416+(BudgetsTable[[#This Row],[lead]]&lt;&gt;K416)</f>
        <v>81</v>
      </c>
      <c r="D417" s="77">
        <f>D416*(BudgetsTable[[#This Row],[lead]]=K416)+(BudgetsTable[[#This Row],[prop_id]]&lt;&gt;A416)</f>
        <v>1</v>
      </c>
      <c r="E417" s="78">
        <v>43005.654861111114</v>
      </c>
      <c r="F417" s="79" t="s">
        <v>524</v>
      </c>
      <c r="G417" s="79" t="s">
        <v>477</v>
      </c>
      <c r="H417" s="79" t="s">
        <v>582</v>
      </c>
      <c r="I417" s="77" t="s">
        <v>611</v>
      </c>
      <c r="J417" s="77" t="s">
        <v>1801</v>
      </c>
      <c r="K417" s="79" t="s">
        <v>1372</v>
      </c>
      <c r="L417" s="7" t="str">
        <f>IF(BudgetsTable[[#This Row],[pi_last_name]]=" ","",HYPERLINK("https://www.ejacket.nsf.gov/ej/showProposal.do?Continue=Y&amp;ID="&amp;BudgetsTable[[#This Row],[prop_id]],BudgetsTable[[#This Row],[prop_id]]))</f>
        <v>1763886</v>
      </c>
      <c r="M417" s="15" t="e">
        <f>IF(BudgetsTable[[#This Row],[pi_last_name]]=" ","",HYPERLINK("https://www.ejacket.nsf.gov/ej/processReviewAnalysis.do?dispatch=add&amp;uniqId="&amp;BudgetsTable[[#This Row],[prop_id]]&amp;PO_id,"&gt;ra"))</f>
        <v>#REF!</v>
      </c>
      <c r="N417" s="79" t="s">
        <v>750</v>
      </c>
      <c r="O417" s="7" t="str">
        <f>IF(BudgetsTable[[#This Row],[pi_last_name]]=" ","",HYPERLINK("mailto:"&amp;BudgetsTable[[#This Row],[pi_email]]&amp;"&amp;subject=Your NSF Proposal:  "&amp;BudgetsTable[[#This Row],[prop_id]],BudgetsTable[[#This Row],[pi_email]]))</f>
        <v>gchen16@uh.edu</v>
      </c>
      <c r="P417" s="79" t="s">
        <v>1701</v>
      </c>
      <c r="Q417" s="79"/>
      <c r="R417" s="79"/>
      <c r="S417" s="80"/>
      <c r="T417" s="80"/>
      <c r="U417" s="80"/>
      <c r="V417" s="81"/>
      <c r="W417" s="79">
        <v>0</v>
      </c>
      <c r="X417" s="79"/>
      <c r="Y417" s="11" t="str">
        <f ca="1">IF(ISBLANK(BudgetsTable[[#This Row],[budg_seq_yr]]),"FY"&amp;fiscalyear,"FY"&amp;fiscalyear-1+BudgetsTable[[#This Row],[budg_seq_yr]])</f>
        <v>FY18</v>
      </c>
      <c r="Z417" s="80">
        <v>599997</v>
      </c>
      <c r="AA417" s="79" t="s">
        <v>477</v>
      </c>
      <c r="AB417" s="79" t="s">
        <v>582</v>
      </c>
      <c r="AC417" s="77" t="s">
        <v>94</v>
      </c>
      <c r="AD417" s="79" t="s">
        <v>1797</v>
      </c>
    </row>
    <row r="418" spans="1:30" x14ac:dyDescent="0.4">
      <c r="A418" s="10" t="s">
        <v>1372</v>
      </c>
      <c r="B418" s="77" t="s">
        <v>491</v>
      </c>
      <c r="C418" s="77">
        <f>C417+(BudgetsTable[[#This Row],[lead]]&lt;&gt;K417)</f>
        <v>81</v>
      </c>
      <c r="D418" s="77">
        <f>D417*(BudgetsTable[[#This Row],[lead]]=K417)+(BudgetsTable[[#This Row],[prop_id]]&lt;&gt;A417)</f>
        <v>1</v>
      </c>
      <c r="E418" s="78">
        <v>43005.654861111114</v>
      </c>
      <c r="F418" s="79" t="s">
        <v>524</v>
      </c>
      <c r="G418" s="79" t="s">
        <v>477</v>
      </c>
      <c r="H418" s="79" t="s">
        <v>582</v>
      </c>
      <c r="I418" s="77" t="s">
        <v>611</v>
      </c>
      <c r="J418" s="77" t="s">
        <v>13</v>
      </c>
      <c r="K418" s="79" t="s">
        <v>1372</v>
      </c>
      <c r="L418" s="7" t="str">
        <f>IF(BudgetsTable[[#This Row],[pi_last_name]]=" ","",HYPERLINK("https://www.ejacket.nsf.gov/ej/showProposal.do?Continue=Y&amp;ID="&amp;BudgetsTable[[#This Row],[prop_id]],BudgetsTable[[#This Row],[prop_id]]))</f>
        <v/>
      </c>
      <c r="M418" s="15" t="str">
        <f>IF(BudgetsTable[[#This Row],[pi_last_name]]=" ","",HYPERLINK("https://www.ejacket.nsf.gov/ej/processReviewAnalysis.do?dispatch=add&amp;uniqId="&amp;BudgetsTable[[#This Row],[prop_id]]&amp;PO_id,"&gt;ra"))</f>
        <v/>
      </c>
      <c r="N418" s="79" t="s">
        <v>13</v>
      </c>
      <c r="O418" s="7" t="str">
        <f>IF(BudgetsTable[[#This Row],[pi_last_name]]=" ","",HYPERLINK("mailto:"&amp;BudgetsTable[[#This Row],[pi_email]]&amp;"&amp;subject=Your NSF Proposal:  "&amp;BudgetsTable[[#This Row],[prop_id]],BudgetsTable[[#This Row],[pi_email]]))</f>
        <v/>
      </c>
      <c r="P418" s="79" t="s">
        <v>13</v>
      </c>
      <c r="Q418" s="79">
        <v>1</v>
      </c>
      <c r="R418" s="79">
        <v>1</v>
      </c>
      <c r="S418" s="80">
        <v>0</v>
      </c>
      <c r="T418" s="80">
        <v>0</v>
      </c>
      <c r="U418" s="80">
        <v>0</v>
      </c>
      <c r="V418" s="81">
        <v>115781</v>
      </c>
      <c r="W418" s="79">
        <v>0</v>
      </c>
      <c r="X418" s="79">
        <v>1</v>
      </c>
      <c r="Y418" s="11" t="str">
        <f ca="1">IF(ISBLANK(BudgetsTable[[#This Row],[budg_seq_yr]]),"FY"&amp;fiscalyear,"FY"&amp;fiscalyear-1+BudgetsTable[[#This Row],[budg_seq_yr]])</f>
        <v>FY18</v>
      </c>
      <c r="Z418" s="80">
        <v>115781</v>
      </c>
      <c r="AA418" s="79" t="s">
        <v>477</v>
      </c>
      <c r="AB418" s="79" t="s">
        <v>582</v>
      </c>
      <c r="AC418" s="77" t="s">
        <v>94</v>
      </c>
      <c r="AD418" s="79" t="s">
        <v>1797</v>
      </c>
    </row>
    <row r="419" spans="1:30" x14ac:dyDescent="0.4">
      <c r="A419" s="10" t="s">
        <v>1372</v>
      </c>
      <c r="B419" s="77" t="s">
        <v>491</v>
      </c>
      <c r="C419" s="77">
        <f>C418+(BudgetsTable[[#This Row],[lead]]&lt;&gt;K418)</f>
        <v>81</v>
      </c>
      <c r="D419" s="77">
        <f>D418*(BudgetsTable[[#This Row],[lead]]=K418)+(BudgetsTable[[#This Row],[prop_id]]&lt;&gt;A418)</f>
        <v>1</v>
      </c>
      <c r="E419" s="78">
        <v>43005.654861111114</v>
      </c>
      <c r="F419" s="79" t="s">
        <v>524</v>
      </c>
      <c r="G419" s="79" t="s">
        <v>477</v>
      </c>
      <c r="H419" s="79" t="s">
        <v>582</v>
      </c>
      <c r="I419" s="77" t="s">
        <v>611</v>
      </c>
      <c r="J419" s="77" t="s">
        <v>13</v>
      </c>
      <c r="K419" s="79" t="s">
        <v>1372</v>
      </c>
      <c r="L419" s="7" t="str">
        <f>IF(BudgetsTable[[#This Row],[pi_last_name]]=" ","",HYPERLINK("https://www.ejacket.nsf.gov/ej/showProposal.do?Continue=Y&amp;ID="&amp;BudgetsTable[[#This Row],[prop_id]],BudgetsTable[[#This Row],[prop_id]]))</f>
        <v/>
      </c>
      <c r="M419" s="15" t="str">
        <f>IF(BudgetsTable[[#This Row],[pi_last_name]]=" ","",HYPERLINK("https://www.ejacket.nsf.gov/ej/processReviewAnalysis.do?dispatch=add&amp;uniqId="&amp;BudgetsTable[[#This Row],[prop_id]]&amp;PO_id,"&gt;ra"))</f>
        <v/>
      </c>
      <c r="N419" s="79" t="s">
        <v>13</v>
      </c>
      <c r="O419" s="7" t="str">
        <f>IF(BudgetsTable[[#This Row],[pi_last_name]]=" ","",HYPERLINK("mailto:"&amp;BudgetsTable[[#This Row],[pi_email]]&amp;"&amp;subject=Your NSF Proposal:  "&amp;BudgetsTable[[#This Row],[prop_id]],BudgetsTable[[#This Row],[pi_email]]))</f>
        <v/>
      </c>
      <c r="P419" s="79" t="s">
        <v>13</v>
      </c>
      <c r="Q419" s="79">
        <v>1</v>
      </c>
      <c r="R419" s="79">
        <v>1</v>
      </c>
      <c r="S419" s="80">
        <v>0</v>
      </c>
      <c r="T419" s="80">
        <v>0</v>
      </c>
      <c r="U419" s="80">
        <v>0</v>
      </c>
      <c r="V419" s="81">
        <v>116736</v>
      </c>
      <c r="W419" s="79">
        <v>0</v>
      </c>
      <c r="X419" s="79">
        <v>2</v>
      </c>
      <c r="Y419" s="11" t="str">
        <f ca="1">IF(ISBLANK(BudgetsTable[[#This Row],[budg_seq_yr]]),"FY"&amp;fiscalyear,"FY"&amp;fiscalyear-1+BudgetsTable[[#This Row],[budg_seq_yr]])</f>
        <v>FY19</v>
      </c>
      <c r="Z419" s="80">
        <v>116736</v>
      </c>
      <c r="AA419" s="79" t="s">
        <v>477</v>
      </c>
      <c r="AB419" s="79" t="s">
        <v>582</v>
      </c>
      <c r="AC419" s="77" t="s">
        <v>94</v>
      </c>
      <c r="AD419" s="79" t="s">
        <v>1797</v>
      </c>
    </row>
    <row r="420" spans="1:30" x14ac:dyDescent="0.4">
      <c r="A420" s="10" t="s">
        <v>1372</v>
      </c>
      <c r="B420" s="77" t="s">
        <v>491</v>
      </c>
      <c r="C420" s="77">
        <f>C419+(BudgetsTable[[#This Row],[lead]]&lt;&gt;K419)</f>
        <v>81</v>
      </c>
      <c r="D420" s="77">
        <f>D419*(BudgetsTable[[#This Row],[lead]]=K419)+(BudgetsTable[[#This Row],[prop_id]]&lt;&gt;A419)</f>
        <v>1</v>
      </c>
      <c r="E420" s="78">
        <v>43005.654861111114</v>
      </c>
      <c r="F420" s="79" t="s">
        <v>524</v>
      </c>
      <c r="G420" s="79" t="s">
        <v>477</v>
      </c>
      <c r="H420" s="79" t="s">
        <v>582</v>
      </c>
      <c r="I420" s="77" t="s">
        <v>611</v>
      </c>
      <c r="J420" s="77" t="s">
        <v>13</v>
      </c>
      <c r="K420" s="79" t="s">
        <v>1372</v>
      </c>
      <c r="L420" s="7" t="str">
        <f>IF(BudgetsTable[[#This Row],[pi_last_name]]=" ","",HYPERLINK("https://www.ejacket.nsf.gov/ej/showProposal.do?Continue=Y&amp;ID="&amp;BudgetsTable[[#This Row],[prop_id]],BudgetsTable[[#This Row],[prop_id]]))</f>
        <v/>
      </c>
      <c r="M420" s="15" t="str">
        <f>IF(BudgetsTable[[#This Row],[pi_last_name]]=" ","",HYPERLINK("https://www.ejacket.nsf.gov/ej/processReviewAnalysis.do?dispatch=add&amp;uniqId="&amp;BudgetsTable[[#This Row],[prop_id]]&amp;PO_id,"&gt;ra"))</f>
        <v/>
      </c>
      <c r="N420" s="79" t="s">
        <v>13</v>
      </c>
      <c r="O420" s="7" t="str">
        <f>IF(BudgetsTable[[#This Row],[pi_last_name]]=" ","",HYPERLINK("mailto:"&amp;BudgetsTable[[#This Row],[pi_email]]&amp;"&amp;subject=Your NSF Proposal:  "&amp;BudgetsTable[[#This Row],[prop_id]],BudgetsTable[[#This Row],[pi_email]]))</f>
        <v/>
      </c>
      <c r="P420" s="79" t="s">
        <v>13</v>
      </c>
      <c r="Q420" s="79">
        <v>2</v>
      </c>
      <c r="R420" s="79">
        <v>2</v>
      </c>
      <c r="S420" s="80">
        <v>0</v>
      </c>
      <c r="T420" s="80">
        <v>0</v>
      </c>
      <c r="U420" s="80">
        <v>0</v>
      </c>
      <c r="V420" s="81">
        <v>183268</v>
      </c>
      <c r="W420" s="79">
        <v>0</v>
      </c>
      <c r="X420" s="79">
        <v>3</v>
      </c>
      <c r="Y420" s="11" t="str">
        <f ca="1">IF(ISBLANK(BudgetsTable[[#This Row],[budg_seq_yr]]),"FY"&amp;fiscalyear,"FY"&amp;fiscalyear-1+BudgetsTable[[#This Row],[budg_seq_yr]])</f>
        <v>FY20</v>
      </c>
      <c r="Z420" s="80">
        <v>183268</v>
      </c>
      <c r="AA420" s="79" t="s">
        <v>477</v>
      </c>
      <c r="AB420" s="79" t="s">
        <v>582</v>
      </c>
      <c r="AC420" s="77" t="s">
        <v>94</v>
      </c>
      <c r="AD420" s="79" t="s">
        <v>1797</v>
      </c>
    </row>
    <row r="421" spans="1:30" x14ac:dyDescent="0.4">
      <c r="A421" s="10" t="s">
        <v>1372</v>
      </c>
      <c r="B421" s="77" t="s">
        <v>491</v>
      </c>
      <c r="C421" s="77">
        <f>C420+(BudgetsTable[[#This Row],[lead]]&lt;&gt;K420)</f>
        <v>81</v>
      </c>
      <c r="D421" s="77">
        <f>D420*(BudgetsTable[[#This Row],[lead]]=K420)+(BudgetsTable[[#This Row],[prop_id]]&lt;&gt;A420)</f>
        <v>1</v>
      </c>
      <c r="E421" s="78">
        <v>43005.654861111114</v>
      </c>
      <c r="F421" s="79" t="s">
        <v>524</v>
      </c>
      <c r="G421" s="79" t="s">
        <v>477</v>
      </c>
      <c r="H421" s="79" t="s">
        <v>582</v>
      </c>
      <c r="I421" s="77" t="s">
        <v>611</v>
      </c>
      <c r="J421" s="77" t="s">
        <v>13</v>
      </c>
      <c r="K421" s="79" t="s">
        <v>1372</v>
      </c>
      <c r="L421" s="7" t="str">
        <f>IF(BudgetsTable[[#This Row],[pi_last_name]]=" ","",HYPERLINK("https://www.ejacket.nsf.gov/ej/showProposal.do?Continue=Y&amp;ID="&amp;BudgetsTable[[#This Row],[prop_id]],BudgetsTable[[#This Row],[prop_id]]))</f>
        <v/>
      </c>
      <c r="M421" s="15" t="str">
        <f>IF(BudgetsTable[[#This Row],[pi_last_name]]=" ","",HYPERLINK("https://www.ejacket.nsf.gov/ej/processReviewAnalysis.do?dispatch=add&amp;uniqId="&amp;BudgetsTable[[#This Row],[prop_id]]&amp;PO_id,"&gt;ra"))</f>
        <v/>
      </c>
      <c r="N421" s="79" t="s">
        <v>13</v>
      </c>
      <c r="O421" s="7" t="str">
        <f>IF(BudgetsTable[[#This Row],[pi_last_name]]=" ","",HYPERLINK("mailto:"&amp;BudgetsTable[[#This Row],[pi_email]]&amp;"&amp;subject=Your NSF Proposal:  "&amp;BudgetsTable[[#This Row],[prop_id]],BudgetsTable[[#This Row],[pi_email]]))</f>
        <v/>
      </c>
      <c r="P421" s="79" t="s">
        <v>13</v>
      </c>
      <c r="Q421" s="79">
        <v>2</v>
      </c>
      <c r="R421" s="79">
        <v>2</v>
      </c>
      <c r="S421" s="80">
        <v>0</v>
      </c>
      <c r="T421" s="80">
        <v>0</v>
      </c>
      <c r="U421" s="80">
        <v>0</v>
      </c>
      <c r="V421" s="81">
        <v>184212</v>
      </c>
      <c r="W421" s="79">
        <v>0</v>
      </c>
      <c r="X421" s="79">
        <v>4</v>
      </c>
      <c r="Y421" s="11" t="str">
        <f ca="1">IF(ISBLANK(BudgetsTable[[#This Row],[budg_seq_yr]]),"FY"&amp;fiscalyear,"FY"&amp;fiscalyear-1+BudgetsTable[[#This Row],[budg_seq_yr]])</f>
        <v>FY21</v>
      </c>
      <c r="Z421" s="80">
        <v>184212</v>
      </c>
      <c r="AA421" s="79" t="s">
        <v>477</v>
      </c>
      <c r="AB421" s="79" t="s">
        <v>582</v>
      </c>
      <c r="AC421" s="77" t="s">
        <v>94</v>
      </c>
      <c r="AD421" s="79" t="s">
        <v>1797</v>
      </c>
    </row>
    <row r="422" spans="1:30" x14ac:dyDescent="0.4">
      <c r="A422" s="10" t="s">
        <v>1802</v>
      </c>
      <c r="B422" s="77" t="s">
        <v>493</v>
      </c>
      <c r="C422" s="77">
        <f>C421+(BudgetsTable[[#This Row],[lead]]&lt;&gt;K421)</f>
        <v>81</v>
      </c>
      <c r="D422" s="77">
        <f>D421*(BudgetsTable[[#This Row],[lead]]=K421)+(BudgetsTable[[#This Row],[prop_id]]&lt;&gt;A421)</f>
        <v>2</v>
      </c>
      <c r="E422" s="78">
        <v>43005.677777777775</v>
      </c>
      <c r="F422" s="79" t="s">
        <v>524</v>
      </c>
      <c r="G422" s="79" t="s">
        <v>477</v>
      </c>
      <c r="H422" s="79" t="s">
        <v>582</v>
      </c>
      <c r="I422" s="77" t="s">
        <v>611</v>
      </c>
      <c r="J422" s="77" t="s">
        <v>1805</v>
      </c>
      <c r="K422" s="79" t="s">
        <v>1372</v>
      </c>
      <c r="L422" s="7" t="str">
        <f>IF(BudgetsTable[[#This Row],[pi_last_name]]=" ","",HYPERLINK("https://www.ejacket.nsf.gov/ej/showProposal.do?Continue=Y&amp;ID="&amp;BudgetsTable[[#This Row],[prop_id]],BudgetsTable[[#This Row],[prop_id]]))</f>
        <v>1763948</v>
      </c>
      <c r="M422" s="15" t="e">
        <f>IF(BudgetsTable[[#This Row],[pi_last_name]]=" ","",HYPERLINK("https://www.ejacket.nsf.gov/ej/processReviewAnalysis.do?dispatch=add&amp;uniqId="&amp;BudgetsTable[[#This Row],[prop_id]]&amp;PO_id,"&gt;ra"))</f>
        <v>#REF!</v>
      </c>
      <c r="N422" s="79" t="s">
        <v>488</v>
      </c>
      <c r="O422" s="7" t="str">
        <f>IF(BudgetsTable[[#This Row],[pi_last_name]]=" ","",HYPERLINK("mailto:"&amp;BudgetsTable[[#This Row],[pi_email]]&amp;"&amp;subject=Your NSF Proposal:  "&amp;BudgetsTable[[#This Row],[prop_id]],BudgetsTable[[#This Row],[pi_email]]))</f>
        <v>zhange@eecs.oregonstate.edu</v>
      </c>
      <c r="P422" s="79" t="s">
        <v>1600</v>
      </c>
      <c r="Q422" s="79"/>
      <c r="R422" s="79"/>
      <c r="S422" s="80"/>
      <c r="T422" s="80"/>
      <c r="U422" s="80"/>
      <c r="V422" s="81"/>
      <c r="W422" s="79">
        <v>0</v>
      </c>
      <c r="X422" s="79"/>
      <c r="Y422" s="11" t="str">
        <f ca="1">IF(ISBLANK(BudgetsTable[[#This Row],[budg_seq_yr]]),"FY"&amp;fiscalyear,"FY"&amp;fiscalyear-1+BudgetsTable[[#This Row],[budg_seq_yr]])</f>
        <v>FY18</v>
      </c>
      <c r="Z422" s="80">
        <v>600000</v>
      </c>
      <c r="AA422" s="79" t="s">
        <v>477</v>
      </c>
      <c r="AB422" s="79" t="s">
        <v>582</v>
      </c>
      <c r="AC422" s="77" t="s">
        <v>94</v>
      </c>
      <c r="AD422" s="79" t="s">
        <v>1797</v>
      </c>
    </row>
    <row r="423" spans="1:30" x14ac:dyDescent="0.4">
      <c r="A423" s="10" t="s">
        <v>1802</v>
      </c>
      <c r="B423" s="77" t="s">
        <v>493</v>
      </c>
      <c r="C423" s="77">
        <f>C422+(BudgetsTable[[#This Row],[lead]]&lt;&gt;K422)</f>
        <v>81</v>
      </c>
      <c r="D423" s="77">
        <f>D422*(BudgetsTable[[#This Row],[lead]]=K422)+(BudgetsTable[[#This Row],[prop_id]]&lt;&gt;A422)</f>
        <v>2</v>
      </c>
      <c r="E423" s="78">
        <v>43005.677777777775</v>
      </c>
      <c r="F423" s="79" t="s">
        <v>524</v>
      </c>
      <c r="G423" s="79" t="s">
        <v>477</v>
      </c>
      <c r="H423" s="79" t="s">
        <v>582</v>
      </c>
      <c r="I423" s="77" t="s">
        <v>611</v>
      </c>
      <c r="J423" s="77" t="s">
        <v>13</v>
      </c>
      <c r="K423" s="79" t="s">
        <v>1372</v>
      </c>
      <c r="L423" s="7" t="str">
        <f>IF(BudgetsTable[[#This Row],[pi_last_name]]=" ","",HYPERLINK("https://www.ejacket.nsf.gov/ej/showProposal.do?Continue=Y&amp;ID="&amp;BudgetsTable[[#This Row],[prop_id]],BudgetsTable[[#This Row],[prop_id]]))</f>
        <v/>
      </c>
      <c r="M423" s="15" t="str">
        <f>IF(BudgetsTable[[#This Row],[pi_last_name]]=" ","",HYPERLINK("https://www.ejacket.nsf.gov/ej/processReviewAnalysis.do?dispatch=add&amp;uniqId="&amp;BudgetsTable[[#This Row],[prop_id]]&amp;PO_id,"&gt;ra"))</f>
        <v/>
      </c>
      <c r="N423" s="79" t="s">
        <v>13</v>
      </c>
      <c r="O423" s="7" t="str">
        <f>IF(BudgetsTable[[#This Row],[pi_last_name]]=" ","",HYPERLINK("mailto:"&amp;BudgetsTable[[#This Row],[pi_email]]&amp;"&amp;subject=Your NSF Proposal:  "&amp;BudgetsTable[[#This Row],[prop_id]],BudgetsTable[[#This Row],[pi_email]]))</f>
        <v/>
      </c>
      <c r="P423" s="79" t="s">
        <v>13</v>
      </c>
      <c r="Q423" s="79">
        <v>2</v>
      </c>
      <c r="R423" s="79">
        <v>1.5</v>
      </c>
      <c r="S423" s="80">
        <v>0</v>
      </c>
      <c r="T423" s="80">
        <v>0</v>
      </c>
      <c r="U423" s="80">
        <v>1750</v>
      </c>
      <c r="V423" s="81">
        <v>160546</v>
      </c>
      <c r="W423" s="79">
        <v>0</v>
      </c>
      <c r="X423" s="79">
        <v>1</v>
      </c>
      <c r="Y423" s="11" t="str">
        <f ca="1">IF(ISBLANK(BudgetsTable[[#This Row],[budg_seq_yr]]),"FY"&amp;fiscalyear,"FY"&amp;fiscalyear-1+BudgetsTable[[#This Row],[budg_seq_yr]])</f>
        <v>FY18</v>
      </c>
      <c r="Z423" s="80">
        <v>160546</v>
      </c>
      <c r="AA423" s="79" t="s">
        <v>477</v>
      </c>
      <c r="AB423" s="79" t="s">
        <v>582</v>
      </c>
      <c r="AC423" s="77" t="s">
        <v>94</v>
      </c>
      <c r="AD423" s="79" t="s">
        <v>1797</v>
      </c>
    </row>
    <row r="424" spans="1:30" x14ac:dyDescent="0.4">
      <c r="A424" s="10" t="s">
        <v>1802</v>
      </c>
      <c r="B424" s="77" t="s">
        <v>493</v>
      </c>
      <c r="C424" s="77">
        <f>C423+(BudgetsTable[[#This Row],[lead]]&lt;&gt;K423)</f>
        <v>81</v>
      </c>
      <c r="D424" s="77">
        <f>D423*(BudgetsTable[[#This Row],[lead]]=K423)+(BudgetsTable[[#This Row],[prop_id]]&lt;&gt;A423)</f>
        <v>2</v>
      </c>
      <c r="E424" s="78">
        <v>43005.677777777775</v>
      </c>
      <c r="F424" s="79" t="s">
        <v>524</v>
      </c>
      <c r="G424" s="79" t="s">
        <v>477</v>
      </c>
      <c r="H424" s="79" t="s">
        <v>582</v>
      </c>
      <c r="I424" s="77" t="s">
        <v>611</v>
      </c>
      <c r="J424" s="77" t="s">
        <v>13</v>
      </c>
      <c r="K424" s="79" t="s">
        <v>1372</v>
      </c>
      <c r="L424" s="7" t="str">
        <f>IF(BudgetsTable[[#This Row],[pi_last_name]]=" ","",HYPERLINK("https://www.ejacket.nsf.gov/ej/showProposal.do?Continue=Y&amp;ID="&amp;BudgetsTable[[#This Row],[prop_id]],BudgetsTable[[#This Row],[prop_id]]))</f>
        <v/>
      </c>
      <c r="M424" s="15" t="str">
        <f>IF(BudgetsTable[[#This Row],[pi_last_name]]=" ","",HYPERLINK("https://www.ejacket.nsf.gov/ej/processReviewAnalysis.do?dispatch=add&amp;uniqId="&amp;BudgetsTable[[#This Row],[prop_id]]&amp;PO_id,"&gt;ra"))</f>
        <v/>
      </c>
      <c r="N424" s="79" t="s">
        <v>13</v>
      </c>
      <c r="O424" s="7" t="str">
        <f>IF(BudgetsTable[[#This Row],[pi_last_name]]=" ","",HYPERLINK("mailto:"&amp;BudgetsTable[[#This Row],[pi_email]]&amp;"&amp;subject=Your NSF Proposal:  "&amp;BudgetsTable[[#This Row],[prop_id]],BudgetsTable[[#This Row],[pi_email]]))</f>
        <v/>
      </c>
      <c r="P424" s="79" t="s">
        <v>13</v>
      </c>
      <c r="Q424" s="79">
        <v>2</v>
      </c>
      <c r="R424" s="79">
        <v>1.5</v>
      </c>
      <c r="S424" s="80">
        <v>0</v>
      </c>
      <c r="T424" s="80">
        <v>3413</v>
      </c>
      <c r="U424" s="80">
        <v>1750</v>
      </c>
      <c r="V424" s="81">
        <v>177577</v>
      </c>
      <c r="W424" s="79">
        <v>0</v>
      </c>
      <c r="X424" s="79">
        <v>2</v>
      </c>
      <c r="Y424" s="11" t="str">
        <f ca="1">IF(ISBLANK(BudgetsTable[[#This Row],[budg_seq_yr]]),"FY"&amp;fiscalyear,"FY"&amp;fiscalyear-1+BudgetsTable[[#This Row],[budg_seq_yr]])</f>
        <v>FY19</v>
      </c>
      <c r="Z424" s="80">
        <v>177577</v>
      </c>
      <c r="AA424" s="79" t="s">
        <v>477</v>
      </c>
      <c r="AB424" s="79" t="s">
        <v>582</v>
      </c>
      <c r="AC424" s="77" t="s">
        <v>94</v>
      </c>
      <c r="AD424" s="79" t="s">
        <v>1797</v>
      </c>
    </row>
    <row r="425" spans="1:30" x14ac:dyDescent="0.4">
      <c r="A425" s="10" t="s">
        <v>1802</v>
      </c>
      <c r="B425" s="77" t="s">
        <v>493</v>
      </c>
      <c r="C425" s="77">
        <f>C424+(BudgetsTable[[#This Row],[lead]]&lt;&gt;K424)</f>
        <v>81</v>
      </c>
      <c r="D425" s="77">
        <f>D424*(BudgetsTable[[#This Row],[lead]]=K424)+(BudgetsTable[[#This Row],[prop_id]]&lt;&gt;A424)</f>
        <v>2</v>
      </c>
      <c r="E425" s="78">
        <v>43005.677777777775</v>
      </c>
      <c r="F425" s="79" t="s">
        <v>524</v>
      </c>
      <c r="G425" s="79" t="s">
        <v>477</v>
      </c>
      <c r="H425" s="79" t="s">
        <v>582</v>
      </c>
      <c r="I425" s="77" t="s">
        <v>611</v>
      </c>
      <c r="J425" s="77" t="s">
        <v>13</v>
      </c>
      <c r="K425" s="79" t="s">
        <v>1372</v>
      </c>
      <c r="L425" s="7" t="str">
        <f>IF(BudgetsTable[[#This Row],[pi_last_name]]=" ","",HYPERLINK("https://www.ejacket.nsf.gov/ej/showProposal.do?Continue=Y&amp;ID="&amp;BudgetsTable[[#This Row],[prop_id]],BudgetsTable[[#This Row],[prop_id]]))</f>
        <v/>
      </c>
      <c r="M425" s="15" t="str">
        <f>IF(BudgetsTable[[#This Row],[pi_last_name]]=" ","",HYPERLINK("https://www.ejacket.nsf.gov/ej/processReviewAnalysis.do?dispatch=add&amp;uniqId="&amp;BudgetsTable[[#This Row],[prop_id]]&amp;PO_id,"&gt;ra"))</f>
        <v/>
      </c>
      <c r="N425" s="79" t="s">
        <v>13</v>
      </c>
      <c r="O425" s="7" t="str">
        <f>IF(BudgetsTable[[#This Row],[pi_last_name]]=" ","",HYPERLINK("mailto:"&amp;BudgetsTable[[#This Row],[pi_email]]&amp;"&amp;subject=Your NSF Proposal:  "&amp;BudgetsTable[[#This Row],[prop_id]],BudgetsTable[[#This Row],[pi_email]]))</f>
        <v/>
      </c>
      <c r="P425" s="79" t="s">
        <v>13</v>
      </c>
      <c r="Q425" s="79">
        <v>2</v>
      </c>
      <c r="R425" s="79">
        <v>1.5</v>
      </c>
      <c r="S425" s="80">
        <v>0</v>
      </c>
      <c r="T425" s="80">
        <v>3515</v>
      </c>
      <c r="U425" s="80">
        <v>1750</v>
      </c>
      <c r="V425" s="81">
        <v>131325</v>
      </c>
      <c r="W425" s="79">
        <v>0</v>
      </c>
      <c r="X425" s="79">
        <v>3</v>
      </c>
      <c r="Y425" s="11" t="str">
        <f ca="1">IF(ISBLANK(BudgetsTable[[#This Row],[budg_seq_yr]]),"FY"&amp;fiscalyear,"FY"&amp;fiscalyear-1+BudgetsTable[[#This Row],[budg_seq_yr]])</f>
        <v>FY20</v>
      </c>
      <c r="Z425" s="80">
        <v>131325</v>
      </c>
      <c r="AA425" s="79" t="s">
        <v>477</v>
      </c>
      <c r="AB425" s="79" t="s">
        <v>582</v>
      </c>
      <c r="AC425" s="77" t="s">
        <v>94</v>
      </c>
      <c r="AD425" s="79" t="s">
        <v>1797</v>
      </c>
    </row>
    <row r="426" spans="1:30" x14ac:dyDescent="0.4">
      <c r="A426" s="10" t="s">
        <v>1802</v>
      </c>
      <c r="B426" s="77" t="s">
        <v>493</v>
      </c>
      <c r="C426" s="77">
        <f>C425+(BudgetsTable[[#This Row],[lead]]&lt;&gt;K425)</f>
        <v>81</v>
      </c>
      <c r="D426" s="77">
        <f>D425*(BudgetsTable[[#This Row],[lead]]=K425)+(BudgetsTable[[#This Row],[prop_id]]&lt;&gt;A425)</f>
        <v>2</v>
      </c>
      <c r="E426" s="78">
        <v>43005.677777777775</v>
      </c>
      <c r="F426" s="79" t="s">
        <v>524</v>
      </c>
      <c r="G426" s="79" t="s">
        <v>477</v>
      </c>
      <c r="H426" s="79" t="s">
        <v>582</v>
      </c>
      <c r="I426" s="77" t="s">
        <v>611</v>
      </c>
      <c r="J426" s="77" t="s">
        <v>13</v>
      </c>
      <c r="K426" s="79" t="s">
        <v>1372</v>
      </c>
      <c r="L426" s="7" t="str">
        <f>IF(BudgetsTable[[#This Row],[pi_last_name]]=" ","",HYPERLINK("https://www.ejacket.nsf.gov/ej/showProposal.do?Continue=Y&amp;ID="&amp;BudgetsTable[[#This Row],[prop_id]],BudgetsTable[[#This Row],[prop_id]]))</f>
        <v/>
      </c>
      <c r="M426" s="15" t="str">
        <f>IF(BudgetsTable[[#This Row],[pi_last_name]]=" ","",HYPERLINK("https://www.ejacket.nsf.gov/ej/processReviewAnalysis.do?dispatch=add&amp;uniqId="&amp;BudgetsTable[[#This Row],[prop_id]]&amp;PO_id,"&gt;ra"))</f>
        <v/>
      </c>
      <c r="N426" s="79" t="s">
        <v>13</v>
      </c>
      <c r="O426" s="7" t="str">
        <f>IF(BudgetsTable[[#This Row],[pi_last_name]]=" ","",HYPERLINK("mailto:"&amp;BudgetsTable[[#This Row],[pi_email]]&amp;"&amp;subject=Your NSF Proposal:  "&amp;BudgetsTable[[#This Row],[prop_id]],BudgetsTable[[#This Row],[pi_email]]))</f>
        <v/>
      </c>
      <c r="P426" s="79" t="s">
        <v>13</v>
      </c>
      <c r="Q426" s="79">
        <v>2</v>
      </c>
      <c r="R426" s="79">
        <v>1.5</v>
      </c>
      <c r="S426" s="80">
        <v>0</v>
      </c>
      <c r="T426" s="80">
        <v>3620</v>
      </c>
      <c r="U426" s="80">
        <v>1750</v>
      </c>
      <c r="V426" s="81">
        <v>130552</v>
      </c>
      <c r="W426" s="79">
        <v>0</v>
      </c>
      <c r="X426" s="79">
        <v>4</v>
      </c>
      <c r="Y426" s="11" t="str">
        <f ca="1">IF(ISBLANK(BudgetsTable[[#This Row],[budg_seq_yr]]),"FY"&amp;fiscalyear,"FY"&amp;fiscalyear-1+BudgetsTable[[#This Row],[budg_seq_yr]])</f>
        <v>FY21</v>
      </c>
      <c r="Z426" s="80">
        <v>130552</v>
      </c>
      <c r="AA426" s="79" t="s">
        <v>477</v>
      </c>
      <c r="AB426" s="79" t="s">
        <v>582</v>
      </c>
      <c r="AC426" s="77" t="s">
        <v>94</v>
      </c>
      <c r="AD426" s="79" t="s">
        <v>1797</v>
      </c>
    </row>
    <row r="427" spans="1:30" x14ac:dyDescent="0.4">
      <c r="A427" s="10" t="s">
        <v>1379</v>
      </c>
      <c r="B427" s="77" t="s">
        <v>95</v>
      </c>
      <c r="C427" s="77">
        <f>C426+(BudgetsTable[[#This Row],[lead]]&lt;&gt;K426)</f>
        <v>82</v>
      </c>
      <c r="D427" s="77">
        <f>D426*(BudgetsTable[[#This Row],[lead]]=K426)+(BudgetsTable[[#This Row],[prop_id]]&lt;&gt;A426)</f>
        <v>1</v>
      </c>
      <c r="E427" s="78">
        <v>43005.654861111114</v>
      </c>
      <c r="F427" s="79" t="s">
        <v>524</v>
      </c>
      <c r="G427" s="79" t="s">
        <v>477</v>
      </c>
      <c r="H427" s="79" t="s">
        <v>582</v>
      </c>
      <c r="I427" s="77" t="s">
        <v>654</v>
      </c>
      <c r="J427" s="77" t="s">
        <v>1808</v>
      </c>
      <c r="K427" s="79" t="s">
        <v>1379</v>
      </c>
      <c r="L427" s="7" t="str">
        <f>IF(BudgetsTable[[#This Row],[pi_last_name]]=" ","",HYPERLINK("https://www.ejacket.nsf.gov/ej/showProposal.do?Continue=Y&amp;ID="&amp;BudgetsTable[[#This Row],[prop_id]],BudgetsTable[[#This Row],[prop_id]]))</f>
        <v>1763887</v>
      </c>
      <c r="M427" s="15" t="e">
        <f>IF(BudgetsTable[[#This Row],[pi_last_name]]=" ","",HYPERLINK("https://www.ejacket.nsf.gov/ej/processReviewAnalysis.do?dispatch=add&amp;uniqId="&amp;BudgetsTable[[#This Row],[prop_id]]&amp;PO_id,"&gt;ra"))</f>
        <v>#REF!</v>
      </c>
      <c r="N427" s="79" t="s">
        <v>1380</v>
      </c>
      <c r="O427" s="7" t="str">
        <f>IF(BudgetsTable[[#This Row],[pi_last_name]]=" ","",HYPERLINK("mailto:"&amp;BudgetsTable[[#This Row],[pi_email]]&amp;"&amp;subject=Your NSF Proposal:  "&amp;BudgetsTable[[#This Row],[prop_id]],BudgetsTable[[#This Row],[pi_email]]))</f>
        <v>dwoodruf@andrew.cmu.edu</v>
      </c>
      <c r="P427" s="79" t="s">
        <v>497</v>
      </c>
      <c r="Q427" s="79"/>
      <c r="R427" s="79"/>
      <c r="S427" s="80"/>
      <c r="T427" s="80"/>
      <c r="U427" s="80"/>
      <c r="V427" s="81"/>
      <c r="W427" s="79">
        <v>0</v>
      </c>
      <c r="X427" s="79"/>
      <c r="Y427" s="11" t="str">
        <f ca="1">IF(ISBLANK(BudgetsTable[[#This Row],[budg_seq_yr]]),"FY"&amp;fiscalyear,"FY"&amp;fiscalyear-1+BudgetsTable[[#This Row],[budg_seq_yr]])</f>
        <v>FY18</v>
      </c>
      <c r="Z427" s="80">
        <v>1191636</v>
      </c>
      <c r="AA427" s="79" t="s">
        <v>477</v>
      </c>
      <c r="AB427" s="79" t="s">
        <v>582</v>
      </c>
      <c r="AC427" s="77" t="s">
        <v>94</v>
      </c>
      <c r="AD427" s="79" t="s">
        <v>1806</v>
      </c>
    </row>
    <row r="428" spans="1:30" x14ac:dyDescent="0.4">
      <c r="A428" s="10" t="s">
        <v>1379</v>
      </c>
      <c r="B428" s="77" t="s">
        <v>95</v>
      </c>
      <c r="C428" s="77">
        <f>C427+(BudgetsTable[[#This Row],[lead]]&lt;&gt;K427)</f>
        <v>82</v>
      </c>
      <c r="D428" s="77">
        <f>D427*(BudgetsTable[[#This Row],[lead]]=K427)+(BudgetsTable[[#This Row],[prop_id]]&lt;&gt;A427)</f>
        <v>1</v>
      </c>
      <c r="E428" s="78">
        <v>43005.654861111114</v>
      </c>
      <c r="F428" s="79" t="s">
        <v>524</v>
      </c>
      <c r="G428" s="79" t="s">
        <v>477</v>
      </c>
      <c r="H428" s="79" t="s">
        <v>582</v>
      </c>
      <c r="I428" s="77" t="s">
        <v>654</v>
      </c>
      <c r="J428" s="77" t="s">
        <v>13</v>
      </c>
      <c r="K428" s="79" t="s">
        <v>1379</v>
      </c>
      <c r="L428" s="7" t="str">
        <f>IF(BudgetsTable[[#This Row],[pi_last_name]]=" ","",HYPERLINK("https://www.ejacket.nsf.gov/ej/showProposal.do?Continue=Y&amp;ID="&amp;BudgetsTable[[#This Row],[prop_id]],BudgetsTable[[#This Row],[prop_id]]))</f>
        <v/>
      </c>
      <c r="M428" s="15" t="str">
        <f>IF(BudgetsTable[[#This Row],[pi_last_name]]=" ","",HYPERLINK("https://www.ejacket.nsf.gov/ej/processReviewAnalysis.do?dispatch=add&amp;uniqId="&amp;BudgetsTable[[#This Row],[prop_id]]&amp;PO_id,"&gt;ra"))</f>
        <v/>
      </c>
      <c r="N428" s="79" t="s">
        <v>13</v>
      </c>
      <c r="O428" s="7" t="str">
        <f>IF(BudgetsTable[[#This Row],[pi_last_name]]=" ","",HYPERLINK("mailto:"&amp;BudgetsTable[[#This Row],[pi_email]]&amp;"&amp;subject=Your NSF Proposal:  "&amp;BudgetsTable[[#This Row],[prop_id]],BudgetsTable[[#This Row],[pi_email]]))</f>
        <v/>
      </c>
      <c r="P428" s="79" t="s">
        <v>13</v>
      </c>
      <c r="Q428" s="79">
        <v>2</v>
      </c>
      <c r="R428" s="79">
        <v>2</v>
      </c>
      <c r="S428" s="80">
        <v>0</v>
      </c>
      <c r="T428" s="80">
        <v>3054</v>
      </c>
      <c r="U428" s="80">
        <v>0</v>
      </c>
      <c r="V428" s="81">
        <v>284837</v>
      </c>
      <c r="W428" s="79">
        <v>0</v>
      </c>
      <c r="X428" s="79">
        <v>1</v>
      </c>
      <c r="Y428" s="11" t="str">
        <f ca="1">IF(ISBLANK(BudgetsTable[[#This Row],[budg_seq_yr]]),"FY"&amp;fiscalyear,"FY"&amp;fiscalyear-1+BudgetsTable[[#This Row],[budg_seq_yr]])</f>
        <v>FY18</v>
      </c>
      <c r="Z428" s="80">
        <v>284837</v>
      </c>
      <c r="AA428" s="79" t="s">
        <v>477</v>
      </c>
      <c r="AB428" s="79" t="s">
        <v>582</v>
      </c>
      <c r="AC428" s="77" t="s">
        <v>94</v>
      </c>
      <c r="AD428" s="79" t="s">
        <v>1806</v>
      </c>
    </row>
    <row r="429" spans="1:30" x14ac:dyDescent="0.4">
      <c r="A429" s="10" t="s">
        <v>1379</v>
      </c>
      <c r="B429" s="77" t="s">
        <v>95</v>
      </c>
      <c r="C429" s="77">
        <f>C428+(BudgetsTable[[#This Row],[lead]]&lt;&gt;K428)</f>
        <v>82</v>
      </c>
      <c r="D429" s="77">
        <f>D428*(BudgetsTable[[#This Row],[lead]]=K428)+(BudgetsTable[[#This Row],[prop_id]]&lt;&gt;A428)</f>
        <v>1</v>
      </c>
      <c r="E429" s="78">
        <v>43005.654861111114</v>
      </c>
      <c r="F429" s="79" t="s">
        <v>524</v>
      </c>
      <c r="G429" s="79" t="s">
        <v>477</v>
      </c>
      <c r="H429" s="79" t="s">
        <v>582</v>
      </c>
      <c r="I429" s="77" t="s">
        <v>654</v>
      </c>
      <c r="J429" s="77" t="s">
        <v>13</v>
      </c>
      <c r="K429" s="79" t="s">
        <v>1379</v>
      </c>
      <c r="L429" s="7" t="str">
        <f>IF(BudgetsTable[[#This Row],[pi_last_name]]=" ","",HYPERLINK("https://www.ejacket.nsf.gov/ej/showProposal.do?Continue=Y&amp;ID="&amp;BudgetsTable[[#This Row],[prop_id]],BudgetsTable[[#This Row],[prop_id]]))</f>
        <v/>
      </c>
      <c r="M429" s="15" t="str">
        <f>IF(BudgetsTable[[#This Row],[pi_last_name]]=" ","",HYPERLINK("https://www.ejacket.nsf.gov/ej/processReviewAnalysis.do?dispatch=add&amp;uniqId="&amp;BudgetsTable[[#This Row],[prop_id]]&amp;PO_id,"&gt;ra"))</f>
        <v/>
      </c>
      <c r="N429" s="79" t="s">
        <v>13</v>
      </c>
      <c r="O429" s="7" t="str">
        <f>IF(BudgetsTable[[#This Row],[pi_last_name]]=" ","",HYPERLINK("mailto:"&amp;BudgetsTable[[#This Row],[pi_email]]&amp;"&amp;subject=Your NSF Proposal:  "&amp;BudgetsTable[[#This Row],[prop_id]],BudgetsTable[[#This Row],[pi_email]]))</f>
        <v/>
      </c>
      <c r="P429" s="79" t="s">
        <v>13</v>
      </c>
      <c r="Q429" s="79">
        <v>2</v>
      </c>
      <c r="R429" s="79">
        <v>2</v>
      </c>
      <c r="S429" s="80">
        <v>0</v>
      </c>
      <c r="T429" s="80">
        <v>3146</v>
      </c>
      <c r="U429" s="80">
        <v>0</v>
      </c>
      <c r="V429" s="81">
        <v>293377</v>
      </c>
      <c r="W429" s="79">
        <v>0</v>
      </c>
      <c r="X429" s="79">
        <v>2</v>
      </c>
      <c r="Y429" s="11" t="str">
        <f ca="1">IF(ISBLANK(BudgetsTable[[#This Row],[budg_seq_yr]]),"FY"&amp;fiscalyear,"FY"&amp;fiscalyear-1+BudgetsTable[[#This Row],[budg_seq_yr]])</f>
        <v>FY19</v>
      </c>
      <c r="Z429" s="80">
        <v>293377</v>
      </c>
      <c r="AA429" s="79" t="s">
        <v>477</v>
      </c>
      <c r="AB429" s="79" t="s">
        <v>582</v>
      </c>
      <c r="AC429" s="77" t="s">
        <v>94</v>
      </c>
      <c r="AD429" s="79" t="s">
        <v>1806</v>
      </c>
    </row>
    <row r="430" spans="1:30" x14ac:dyDescent="0.4">
      <c r="A430" s="10" t="s">
        <v>1379</v>
      </c>
      <c r="B430" s="77" t="s">
        <v>95</v>
      </c>
      <c r="C430" s="77">
        <f>C429+(BudgetsTable[[#This Row],[lead]]&lt;&gt;K429)</f>
        <v>82</v>
      </c>
      <c r="D430" s="77">
        <f>D429*(BudgetsTable[[#This Row],[lead]]=K429)+(BudgetsTable[[#This Row],[prop_id]]&lt;&gt;A429)</f>
        <v>1</v>
      </c>
      <c r="E430" s="78">
        <v>43005.654861111114</v>
      </c>
      <c r="F430" s="79" t="s">
        <v>524</v>
      </c>
      <c r="G430" s="79" t="s">
        <v>477</v>
      </c>
      <c r="H430" s="79" t="s">
        <v>582</v>
      </c>
      <c r="I430" s="77" t="s">
        <v>654</v>
      </c>
      <c r="J430" s="77" t="s">
        <v>13</v>
      </c>
      <c r="K430" s="79" t="s">
        <v>1379</v>
      </c>
      <c r="L430" s="7" t="str">
        <f>IF(BudgetsTable[[#This Row],[pi_last_name]]=" ","",HYPERLINK("https://www.ejacket.nsf.gov/ej/showProposal.do?Continue=Y&amp;ID="&amp;BudgetsTable[[#This Row],[prop_id]],BudgetsTable[[#This Row],[prop_id]]))</f>
        <v/>
      </c>
      <c r="M430" s="15" t="str">
        <f>IF(BudgetsTable[[#This Row],[pi_last_name]]=" ","",HYPERLINK("https://www.ejacket.nsf.gov/ej/processReviewAnalysis.do?dispatch=add&amp;uniqId="&amp;BudgetsTable[[#This Row],[prop_id]]&amp;PO_id,"&gt;ra"))</f>
        <v/>
      </c>
      <c r="N430" s="79" t="s">
        <v>13</v>
      </c>
      <c r="O430" s="7" t="str">
        <f>IF(BudgetsTable[[#This Row],[pi_last_name]]=" ","",HYPERLINK("mailto:"&amp;BudgetsTable[[#This Row],[pi_email]]&amp;"&amp;subject=Your NSF Proposal:  "&amp;BudgetsTable[[#This Row],[prop_id]],BudgetsTable[[#This Row],[pi_email]]))</f>
        <v/>
      </c>
      <c r="P430" s="79" t="s">
        <v>13</v>
      </c>
      <c r="Q430" s="79">
        <v>2</v>
      </c>
      <c r="R430" s="79">
        <v>2</v>
      </c>
      <c r="S430" s="80">
        <v>0</v>
      </c>
      <c r="T430" s="80">
        <v>3240</v>
      </c>
      <c r="U430" s="80">
        <v>0</v>
      </c>
      <c r="V430" s="81">
        <v>302183</v>
      </c>
      <c r="W430" s="79">
        <v>0</v>
      </c>
      <c r="X430" s="79">
        <v>3</v>
      </c>
      <c r="Y430" s="11" t="str">
        <f ca="1">IF(ISBLANK(BudgetsTable[[#This Row],[budg_seq_yr]]),"FY"&amp;fiscalyear,"FY"&amp;fiscalyear-1+BudgetsTable[[#This Row],[budg_seq_yr]])</f>
        <v>FY20</v>
      </c>
      <c r="Z430" s="80">
        <v>302183</v>
      </c>
      <c r="AA430" s="79" t="s">
        <v>477</v>
      </c>
      <c r="AB430" s="79" t="s">
        <v>582</v>
      </c>
      <c r="AC430" s="77" t="s">
        <v>94</v>
      </c>
      <c r="AD430" s="79" t="s">
        <v>1806</v>
      </c>
    </row>
    <row r="431" spans="1:30" x14ac:dyDescent="0.4">
      <c r="A431" s="10" t="s">
        <v>1379</v>
      </c>
      <c r="B431" s="77" t="s">
        <v>95</v>
      </c>
      <c r="C431" s="77">
        <f>C430+(BudgetsTable[[#This Row],[lead]]&lt;&gt;K430)</f>
        <v>82</v>
      </c>
      <c r="D431" s="77">
        <f>D430*(BudgetsTable[[#This Row],[lead]]=K430)+(BudgetsTable[[#This Row],[prop_id]]&lt;&gt;A430)</f>
        <v>1</v>
      </c>
      <c r="E431" s="78">
        <v>43005.654861111114</v>
      </c>
      <c r="F431" s="79" t="s">
        <v>524</v>
      </c>
      <c r="G431" s="79" t="s">
        <v>477</v>
      </c>
      <c r="H431" s="79" t="s">
        <v>582</v>
      </c>
      <c r="I431" s="77" t="s">
        <v>654</v>
      </c>
      <c r="J431" s="77" t="s">
        <v>13</v>
      </c>
      <c r="K431" s="79" t="s">
        <v>1379</v>
      </c>
      <c r="L431" s="7" t="str">
        <f>IF(BudgetsTable[[#This Row],[pi_last_name]]=" ","",HYPERLINK("https://www.ejacket.nsf.gov/ej/showProposal.do?Continue=Y&amp;ID="&amp;BudgetsTable[[#This Row],[prop_id]],BudgetsTable[[#This Row],[prop_id]]))</f>
        <v/>
      </c>
      <c r="M431" s="15" t="str">
        <f>IF(BudgetsTable[[#This Row],[pi_last_name]]=" ","",HYPERLINK("https://www.ejacket.nsf.gov/ej/processReviewAnalysis.do?dispatch=add&amp;uniqId="&amp;BudgetsTable[[#This Row],[prop_id]]&amp;PO_id,"&gt;ra"))</f>
        <v/>
      </c>
      <c r="N431" s="79" t="s">
        <v>13</v>
      </c>
      <c r="O431" s="7" t="str">
        <f>IF(BudgetsTable[[#This Row],[pi_last_name]]=" ","",HYPERLINK("mailto:"&amp;BudgetsTable[[#This Row],[pi_email]]&amp;"&amp;subject=Your NSF Proposal:  "&amp;BudgetsTable[[#This Row],[prop_id]],BudgetsTable[[#This Row],[pi_email]]))</f>
        <v/>
      </c>
      <c r="P431" s="79" t="s">
        <v>13</v>
      </c>
      <c r="Q431" s="79">
        <v>2</v>
      </c>
      <c r="R431" s="79">
        <v>2</v>
      </c>
      <c r="S431" s="80">
        <v>0</v>
      </c>
      <c r="T431" s="80">
        <v>3337</v>
      </c>
      <c r="U431" s="80">
        <v>0</v>
      </c>
      <c r="V431" s="81">
        <v>311239</v>
      </c>
      <c r="W431" s="79">
        <v>0</v>
      </c>
      <c r="X431" s="79">
        <v>4</v>
      </c>
      <c r="Y431" s="11" t="str">
        <f ca="1">IF(ISBLANK(BudgetsTable[[#This Row],[budg_seq_yr]]),"FY"&amp;fiscalyear,"FY"&amp;fiscalyear-1+BudgetsTable[[#This Row],[budg_seq_yr]])</f>
        <v>FY21</v>
      </c>
      <c r="Z431" s="80">
        <v>311239</v>
      </c>
      <c r="AA431" s="79" t="s">
        <v>477</v>
      </c>
      <c r="AB431" s="79" t="s">
        <v>582</v>
      </c>
      <c r="AC431" s="77" t="s">
        <v>94</v>
      </c>
      <c r="AD431" s="79" t="s">
        <v>1806</v>
      </c>
    </row>
    <row r="432" spans="1:30" x14ac:dyDescent="0.4">
      <c r="A432" s="10" t="s">
        <v>1387</v>
      </c>
      <c r="B432" s="77" t="s">
        <v>491</v>
      </c>
      <c r="C432" s="77">
        <f>C431+(BudgetsTable[[#This Row],[lead]]&lt;&gt;K431)</f>
        <v>83</v>
      </c>
      <c r="D432" s="77">
        <f>D431*(BudgetsTable[[#This Row],[lead]]=K431)+(BudgetsTable[[#This Row],[prop_id]]&lt;&gt;A431)</f>
        <v>1</v>
      </c>
      <c r="E432" s="78">
        <v>43005.67291666667</v>
      </c>
      <c r="F432" s="79" t="s">
        <v>524</v>
      </c>
      <c r="G432" s="79" t="s">
        <v>477</v>
      </c>
      <c r="H432" s="79" t="s">
        <v>582</v>
      </c>
      <c r="I432" s="77" t="s">
        <v>611</v>
      </c>
      <c r="J432" s="77" t="s">
        <v>1812</v>
      </c>
      <c r="K432" s="79" t="s">
        <v>1387</v>
      </c>
      <c r="L432" s="7" t="str">
        <f>IF(BudgetsTable[[#This Row],[pi_last_name]]=" ","",HYPERLINK("https://www.ejacket.nsf.gov/ej/showProposal.do?Continue=Y&amp;ID="&amp;BudgetsTable[[#This Row],[prop_id]],BudgetsTable[[#This Row],[prop_id]]))</f>
        <v>1763937</v>
      </c>
      <c r="M432" s="15" t="e">
        <f>IF(BudgetsTable[[#This Row],[pi_last_name]]=" ","",HYPERLINK("https://www.ejacket.nsf.gov/ej/processReviewAnalysis.do?dispatch=add&amp;uniqId="&amp;BudgetsTable[[#This Row],[prop_id]]&amp;PO_id,"&gt;ra"))</f>
        <v>#REF!</v>
      </c>
      <c r="N432" s="79" t="s">
        <v>1388</v>
      </c>
      <c r="O432" s="7" t="str">
        <f>IF(BudgetsTable[[#This Row],[pi_last_name]]=" ","",HYPERLINK("mailto:"&amp;BudgetsTable[[#This Row],[pi_email]]&amp;"&amp;subject=Your NSF Proposal:  "&amp;BudgetsTable[[#This Row],[prop_id]],BudgetsTable[[#This Row],[pi_email]]))</f>
        <v>edemaine@mit.edu</v>
      </c>
      <c r="P432" s="79" t="s">
        <v>1487</v>
      </c>
      <c r="Q432" s="79"/>
      <c r="R432" s="79"/>
      <c r="S432" s="80"/>
      <c r="T432" s="80"/>
      <c r="U432" s="80"/>
      <c r="V432" s="81"/>
      <c r="W432" s="79">
        <v>0</v>
      </c>
      <c r="X432" s="79"/>
      <c r="Y432" s="11" t="str">
        <f ca="1">IF(ISBLANK(BudgetsTable[[#This Row],[budg_seq_yr]]),"FY"&amp;fiscalyear,"FY"&amp;fiscalyear-1+BudgetsTable[[#This Row],[budg_seq_yr]])</f>
        <v>FY18</v>
      </c>
      <c r="Z432" s="80">
        <v>600000</v>
      </c>
      <c r="AA432" s="79" t="s">
        <v>477</v>
      </c>
      <c r="AB432" s="79" t="s">
        <v>582</v>
      </c>
      <c r="AC432" s="77" t="s">
        <v>94</v>
      </c>
      <c r="AD432" s="79" t="s">
        <v>1809</v>
      </c>
    </row>
    <row r="433" spans="1:30" x14ac:dyDescent="0.4">
      <c r="A433" s="10" t="s">
        <v>1387</v>
      </c>
      <c r="B433" s="77" t="s">
        <v>491</v>
      </c>
      <c r="C433" s="77">
        <f>C432+(BudgetsTable[[#This Row],[lead]]&lt;&gt;K432)</f>
        <v>83</v>
      </c>
      <c r="D433" s="77">
        <f>D432*(BudgetsTable[[#This Row],[lead]]=K432)+(BudgetsTable[[#This Row],[prop_id]]&lt;&gt;A432)</f>
        <v>1</v>
      </c>
      <c r="E433" s="78">
        <v>43005.67291666667</v>
      </c>
      <c r="F433" s="79" t="s">
        <v>524</v>
      </c>
      <c r="G433" s="79" t="s">
        <v>477</v>
      </c>
      <c r="H433" s="79" t="s">
        <v>582</v>
      </c>
      <c r="I433" s="77" t="s">
        <v>611</v>
      </c>
      <c r="J433" s="77" t="s">
        <v>13</v>
      </c>
      <c r="K433" s="79" t="s">
        <v>1387</v>
      </c>
      <c r="L433" s="7" t="str">
        <f>IF(BudgetsTable[[#This Row],[pi_last_name]]=" ","",HYPERLINK("https://www.ejacket.nsf.gov/ej/showProposal.do?Continue=Y&amp;ID="&amp;BudgetsTable[[#This Row],[prop_id]],BudgetsTable[[#This Row],[prop_id]]))</f>
        <v/>
      </c>
      <c r="M433" s="15" t="str">
        <f>IF(BudgetsTable[[#This Row],[pi_last_name]]=" ","",HYPERLINK("https://www.ejacket.nsf.gov/ej/processReviewAnalysis.do?dispatch=add&amp;uniqId="&amp;BudgetsTable[[#This Row],[prop_id]]&amp;PO_id,"&gt;ra"))</f>
        <v/>
      </c>
      <c r="N433" s="79" t="s">
        <v>13</v>
      </c>
      <c r="O433" s="7" t="str">
        <f>IF(BudgetsTable[[#This Row],[pi_last_name]]=" ","",HYPERLINK("mailto:"&amp;BudgetsTable[[#This Row],[pi_email]]&amp;"&amp;subject=Your NSF Proposal:  "&amp;BudgetsTable[[#This Row],[prop_id]],BudgetsTable[[#This Row],[pi_email]]))</f>
        <v/>
      </c>
      <c r="P433" s="79" t="s">
        <v>13</v>
      </c>
      <c r="Q433" s="79">
        <v>1</v>
      </c>
      <c r="R433" s="79">
        <v>0.5</v>
      </c>
      <c r="S433" s="80">
        <v>0</v>
      </c>
      <c r="T433" s="80">
        <v>0</v>
      </c>
      <c r="U433" s="80">
        <v>0</v>
      </c>
      <c r="V433" s="81">
        <v>147726</v>
      </c>
      <c r="W433" s="79">
        <v>0</v>
      </c>
      <c r="X433" s="79">
        <v>1</v>
      </c>
      <c r="Y433" s="11" t="str">
        <f ca="1">IF(ISBLANK(BudgetsTable[[#This Row],[budg_seq_yr]]),"FY"&amp;fiscalyear,"FY"&amp;fiscalyear-1+BudgetsTable[[#This Row],[budg_seq_yr]])</f>
        <v>FY18</v>
      </c>
      <c r="Z433" s="80">
        <v>147726</v>
      </c>
      <c r="AA433" s="79" t="s">
        <v>477</v>
      </c>
      <c r="AB433" s="79" t="s">
        <v>582</v>
      </c>
      <c r="AC433" s="77" t="s">
        <v>94</v>
      </c>
      <c r="AD433" s="79" t="s">
        <v>1809</v>
      </c>
    </row>
    <row r="434" spans="1:30" x14ac:dyDescent="0.4">
      <c r="A434" s="10" t="s">
        <v>1387</v>
      </c>
      <c r="B434" s="77" t="s">
        <v>491</v>
      </c>
      <c r="C434" s="77">
        <f>C433+(BudgetsTable[[#This Row],[lead]]&lt;&gt;K433)</f>
        <v>83</v>
      </c>
      <c r="D434" s="77">
        <f>D433*(BudgetsTable[[#This Row],[lead]]=K433)+(BudgetsTable[[#This Row],[prop_id]]&lt;&gt;A433)</f>
        <v>1</v>
      </c>
      <c r="E434" s="78">
        <v>43005.67291666667</v>
      </c>
      <c r="F434" s="79" t="s">
        <v>524</v>
      </c>
      <c r="G434" s="79" t="s">
        <v>477</v>
      </c>
      <c r="H434" s="79" t="s">
        <v>582</v>
      </c>
      <c r="I434" s="77" t="s">
        <v>611</v>
      </c>
      <c r="J434" s="77" t="s">
        <v>13</v>
      </c>
      <c r="K434" s="79" t="s">
        <v>1387</v>
      </c>
      <c r="L434" s="7" t="str">
        <f>IF(BudgetsTable[[#This Row],[pi_last_name]]=" ","",HYPERLINK("https://www.ejacket.nsf.gov/ej/showProposal.do?Continue=Y&amp;ID="&amp;BudgetsTable[[#This Row],[prop_id]],BudgetsTable[[#This Row],[prop_id]]))</f>
        <v/>
      </c>
      <c r="M434" s="15" t="str">
        <f>IF(BudgetsTable[[#This Row],[pi_last_name]]=" ","",HYPERLINK("https://www.ejacket.nsf.gov/ej/processReviewAnalysis.do?dispatch=add&amp;uniqId="&amp;BudgetsTable[[#This Row],[prop_id]]&amp;PO_id,"&gt;ra"))</f>
        <v/>
      </c>
      <c r="N434" s="79" t="s">
        <v>13</v>
      </c>
      <c r="O434" s="7" t="str">
        <f>IF(BudgetsTable[[#This Row],[pi_last_name]]=" ","",HYPERLINK("mailto:"&amp;BudgetsTable[[#This Row],[pi_email]]&amp;"&amp;subject=Your NSF Proposal:  "&amp;BudgetsTable[[#This Row],[prop_id]],BudgetsTable[[#This Row],[pi_email]]))</f>
        <v/>
      </c>
      <c r="P434" s="79" t="s">
        <v>13</v>
      </c>
      <c r="Q434" s="79">
        <v>1</v>
      </c>
      <c r="R434" s="79">
        <v>0.5</v>
      </c>
      <c r="S434" s="80">
        <v>0</v>
      </c>
      <c r="T434" s="80">
        <v>0</v>
      </c>
      <c r="U434" s="80">
        <v>0</v>
      </c>
      <c r="V434" s="81">
        <v>147125</v>
      </c>
      <c r="W434" s="79">
        <v>0</v>
      </c>
      <c r="X434" s="79">
        <v>2</v>
      </c>
      <c r="Y434" s="11" t="str">
        <f ca="1">IF(ISBLANK(BudgetsTable[[#This Row],[budg_seq_yr]]),"FY"&amp;fiscalyear,"FY"&amp;fiscalyear-1+BudgetsTable[[#This Row],[budg_seq_yr]])</f>
        <v>FY19</v>
      </c>
      <c r="Z434" s="80">
        <v>147125</v>
      </c>
      <c r="AA434" s="79" t="s">
        <v>477</v>
      </c>
      <c r="AB434" s="79" t="s">
        <v>582</v>
      </c>
      <c r="AC434" s="77" t="s">
        <v>94</v>
      </c>
      <c r="AD434" s="79" t="s">
        <v>1809</v>
      </c>
    </row>
    <row r="435" spans="1:30" x14ac:dyDescent="0.4">
      <c r="A435" s="10" t="s">
        <v>1387</v>
      </c>
      <c r="B435" s="77" t="s">
        <v>491</v>
      </c>
      <c r="C435" s="77">
        <f>C434+(BudgetsTable[[#This Row],[lead]]&lt;&gt;K434)</f>
        <v>83</v>
      </c>
      <c r="D435" s="77">
        <f>D434*(BudgetsTable[[#This Row],[lead]]=K434)+(BudgetsTable[[#This Row],[prop_id]]&lt;&gt;A434)</f>
        <v>1</v>
      </c>
      <c r="E435" s="78">
        <v>43005.67291666667</v>
      </c>
      <c r="F435" s="79" t="s">
        <v>524</v>
      </c>
      <c r="G435" s="79" t="s">
        <v>477</v>
      </c>
      <c r="H435" s="79" t="s">
        <v>582</v>
      </c>
      <c r="I435" s="77" t="s">
        <v>611</v>
      </c>
      <c r="J435" s="77" t="s">
        <v>13</v>
      </c>
      <c r="K435" s="79" t="s">
        <v>1387</v>
      </c>
      <c r="L435" s="7" t="str">
        <f>IF(BudgetsTable[[#This Row],[pi_last_name]]=" ","",HYPERLINK("https://www.ejacket.nsf.gov/ej/showProposal.do?Continue=Y&amp;ID="&amp;BudgetsTable[[#This Row],[prop_id]],BudgetsTable[[#This Row],[prop_id]]))</f>
        <v/>
      </c>
      <c r="M435" s="15" t="str">
        <f>IF(BudgetsTable[[#This Row],[pi_last_name]]=" ","",HYPERLINK("https://www.ejacket.nsf.gov/ej/processReviewAnalysis.do?dispatch=add&amp;uniqId="&amp;BudgetsTable[[#This Row],[prop_id]]&amp;PO_id,"&gt;ra"))</f>
        <v/>
      </c>
      <c r="N435" s="79" t="s">
        <v>13</v>
      </c>
      <c r="O435" s="7" t="str">
        <f>IF(BudgetsTable[[#This Row],[pi_last_name]]=" ","",HYPERLINK("mailto:"&amp;BudgetsTable[[#This Row],[pi_email]]&amp;"&amp;subject=Your NSF Proposal:  "&amp;BudgetsTable[[#This Row],[prop_id]],BudgetsTable[[#This Row],[pi_email]]))</f>
        <v/>
      </c>
      <c r="P435" s="79" t="s">
        <v>13</v>
      </c>
      <c r="Q435" s="79">
        <v>1</v>
      </c>
      <c r="R435" s="79">
        <v>0.5</v>
      </c>
      <c r="S435" s="80">
        <v>0</v>
      </c>
      <c r="T435" s="80">
        <v>0</v>
      </c>
      <c r="U435" s="80">
        <v>0</v>
      </c>
      <c r="V435" s="81">
        <v>150248</v>
      </c>
      <c r="W435" s="79">
        <v>0</v>
      </c>
      <c r="X435" s="79">
        <v>3</v>
      </c>
      <c r="Y435" s="11" t="str">
        <f ca="1">IF(ISBLANK(BudgetsTable[[#This Row],[budg_seq_yr]]),"FY"&amp;fiscalyear,"FY"&amp;fiscalyear-1+BudgetsTable[[#This Row],[budg_seq_yr]])</f>
        <v>FY20</v>
      </c>
      <c r="Z435" s="80">
        <v>150248</v>
      </c>
      <c r="AA435" s="79" t="s">
        <v>477</v>
      </c>
      <c r="AB435" s="79" t="s">
        <v>582</v>
      </c>
      <c r="AC435" s="77" t="s">
        <v>94</v>
      </c>
      <c r="AD435" s="79" t="s">
        <v>1809</v>
      </c>
    </row>
    <row r="436" spans="1:30" x14ac:dyDescent="0.4">
      <c r="A436" s="10" t="s">
        <v>1387</v>
      </c>
      <c r="B436" s="77" t="s">
        <v>491</v>
      </c>
      <c r="C436" s="77">
        <f>C435+(BudgetsTable[[#This Row],[lead]]&lt;&gt;K435)</f>
        <v>83</v>
      </c>
      <c r="D436" s="77">
        <f>D435*(BudgetsTable[[#This Row],[lead]]=K435)+(BudgetsTable[[#This Row],[prop_id]]&lt;&gt;A435)</f>
        <v>1</v>
      </c>
      <c r="E436" s="78">
        <v>43005.67291666667</v>
      </c>
      <c r="F436" s="79" t="s">
        <v>524</v>
      </c>
      <c r="G436" s="79" t="s">
        <v>477</v>
      </c>
      <c r="H436" s="79" t="s">
        <v>582</v>
      </c>
      <c r="I436" s="77" t="s">
        <v>611</v>
      </c>
      <c r="J436" s="77" t="s">
        <v>13</v>
      </c>
      <c r="K436" s="79" t="s">
        <v>1387</v>
      </c>
      <c r="L436" s="7" t="str">
        <f>IF(BudgetsTable[[#This Row],[pi_last_name]]=" ","",HYPERLINK("https://www.ejacket.nsf.gov/ej/showProposal.do?Continue=Y&amp;ID="&amp;BudgetsTable[[#This Row],[prop_id]],BudgetsTable[[#This Row],[prop_id]]))</f>
        <v/>
      </c>
      <c r="M436" s="15" t="str">
        <f>IF(BudgetsTable[[#This Row],[pi_last_name]]=" ","",HYPERLINK("https://www.ejacket.nsf.gov/ej/processReviewAnalysis.do?dispatch=add&amp;uniqId="&amp;BudgetsTable[[#This Row],[prop_id]]&amp;PO_id,"&gt;ra"))</f>
        <v/>
      </c>
      <c r="N436" s="79" t="s">
        <v>13</v>
      </c>
      <c r="O436" s="7" t="str">
        <f>IF(BudgetsTable[[#This Row],[pi_last_name]]=" ","",HYPERLINK("mailto:"&amp;BudgetsTable[[#This Row],[pi_email]]&amp;"&amp;subject=Your NSF Proposal:  "&amp;BudgetsTable[[#This Row],[prop_id]],BudgetsTable[[#This Row],[pi_email]]))</f>
        <v/>
      </c>
      <c r="P436" s="79" t="s">
        <v>13</v>
      </c>
      <c r="Q436" s="79">
        <v>1</v>
      </c>
      <c r="R436" s="79">
        <v>0.5</v>
      </c>
      <c r="S436" s="80">
        <v>0</v>
      </c>
      <c r="T436" s="80">
        <v>0</v>
      </c>
      <c r="U436" s="80">
        <v>0</v>
      </c>
      <c r="V436" s="81">
        <v>154901</v>
      </c>
      <c r="W436" s="79">
        <v>0</v>
      </c>
      <c r="X436" s="79">
        <v>4</v>
      </c>
      <c r="Y436" s="11" t="str">
        <f ca="1">IF(ISBLANK(BudgetsTable[[#This Row],[budg_seq_yr]]),"FY"&amp;fiscalyear,"FY"&amp;fiscalyear-1+BudgetsTable[[#This Row],[budg_seq_yr]])</f>
        <v>FY21</v>
      </c>
      <c r="Z436" s="80">
        <v>154901</v>
      </c>
      <c r="AA436" s="79" t="s">
        <v>477</v>
      </c>
      <c r="AB436" s="79" t="s">
        <v>582</v>
      </c>
      <c r="AC436" s="77" t="s">
        <v>94</v>
      </c>
      <c r="AD436" s="79" t="s">
        <v>1809</v>
      </c>
    </row>
    <row r="437" spans="1:30" x14ac:dyDescent="0.4">
      <c r="A437" s="10" t="s">
        <v>1813</v>
      </c>
      <c r="B437" s="77" t="s">
        <v>493</v>
      </c>
      <c r="C437" s="77">
        <f>C436+(BudgetsTable[[#This Row],[lead]]&lt;&gt;K436)</f>
        <v>83</v>
      </c>
      <c r="D437" s="77">
        <f>D436*(BudgetsTable[[#This Row],[lead]]=K436)+(BudgetsTable[[#This Row],[prop_id]]&lt;&gt;A436)</f>
        <v>2</v>
      </c>
      <c r="E437" s="78">
        <v>43005.448611111111</v>
      </c>
      <c r="F437" s="79" t="s">
        <v>524</v>
      </c>
      <c r="G437" s="79" t="s">
        <v>477</v>
      </c>
      <c r="H437" s="79" t="s">
        <v>582</v>
      </c>
      <c r="I437" s="77" t="s">
        <v>611</v>
      </c>
      <c r="J437" s="77" t="s">
        <v>1816</v>
      </c>
      <c r="K437" s="79" t="s">
        <v>1387</v>
      </c>
      <c r="L437" s="7" t="str">
        <f>IF(BudgetsTable[[#This Row],[pi_last_name]]=" ","",HYPERLINK("https://www.ejacket.nsf.gov/ej/showProposal.do?Continue=Y&amp;ID="&amp;BudgetsTable[[#This Row],[prop_id]],BudgetsTable[[#This Row],[prop_id]]))</f>
        <v>1763521</v>
      </c>
      <c r="M437" s="15" t="e">
        <f>IF(BudgetsTable[[#This Row],[pi_last_name]]=" ","",HYPERLINK("https://www.ejacket.nsf.gov/ej/processReviewAnalysis.do?dispatch=add&amp;uniqId="&amp;BudgetsTable[[#This Row],[prop_id]]&amp;PO_id,"&gt;ra"))</f>
        <v>#REF!</v>
      </c>
      <c r="N437" s="79" t="s">
        <v>1814</v>
      </c>
      <c r="O437" s="7" t="str">
        <f>IF(BudgetsTable[[#This Row],[pi_last_name]]=" ","",HYPERLINK("mailto:"&amp;BudgetsTable[[#This Row],[pi_email]]&amp;"&amp;subject=Your NSF Proposal:  "&amp;BudgetsTable[[#This Row],[prop_id]],BudgetsTable[[#This Row],[pi_email]]))</f>
        <v>hajiagha@cs.umd.edu</v>
      </c>
      <c r="P437" s="79" t="s">
        <v>500</v>
      </c>
      <c r="Q437" s="79"/>
      <c r="R437" s="79"/>
      <c r="S437" s="80"/>
      <c r="T437" s="80"/>
      <c r="U437" s="80"/>
      <c r="V437" s="81"/>
      <c r="W437" s="79">
        <v>0</v>
      </c>
      <c r="X437" s="79"/>
      <c r="Y437" s="11" t="str">
        <f ca="1">IF(ISBLANK(BudgetsTable[[#This Row],[budg_seq_yr]]),"FY"&amp;fiscalyear,"FY"&amp;fiscalyear-1+BudgetsTable[[#This Row],[budg_seq_yr]])</f>
        <v>FY18</v>
      </c>
      <c r="Z437" s="80">
        <v>600000</v>
      </c>
      <c r="AA437" s="79" t="s">
        <v>477</v>
      </c>
      <c r="AB437" s="79" t="s">
        <v>582</v>
      </c>
      <c r="AC437" s="77" t="s">
        <v>94</v>
      </c>
      <c r="AD437" s="79" t="s">
        <v>1809</v>
      </c>
    </row>
    <row r="438" spans="1:30" x14ac:dyDescent="0.4">
      <c r="A438" s="10" t="s">
        <v>1813</v>
      </c>
      <c r="B438" s="77" t="s">
        <v>493</v>
      </c>
      <c r="C438" s="77">
        <f>C437+(BudgetsTable[[#This Row],[lead]]&lt;&gt;K437)</f>
        <v>83</v>
      </c>
      <c r="D438" s="77">
        <f>D437*(BudgetsTable[[#This Row],[lead]]=K437)+(BudgetsTable[[#This Row],[prop_id]]&lt;&gt;A437)</f>
        <v>2</v>
      </c>
      <c r="E438" s="78">
        <v>43005.448611111111</v>
      </c>
      <c r="F438" s="79" t="s">
        <v>524</v>
      </c>
      <c r="G438" s="79" t="s">
        <v>477</v>
      </c>
      <c r="H438" s="79" t="s">
        <v>582</v>
      </c>
      <c r="I438" s="77" t="s">
        <v>611</v>
      </c>
      <c r="J438" s="77" t="s">
        <v>13</v>
      </c>
      <c r="K438" s="79" t="s">
        <v>1387</v>
      </c>
      <c r="L438" s="7" t="str">
        <f>IF(BudgetsTable[[#This Row],[pi_last_name]]=" ","",HYPERLINK("https://www.ejacket.nsf.gov/ej/showProposal.do?Continue=Y&amp;ID="&amp;BudgetsTable[[#This Row],[prop_id]],BudgetsTable[[#This Row],[prop_id]]))</f>
        <v/>
      </c>
      <c r="M438" s="15" t="str">
        <f>IF(BudgetsTable[[#This Row],[pi_last_name]]=" ","",HYPERLINK("https://www.ejacket.nsf.gov/ej/processReviewAnalysis.do?dispatch=add&amp;uniqId="&amp;BudgetsTable[[#This Row],[prop_id]]&amp;PO_id,"&gt;ra"))</f>
        <v/>
      </c>
      <c r="N438" s="79" t="s">
        <v>13</v>
      </c>
      <c r="O438" s="7" t="str">
        <f>IF(BudgetsTable[[#This Row],[pi_last_name]]=" ","",HYPERLINK("mailto:"&amp;BudgetsTable[[#This Row],[pi_email]]&amp;"&amp;subject=Your NSF Proposal:  "&amp;BudgetsTable[[#This Row],[prop_id]],BudgetsTable[[#This Row],[pi_email]]))</f>
        <v/>
      </c>
      <c r="P438" s="79" t="s">
        <v>13</v>
      </c>
      <c r="Q438" s="79">
        <v>1</v>
      </c>
      <c r="R438" s="79">
        <v>0</v>
      </c>
      <c r="S438" s="80">
        <v>0</v>
      </c>
      <c r="T438" s="80">
        <v>3000</v>
      </c>
      <c r="U438" s="80">
        <v>0</v>
      </c>
      <c r="V438" s="81">
        <v>142710</v>
      </c>
      <c r="W438" s="79">
        <v>0</v>
      </c>
      <c r="X438" s="79">
        <v>1</v>
      </c>
      <c r="Y438" s="11" t="str">
        <f ca="1">IF(ISBLANK(BudgetsTable[[#This Row],[budg_seq_yr]]),"FY"&amp;fiscalyear,"FY"&amp;fiscalyear-1+BudgetsTable[[#This Row],[budg_seq_yr]])</f>
        <v>FY18</v>
      </c>
      <c r="Z438" s="80">
        <v>142710</v>
      </c>
      <c r="AA438" s="79" t="s">
        <v>477</v>
      </c>
      <c r="AB438" s="79" t="s">
        <v>582</v>
      </c>
      <c r="AC438" s="77" t="s">
        <v>94</v>
      </c>
      <c r="AD438" s="79" t="s">
        <v>1809</v>
      </c>
    </row>
    <row r="439" spans="1:30" x14ac:dyDescent="0.4">
      <c r="A439" s="10" t="s">
        <v>1813</v>
      </c>
      <c r="B439" s="77" t="s">
        <v>493</v>
      </c>
      <c r="C439" s="77">
        <f>C438+(BudgetsTable[[#This Row],[lead]]&lt;&gt;K438)</f>
        <v>83</v>
      </c>
      <c r="D439" s="77">
        <f>D438*(BudgetsTable[[#This Row],[lead]]=K438)+(BudgetsTable[[#This Row],[prop_id]]&lt;&gt;A438)</f>
        <v>2</v>
      </c>
      <c r="E439" s="78">
        <v>43005.448611111111</v>
      </c>
      <c r="F439" s="79" t="s">
        <v>524</v>
      </c>
      <c r="G439" s="79" t="s">
        <v>477</v>
      </c>
      <c r="H439" s="79" t="s">
        <v>582</v>
      </c>
      <c r="I439" s="77" t="s">
        <v>611</v>
      </c>
      <c r="J439" s="77" t="s">
        <v>13</v>
      </c>
      <c r="K439" s="79" t="s">
        <v>1387</v>
      </c>
      <c r="L439" s="7" t="str">
        <f>IF(BudgetsTable[[#This Row],[pi_last_name]]=" ","",HYPERLINK("https://www.ejacket.nsf.gov/ej/showProposal.do?Continue=Y&amp;ID="&amp;BudgetsTable[[#This Row],[prop_id]],BudgetsTable[[#This Row],[prop_id]]))</f>
        <v/>
      </c>
      <c r="M439" s="15" t="str">
        <f>IF(BudgetsTable[[#This Row],[pi_last_name]]=" ","",HYPERLINK("https://www.ejacket.nsf.gov/ej/processReviewAnalysis.do?dispatch=add&amp;uniqId="&amp;BudgetsTable[[#This Row],[prop_id]]&amp;PO_id,"&gt;ra"))</f>
        <v/>
      </c>
      <c r="N439" s="79" t="s">
        <v>13</v>
      </c>
      <c r="O439" s="7" t="str">
        <f>IF(BudgetsTable[[#This Row],[pi_last_name]]=" ","",HYPERLINK("mailto:"&amp;BudgetsTable[[#This Row],[pi_email]]&amp;"&amp;subject=Your NSF Proposal:  "&amp;BudgetsTable[[#This Row],[prop_id]],BudgetsTable[[#This Row],[pi_email]]))</f>
        <v/>
      </c>
      <c r="P439" s="79" t="s">
        <v>13</v>
      </c>
      <c r="Q439" s="79">
        <v>1</v>
      </c>
      <c r="R439" s="79">
        <v>0</v>
      </c>
      <c r="S439" s="80">
        <v>0</v>
      </c>
      <c r="T439" s="80">
        <v>3000</v>
      </c>
      <c r="U439" s="80">
        <v>0</v>
      </c>
      <c r="V439" s="81">
        <v>146852</v>
      </c>
      <c r="W439" s="79">
        <v>0</v>
      </c>
      <c r="X439" s="79">
        <v>2</v>
      </c>
      <c r="Y439" s="11" t="str">
        <f ca="1">IF(ISBLANK(BudgetsTable[[#This Row],[budg_seq_yr]]),"FY"&amp;fiscalyear,"FY"&amp;fiscalyear-1+BudgetsTable[[#This Row],[budg_seq_yr]])</f>
        <v>FY19</v>
      </c>
      <c r="Z439" s="80">
        <v>146852</v>
      </c>
      <c r="AA439" s="79" t="s">
        <v>477</v>
      </c>
      <c r="AB439" s="79" t="s">
        <v>582</v>
      </c>
      <c r="AC439" s="77" t="s">
        <v>94</v>
      </c>
      <c r="AD439" s="79" t="s">
        <v>1809</v>
      </c>
    </row>
    <row r="440" spans="1:30" x14ac:dyDescent="0.4">
      <c r="A440" s="10" t="s">
        <v>1813</v>
      </c>
      <c r="B440" s="77" t="s">
        <v>493</v>
      </c>
      <c r="C440" s="77">
        <f>C439+(BudgetsTable[[#This Row],[lead]]&lt;&gt;K439)</f>
        <v>83</v>
      </c>
      <c r="D440" s="77">
        <f>D439*(BudgetsTable[[#This Row],[lead]]=K439)+(BudgetsTable[[#This Row],[prop_id]]&lt;&gt;A439)</f>
        <v>2</v>
      </c>
      <c r="E440" s="78">
        <v>43005.448611111111</v>
      </c>
      <c r="F440" s="79" t="s">
        <v>524</v>
      </c>
      <c r="G440" s="79" t="s">
        <v>477</v>
      </c>
      <c r="H440" s="79" t="s">
        <v>582</v>
      </c>
      <c r="I440" s="77" t="s">
        <v>611</v>
      </c>
      <c r="J440" s="77" t="s">
        <v>13</v>
      </c>
      <c r="K440" s="79" t="s">
        <v>1387</v>
      </c>
      <c r="L440" s="7" t="str">
        <f>IF(BudgetsTable[[#This Row],[pi_last_name]]=" ","",HYPERLINK("https://www.ejacket.nsf.gov/ej/showProposal.do?Continue=Y&amp;ID="&amp;BudgetsTable[[#This Row],[prop_id]],BudgetsTable[[#This Row],[prop_id]]))</f>
        <v/>
      </c>
      <c r="M440" s="15" t="str">
        <f>IF(BudgetsTable[[#This Row],[pi_last_name]]=" ","",HYPERLINK("https://www.ejacket.nsf.gov/ej/processReviewAnalysis.do?dispatch=add&amp;uniqId="&amp;BudgetsTable[[#This Row],[prop_id]]&amp;PO_id,"&gt;ra"))</f>
        <v/>
      </c>
      <c r="N440" s="79" t="s">
        <v>13</v>
      </c>
      <c r="O440" s="7" t="str">
        <f>IF(BudgetsTable[[#This Row],[pi_last_name]]=" ","",HYPERLINK("mailto:"&amp;BudgetsTable[[#This Row],[pi_email]]&amp;"&amp;subject=Your NSF Proposal:  "&amp;BudgetsTable[[#This Row],[prop_id]],BudgetsTable[[#This Row],[pi_email]]))</f>
        <v/>
      </c>
      <c r="P440" s="79" t="s">
        <v>13</v>
      </c>
      <c r="Q440" s="79">
        <v>1</v>
      </c>
      <c r="R440" s="79">
        <v>0</v>
      </c>
      <c r="S440" s="80">
        <v>0</v>
      </c>
      <c r="T440" s="80">
        <v>3000</v>
      </c>
      <c r="U440" s="80">
        <v>0</v>
      </c>
      <c r="V440" s="81">
        <v>151126</v>
      </c>
      <c r="W440" s="79">
        <v>0</v>
      </c>
      <c r="X440" s="79">
        <v>3</v>
      </c>
      <c r="Y440" s="11" t="str">
        <f ca="1">IF(ISBLANK(BudgetsTable[[#This Row],[budg_seq_yr]]),"FY"&amp;fiscalyear,"FY"&amp;fiscalyear-1+BudgetsTable[[#This Row],[budg_seq_yr]])</f>
        <v>FY20</v>
      </c>
      <c r="Z440" s="80">
        <v>151126</v>
      </c>
      <c r="AA440" s="79" t="s">
        <v>477</v>
      </c>
      <c r="AB440" s="79" t="s">
        <v>582</v>
      </c>
      <c r="AC440" s="77" t="s">
        <v>94</v>
      </c>
      <c r="AD440" s="79" t="s">
        <v>1809</v>
      </c>
    </row>
    <row r="441" spans="1:30" x14ac:dyDescent="0.4">
      <c r="A441" s="10" t="s">
        <v>1813</v>
      </c>
      <c r="B441" s="77" t="s">
        <v>493</v>
      </c>
      <c r="C441" s="77">
        <f>C440+(BudgetsTable[[#This Row],[lead]]&lt;&gt;K440)</f>
        <v>83</v>
      </c>
      <c r="D441" s="77">
        <f>D440*(BudgetsTable[[#This Row],[lead]]=K440)+(BudgetsTable[[#This Row],[prop_id]]&lt;&gt;A440)</f>
        <v>2</v>
      </c>
      <c r="E441" s="78">
        <v>43005.448611111111</v>
      </c>
      <c r="F441" s="79" t="s">
        <v>524</v>
      </c>
      <c r="G441" s="79" t="s">
        <v>477</v>
      </c>
      <c r="H441" s="79" t="s">
        <v>582</v>
      </c>
      <c r="I441" s="77" t="s">
        <v>611</v>
      </c>
      <c r="J441" s="77" t="s">
        <v>13</v>
      </c>
      <c r="K441" s="79" t="s">
        <v>1387</v>
      </c>
      <c r="L441" s="7" t="str">
        <f>IF(BudgetsTable[[#This Row],[pi_last_name]]=" ","",HYPERLINK("https://www.ejacket.nsf.gov/ej/showProposal.do?Continue=Y&amp;ID="&amp;BudgetsTable[[#This Row],[prop_id]],BudgetsTable[[#This Row],[prop_id]]))</f>
        <v/>
      </c>
      <c r="M441" s="15" t="str">
        <f>IF(BudgetsTable[[#This Row],[pi_last_name]]=" ","",HYPERLINK("https://www.ejacket.nsf.gov/ej/processReviewAnalysis.do?dispatch=add&amp;uniqId="&amp;BudgetsTable[[#This Row],[prop_id]]&amp;PO_id,"&gt;ra"))</f>
        <v/>
      </c>
      <c r="N441" s="79" t="s">
        <v>13</v>
      </c>
      <c r="O441" s="7" t="str">
        <f>IF(BudgetsTable[[#This Row],[pi_last_name]]=" ","",HYPERLINK("mailto:"&amp;BudgetsTable[[#This Row],[pi_email]]&amp;"&amp;subject=Your NSF Proposal:  "&amp;BudgetsTable[[#This Row],[prop_id]],BudgetsTable[[#This Row],[pi_email]]))</f>
        <v/>
      </c>
      <c r="P441" s="79" t="s">
        <v>13</v>
      </c>
      <c r="Q441" s="79">
        <v>1</v>
      </c>
      <c r="R441" s="79">
        <v>0</v>
      </c>
      <c r="S441" s="80">
        <v>0</v>
      </c>
      <c r="T441" s="80">
        <v>3000</v>
      </c>
      <c r="U441" s="80">
        <v>0</v>
      </c>
      <c r="V441" s="81">
        <v>159312</v>
      </c>
      <c r="W441" s="79">
        <v>0</v>
      </c>
      <c r="X441" s="79">
        <v>4</v>
      </c>
      <c r="Y441" s="11" t="str">
        <f ca="1">IF(ISBLANK(BudgetsTable[[#This Row],[budg_seq_yr]]),"FY"&amp;fiscalyear,"FY"&amp;fiscalyear-1+BudgetsTable[[#This Row],[budg_seq_yr]])</f>
        <v>FY21</v>
      </c>
      <c r="Z441" s="80">
        <v>159312</v>
      </c>
      <c r="AA441" s="79" t="s">
        <v>477</v>
      </c>
      <c r="AB441" s="79" t="s">
        <v>582</v>
      </c>
      <c r="AC441" s="77" t="s">
        <v>94</v>
      </c>
      <c r="AD441" s="79" t="s">
        <v>1809</v>
      </c>
    </row>
    <row r="442" spans="1:30" x14ac:dyDescent="0.4">
      <c r="A442" s="10" t="s">
        <v>1395</v>
      </c>
      <c r="B442" s="77" t="s">
        <v>95</v>
      </c>
      <c r="C442" s="77">
        <f>C441+(BudgetsTable[[#This Row],[lead]]&lt;&gt;K441)</f>
        <v>84</v>
      </c>
      <c r="D442" s="77">
        <f>D441*(BudgetsTable[[#This Row],[lead]]=K441)+(BudgetsTable[[#This Row],[prop_id]]&lt;&gt;A441)</f>
        <v>1</v>
      </c>
      <c r="E442" s="78">
        <v>43005.686805555553</v>
      </c>
      <c r="F442" s="79" t="s">
        <v>524</v>
      </c>
      <c r="G442" s="79" t="s">
        <v>477</v>
      </c>
      <c r="H442" s="79" t="s">
        <v>582</v>
      </c>
      <c r="I442" s="77" t="s">
        <v>654</v>
      </c>
      <c r="J442" s="77" t="s">
        <v>1821</v>
      </c>
      <c r="K442" s="79" t="s">
        <v>1395</v>
      </c>
      <c r="L442" s="7" t="str">
        <f>IF(BudgetsTable[[#This Row],[pi_last_name]]=" ","",HYPERLINK("https://www.ejacket.nsf.gov/ej/showProposal.do?Continue=Y&amp;ID="&amp;BudgetsTable[[#This Row],[prop_id]],BudgetsTable[[#This Row],[prop_id]]))</f>
        <v>1763970</v>
      </c>
      <c r="M442" s="15" t="e">
        <f>IF(BudgetsTable[[#This Row],[pi_last_name]]=" ","",HYPERLINK("https://www.ejacket.nsf.gov/ej/processReviewAnalysis.do?dispatch=add&amp;uniqId="&amp;BudgetsTable[[#This Row],[prop_id]]&amp;PO_id,"&gt;ra"))</f>
        <v>#REF!</v>
      </c>
      <c r="N442" s="79" t="s">
        <v>1396</v>
      </c>
      <c r="O442" s="7" t="str">
        <f>IF(BudgetsTable[[#This Row],[pi_last_name]]=" ","",HYPERLINK("mailto:"&amp;BudgetsTable[[#This Row],[pi_email]]&amp;"&amp;subject=Your NSF Proposal:  "&amp;BudgetsTable[[#This Row],[prop_id]],BudgetsTable[[#This Row],[pi_email]]))</f>
        <v>christos@cs.berkeley.edu</v>
      </c>
      <c r="P442" s="79" t="s">
        <v>1472</v>
      </c>
      <c r="Q442" s="79"/>
      <c r="R442" s="79"/>
      <c r="S442" s="80"/>
      <c r="T442" s="80"/>
      <c r="U442" s="80"/>
      <c r="V442" s="81"/>
      <c r="W442" s="79">
        <v>0</v>
      </c>
      <c r="X442" s="79"/>
      <c r="Y442" s="11" t="str">
        <f ca="1">IF(ISBLANK(BudgetsTable[[#This Row],[budg_seq_yr]]),"FY"&amp;fiscalyear,"FY"&amp;fiscalyear-1+BudgetsTable[[#This Row],[budg_seq_yr]])</f>
        <v>FY18</v>
      </c>
      <c r="Z442" s="80">
        <v>1200000</v>
      </c>
      <c r="AA442" s="79" t="s">
        <v>477</v>
      </c>
      <c r="AB442" s="79" t="s">
        <v>582</v>
      </c>
      <c r="AC442" s="77" t="s">
        <v>94</v>
      </c>
      <c r="AD442" s="79" t="s">
        <v>1817</v>
      </c>
    </row>
    <row r="443" spans="1:30" x14ac:dyDescent="0.4">
      <c r="A443" s="10" t="s">
        <v>1395</v>
      </c>
      <c r="B443" s="77" t="s">
        <v>95</v>
      </c>
      <c r="C443" s="77">
        <f>C442+(BudgetsTable[[#This Row],[lead]]&lt;&gt;K442)</f>
        <v>84</v>
      </c>
      <c r="D443" s="77">
        <f>D442*(BudgetsTable[[#This Row],[lead]]=K442)+(BudgetsTable[[#This Row],[prop_id]]&lt;&gt;A442)</f>
        <v>1</v>
      </c>
      <c r="E443" s="78">
        <v>43005.686805555553</v>
      </c>
      <c r="F443" s="79" t="s">
        <v>524</v>
      </c>
      <c r="G443" s="79" t="s">
        <v>477</v>
      </c>
      <c r="H443" s="79" t="s">
        <v>582</v>
      </c>
      <c r="I443" s="77" t="s">
        <v>654</v>
      </c>
      <c r="J443" s="77" t="s">
        <v>13</v>
      </c>
      <c r="K443" s="79" t="s">
        <v>1395</v>
      </c>
      <c r="L443" s="7" t="str">
        <f>IF(BudgetsTable[[#This Row],[pi_last_name]]=" ","",HYPERLINK("https://www.ejacket.nsf.gov/ej/showProposal.do?Continue=Y&amp;ID="&amp;BudgetsTable[[#This Row],[prop_id]],BudgetsTable[[#This Row],[prop_id]]))</f>
        <v/>
      </c>
      <c r="M443" s="15" t="str">
        <f>IF(BudgetsTable[[#This Row],[pi_last_name]]=" ","",HYPERLINK("https://www.ejacket.nsf.gov/ej/processReviewAnalysis.do?dispatch=add&amp;uniqId="&amp;BudgetsTable[[#This Row],[prop_id]]&amp;PO_id,"&gt;ra"))</f>
        <v/>
      </c>
      <c r="N443" s="79" t="s">
        <v>13</v>
      </c>
      <c r="O443" s="7" t="str">
        <f>IF(BudgetsTable[[#This Row],[pi_last_name]]=" ","",HYPERLINK("mailto:"&amp;BudgetsTable[[#This Row],[pi_email]]&amp;"&amp;subject=Your NSF Proposal:  "&amp;BudgetsTable[[#This Row],[prop_id]],BudgetsTable[[#This Row],[pi_email]]))</f>
        <v/>
      </c>
      <c r="P443" s="79" t="s">
        <v>13</v>
      </c>
      <c r="Q443" s="79">
        <v>2</v>
      </c>
      <c r="R443" s="79">
        <v>0</v>
      </c>
      <c r="S443" s="80">
        <v>0</v>
      </c>
      <c r="T443" s="80">
        <v>0</v>
      </c>
      <c r="U443" s="80">
        <v>0</v>
      </c>
      <c r="V443" s="81">
        <v>186373</v>
      </c>
      <c r="W443" s="79">
        <v>0</v>
      </c>
      <c r="X443" s="79">
        <v>1</v>
      </c>
      <c r="Y443" s="11" t="str">
        <f ca="1">IF(ISBLANK(BudgetsTable[[#This Row],[budg_seq_yr]]),"FY"&amp;fiscalyear,"FY"&amp;fiscalyear-1+BudgetsTable[[#This Row],[budg_seq_yr]])</f>
        <v>FY18</v>
      </c>
      <c r="Z443" s="80">
        <v>186373</v>
      </c>
      <c r="AA443" s="79" t="s">
        <v>477</v>
      </c>
      <c r="AB443" s="79" t="s">
        <v>582</v>
      </c>
      <c r="AC443" s="77" t="s">
        <v>94</v>
      </c>
      <c r="AD443" s="79" t="s">
        <v>1817</v>
      </c>
    </row>
    <row r="444" spans="1:30" x14ac:dyDescent="0.4">
      <c r="A444" s="10" t="s">
        <v>1395</v>
      </c>
      <c r="B444" s="77" t="s">
        <v>95</v>
      </c>
      <c r="C444" s="77">
        <f>C443+(BudgetsTable[[#This Row],[lead]]&lt;&gt;K443)</f>
        <v>84</v>
      </c>
      <c r="D444" s="77">
        <f>D443*(BudgetsTable[[#This Row],[lead]]=K443)+(BudgetsTable[[#This Row],[prop_id]]&lt;&gt;A443)</f>
        <v>1</v>
      </c>
      <c r="E444" s="78">
        <v>43005.686805555553</v>
      </c>
      <c r="F444" s="79" t="s">
        <v>524</v>
      </c>
      <c r="G444" s="79" t="s">
        <v>477</v>
      </c>
      <c r="H444" s="79" t="s">
        <v>582</v>
      </c>
      <c r="I444" s="77" t="s">
        <v>654</v>
      </c>
      <c r="J444" s="77" t="s">
        <v>13</v>
      </c>
      <c r="K444" s="79" t="s">
        <v>1395</v>
      </c>
      <c r="L444" s="7" t="str">
        <f>IF(BudgetsTable[[#This Row],[pi_last_name]]=" ","",HYPERLINK("https://www.ejacket.nsf.gov/ej/showProposal.do?Continue=Y&amp;ID="&amp;BudgetsTable[[#This Row],[prop_id]],BudgetsTable[[#This Row],[prop_id]]))</f>
        <v/>
      </c>
      <c r="M444" s="15" t="str">
        <f>IF(BudgetsTable[[#This Row],[pi_last_name]]=" ","",HYPERLINK("https://www.ejacket.nsf.gov/ej/processReviewAnalysis.do?dispatch=add&amp;uniqId="&amp;BudgetsTable[[#This Row],[prop_id]]&amp;PO_id,"&gt;ra"))</f>
        <v/>
      </c>
      <c r="N444" s="79" t="s">
        <v>13</v>
      </c>
      <c r="O444" s="7" t="str">
        <f>IF(BudgetsTable[[#This Row],[pi_last_name]]=" ","",HYPERLINK("mailto:"&amp;BudgetsTable[[#This Row],[pi_email]]&amp;"&amp;subject=Your NSF Proposal:  "&amp;BudgetsTable[[#This Row],[prop_id]],BudgetsTable[[#This Row],[pi_email]]))</f>
        <v/>
      </c>
      <c r="P444" s="79" t="s">
        <v>13</v>
      </c>
      <c r="Q444" s="79">
        <v>2</v>
      </c>
      <c r="R444" s="79">
        <v>0</v>
      </c>
      <c r="S444" s="80">
        <v>0</v>
      </c>
      <c r="T444" s="80">
        <v>0</v>
      </c>
      <c r="U444" s="80">
        <v>0</v>
      </c>
      <c r="V444" s="81">
        <v>382389</v>
      </c>
      <c r="W444" s="79">
        <v>0</v>
      </c>
      <c r="X444" s="79">
        <v>2</v>
      </c>
      <c r="Y444" s="11" t="str">
        <f ca="1">IF(ISBLANK(BudgetsTable[[#This Row],[budg_seq_yr]]),"FY"&amp;fiscalyear,"FY"&amp;fiscalyear-1+BudgetsTable[[#This Row],[budg_seq_yr]])</f>
        <v>FY19</v>
      </c>
      <c r="Z444" s="80">
        <v>382389</v>
      </c>
      <c r="AA444" s="79" t="s">
        <v>477</v>
      </c>
      <c r="AB444" s="79" t="s">
        <v>582</v>
      </c>
      <c r="AC444" s="77" t="s">
        <v>94</v>
      </c>
      <c r="AD444" s="79" t="s">
        <v>1817</v>
      </c>
    </row>
    <row r="445" spans="1:30" x14ac:dyDescent="0.4">
      <c r="A445" s="10" t="s">
        <v>1395</v>
      </c>
      <c r="B445" s="77" t="s">
        <v>95</v>
      </c>
      <c r="C445" s="77">
        <f>C444+(BudgetsTable[[#This Row],[lead]]&lt;&gt;K444)</f>
        <v>84</v>
      </c>
      <c r="D445" s="77">
        <f>D444*(BudgetsTable[[#This Row],[lead]]=K444)+(BudgetsTable[[#This Row],[prop_id]]&lt;&gt;A444)</f>
        <v>1</v>
      </c>
      <c r="E445" s="78">
        <v>43005.686805555553</v>
      </c>
      <c r="F445" s="79" t="s">
        <v>524</v>
      </c>
      <c r="G445" s="79" t="s">
        <v>477</v>
      </c>
      <c r="H445" s="79" t="s">
        <v>582</v>
      </c>
      <c r="I445" s="77" t="s">
        <v>654</v>
      </c>
      <c r="J445" s="77" t="s">
        <v>13</v>
      </c>
      <c r="K445" s="79" t="s">
        <v>1395</v>
      </c>
      <c r="L445" s="7" t="str">
        <f>IF(BudgetsTable[[#This Row],[pi_last_name]]=" ","",HYPERLINK("https://www.ejacket.nsf.gov/ej/showProposal.do?Continue=Y&amp;ID="&amp;BudgetsTable[[#This Row],[prop_id]],BudgetsTable[[#This Row],[prop_id]]))</f>
        <v/>
      </c>
      <c r="M445" s="15" t="str">
        <f>IF(BudgetsTable[[#This Row],[pi_last_name]]=" ","",HYPERLINK("https://www.ejacket.nsf.gov/ej/processReviewAnalysis.do?dispatch=add&amp;uniqId="&amp;BudgetsTable[[#This Row],[prop_id]]&amp;PO_id,"&gt;ra"))</f>
        <v/>
      </c>
      <c r="N445" s="79" t="s">
        <v>13</v>
      </c>
      <c r="O445" s="7" t="str">
        <f>IF(BudgetsTable[[#This Row],[pi_last_name]]=" ","",HYPERLINK("mailto:"&amp;BudgetsTable[[#This Row],[pi_email]]&amp;"&amp;subject=Your NSF Proposal:  "&amp;BudgetsTable[[#This Row],[prop_id]],BudgetsTable[[#This Row],[pi_email]]))</f>
        <v/>
      </c>
      <c r="P445" s="79" t="s">
        <v>13</v>
      </c>
      <c r="Q445" s="79">
        <v>2</v>
      </c>
      <c r="R445" s="79">
        <v>0</v>
      </c>
      <c r="S445" s="80">
        <v>0</v>
      </c>
      <c r="T445" s="80">
        <v>0</v>
      </c>
      <c r="U445" s="80">
        <v>0</v>
      </c>
      <c r="V445" s="81">
        <v>322496</v>
      </c>
      <c r="W445" s="79">
        <v>0</v>
      </c>
      <c r="X445" s="79">
        <v>3</v>
      </c>
      <c r="Y445" s="11" t="str">
        <f ca="1">IF(ISBLANK(BudgetsTable[[#This Row],[budg_seq_yr]]),"FY"&amp;fiscalyear,"FY"&amp;fiscalyear-1+BudgetsTable[[#This Row],[budg_seq_yr]])</f>
        <v>FY20</v>
      </c>
      <c r="Z445" s="80">
        <v>322496</v>
      </c>
      <c r="AA445" s="79" t="s">
        <v>477</v>
      </c>
      <c r="AB445" s="79" t="s">
        <v>582</v>
      </c>
      <c r="AC445" s="77" t="s">
        <v>94</v>
      </c>
      <c r="AD445" s="79" t="s">
        <v>1817</v>
      </c>
    </row>
    <row r="446" spans="1:30" x14ac:dyDescent="0.4">
      <c r="A446" s="10" t="s">
        <v>1395</v>
      </c>
      <c r="B446" s="77" t="s">
        <v>95</v>
      </c>
      <c r="C446" s="77">
        <f>C445+(BudgetsTable[[#This Row],[lead]]&lt;&gt;K445)</f>
        <v>84</v>
      </c>
      <c r="D446" s="77">
        <f>D445*(BudgetsTable[[#This Row],[lead]]=K445)+(BudgetsTable[[#This Row],[prop_id]]&lt;&gt;A445)</f>
        <v>1</v>
      </c>
      <c r="E446" s="78">
        <v>43005.686805555553</v>
      </c>
      <c r="F446" s="79" t="s">
        <v>524</v>
      </c>
      <c r="G446" s="79" t="s">
        <v>477</v>
      </c>
      <c r="H446" s="79" t="s">
        <v>582</v>
      </c>
      <c r="I446" s="77" t="s">
        <v>654</v>
      </c>
      <c r="J446" s="77" t="s">
        <v>13</v>
      </c>
      <c r="K446" s="79" t="s">
        <v>1395</v>
      </c>
      <c r="L446" s="7" t="str">
        <f>IF(BudgetsTable[[#This Row],[pi_last_name]]=" ","",HYPERLINK("https://www.ejacket.nsf.gov/ej/showProposal.do?Continue=Y&amp;ID="&amp;BudgetsTable[[#This Row],[prop_id]],BudgetsTable[[#This Row],[prop_id]]))</f>
        <v/>
      </c>
      <c r="M446" s="15" t="str">
        <f>IF(BudgetsTable[[#This Row],[pi_last_name]]=" ","",HYPERLINK("https://www.ejacket.nsf.gov/ej/processReviewAnalysis.do?dispatch=add&amp;uniqId="&amp;BudgetsTable[[#This Row],[prop_id]]&amp;PO_id,"&gt;ra"))</f>
        <v/>
      </c>
      <c r="N446" s="79" t="s">
        <v>13</v>
      </c>
      <c r="O446" s="7" t="str">
        <f>IF(BudgetsTable[[#This Row],[pi_last_name]]=" ","",HYPERLINK("mailto:"&amp;BudgetsTable[[#This Row],[pi_email]]&amp;"&amp;subject=Your NSF Proposal:  "&amp;BudgetsTable[[#This Row],[prop_id]],BudgetsTable[[#This Row],[pi_email]]))</f>
        <v/>
      </c>
      <c r="P446" s="79" t="s">
        <v>13</v>
      </c>
      <c r="Q446" s="79">
        <v>2</v>
      </c>
      <c r="R446" s="79">
        <v>0</v>
      </c>
      <c r="S446" s="80">
        <v>0</v>
      </c>
      <c r="T446" s="80">
        <v>0</v>
      </c>
      <c r="U446" s="80">
        <v>0</v>
      </c>
      <c r="V446" s="81">
        <v>308742</v>
      </c>
      <c r="W446" s="79">
        <v>0</v>
      </c>
      <c r="X446" s="79">
        <v>4</v>
      </c>
      <c r="Y446" s="11" t="str">
        <f ca="1">IF(ISBLANK(BudgetsTable[[#This Row],[budg_seq_yr]]),"FY"&amp;fiscalyear,"FY"&amp;fiscalyear-1+BudgetsTable[[#This Row],[budg_seq_yr]])</f>
        <v>FY21</v>
      </c>
      <c r="Z446" s="80">
        <v>308742</v>
      </c>
      <c r="AA446" s="79" t="s">
        <v>477</v>
      </c>
      <c r="AB446" s="79" t="s">
        <v>582</v>
      </c>
      <c r="AC446" s="77" t="s">
        <v>94</v>
      </c>
      <c r="AD446" s="79" t="s">
        <v>1817</v>
      </c>
    </row>
    <row r="447" spans="1:30" x14ac:dyDescent="0.4">
      <c r="A447" s="10" t="s">
        <v>1403</v>
      </c>
      <c r="B447" s="77" t="s">
        <v>491</v>
      </c>
      <c r="C447" s="77">
        <f>C446+(BudgetsTable[[#This Row],[lead]]&lt;&gt;K446)</f>
        <v>85</v>
      </c>
      <c r="D447" s="77">
        <f>D446*(BudgetsTable[[#This Row],[lead]]=K446)+(BudgetsTable[[#This Row],[prop_id]]&lt;&gt;A446)</f>
        <v>1</v>
      </c>
      <c r="E447" s="78">
        <v>43005.713194444441</v>
      </c>
      <c r="F447" s="79" t="s">
        <v>524</v>
      </c>
      <c r="G447" s="79" t="s">
        <v>477</v>
      </c>
      <c r="H447" s="79" t="s">
        <v>582</v>
      </c>
      <c r="I447" s="77" t="s">
        <v>654</v>
      </c>
      <c r="J447" s="77" t="s">
        <v>1825</v>
      </c>
      <c r="K447" s="79" t="s">
        <v>1403</v>
      </c>
      <c r="L447" s="7" t="str">
        <f>IF(BudgetsTable[[#This Row],[pi_last_name]]=" ","",HYPERLINK("https://www.ejacket.nsf.gov/ej/showProposal.do?Continue=Y&amp;ID="&amp;BudgetsTable[[#This Row],[prop_id]],BudgetsTable[[#This Row],[prop_id]]))</f>
        <v>1764032</v>
      </c>
      <c r="M447" s="15" t="e">
        <f>IF(BudgetsTable[[#This Row],[pi_last_name]]=" ","",HYPERLINK("https://www.ejacket.nsf.gov/ej/processReviewAnalysis.do?dispatch=add&amp;uniqId="&amp;BudgetsTable[[#This Row],[prop_id]]&amp;PO_id,"&gt;ra"))</f>
        <v>#REF!</v>
      </c>
      <c r="N447" s="79" t="s">
        <v>1404</v>
      </c>
      <c r="O447" s="7" t="str">
        <f>IF(BudgetsTable[[#This Row],[pi_last_name]]=" ","",HYPERLINK("mailto:"&amp;BudgetsTable[[#This Row],[pi_email]]&amp;"&amp;subject=Your NSF Proposal:  "&amp;BudgetsTable[[#This Row],[prop_id]],BudgetsTable[[#This Row],[pi_email]]))</f>
        <v>nati@ttic.edu</v>
      </c>
      <c r="P447" s="79" t="s">
        <v>1823</v>
      </c>
      <c r="Q447" s="79"/>
      <c r="R447" s="79"/>
      <c r="S447" s="80"/>
      <c r="T447" s="80"/>
      <c r="U447" s="80"/>
      <c r="V447" s="81"/>
      <c r="W447" s="79">
        <v>0</v>
      </c>
      <c r="X447" s="79"/>
      <c r="Y447" s="11" t="str">
        <f ca="1">IF(ISBLANK(BudgetsTable[[#This Row],[budg_seq_yr]]),"FY"&amp;fiscalyear,"FY"&amp;fiscalyear-1+BudgetsTable[[#This Row],[budg_seq_yr]])</f>
        <v>FY18</v>
      </c>
      <c r="Z447" s="80">
        <v>541101</v>
      </c>
      <c r="AA447" s="79" t="s">
        <v>477</v>
      </c>
      <c r="AB447" s="79" t="s">
        <v>582</v>
      </c>
      <c r="AC447" s="77" t="s">
        <v>94</v>
      </c>
      <c r="AD447" s="79" t="s">
        <v>1704</v>
      </c>
    </row>
    <row r="448" spans="1:30" x14ac:dyDescent="0.4">
      <c r="A448" s="10" t="s">
        <v>1403</v>
      </c>
      <c r="B448" s="77" t="s">
        <v>491</v>
      </c>
      <c r="C448" s="77">
        <f>C447+(BudgetsTable[[#This Row],[lead]]&lt;&gt;K447)</f>
        <v>85</v>
      </c>
      <c r="D448" s="77">
        <f>D447*(BudgetsTable[[#This Row],[lead]]=K447)+(BudgetsTable[[#This Row],[prop_id]]&lt;&gt;A447)</f>
        <v>1</v>
      </c>
      <c r="E448" s="78">
        <v>43005.713194444441</v>
      </c>
      <c r="F448" s="79" t="s">
        <v>524</v>
      </c>
      <c r="G448" s="79" t="s">
        <v>477</v>
      </c>
      <c r="H448" s="79" t="s">
        <v>582</v>
      </c>
      <c r="I448" s="77" t="s">
        <v>654</v>
      </c>
      <c r="J448" s="77" t="s">
        <v>13</v>
      </c>
      <c r="K448" s="79" t="s">
        <v>1403</v>
      </c>
      <c r="L448" s="7" t="str">
        <f>IF(BudgetsTable[[#This Row],[pi_last_name]]=" ","",HYPERLINK("https://www.ejacket.nsf.gov/ej/showProposal.do?Continue=Y&amp;ID="&amp;BudgetsTable[[#This Row],[prop_id]],BudgetsTable[[#This Row],[prop_id]]))</f>
        <v/>
      </c>
      <c r="M448" s="15" t="str">
        <f>IF(BudgetsTable[[#This Row],[pi_last_name]]=" ","",HYPERLINK("https://www.ejacket.nsf.gov/ej/processReviewAnalysis.do?dispatch=add&amp;uniqId="&amp;BudgetsTable[[#This Row],[prop_id]]&amp;PO_id,"&gt;ra"))</f>
        <v/>
      </c>
      <c r="N448" s="79" t="s">
        <v>13</v>
      </c>
      <c r="O448" s="7" t="str">
        <f>IF(BudgetsTable[[#This Row],[pi_last_name]]=" ","",HYPERLINK("mailto:"&amp;BudgetsTable[[#This Row],[pi_email]]&amp;"&amp;subject=Your NSF Proposal:  "&amp;BudgetsTable[[#This Row],[prop_id]],BudgetsTable[[#This Row],[pi_email]]))</f>
        <v/>
      </c>
      <c r="P448" s="79" t="s">
        <v>13</v>
      </c>
      <c r="Q448" s="79">
        <v>3</v>
      </c>
      <c r="R448" s="79">
        <v>2.5</v>
      </c>
      <c r="S448" s="80">
        <v>0</v>
      </c>
      <c r="T448" s="80">
        <v>8000</v>
      </c>
      <c r="U448" s="80">
        <v>0</v>
      </c>
      <c r="V448" s="81">
        <v>147005</v>
      </c>
      <c r="W448" s="79">
        <v>0</v>
      </c>
      <c r="X448" s="79">
        <v>1</v>
      </c>
      <c r="Y448" s="11" t="str">
        <f ca="1">IF(ISBLANK(BudgetsTable[[#This Row],[budg_seq_yr]]),"FY"&amp;fiscalyear,"FY"&amp;fiscalyear-1+BudgetsTable[[#This Row],[budg_seq_yr]])</f>
        <v>FY18</v>
      </c>
      <c r="Z448" s="80">
        <v>147005</v>
      </c>
      <c r="AA448" s="79" t="s">
        <v>477</v>
      </c>
      <c r="AB448" s="79" t="s">
        <v>582</v>
      </c>
      <c r="AC448" s="77" t="s">
        <v>94</v>
      </c>
      <c r="AD448" s="79" t="s">
        <v>1704</v>
      </c>
    </row>
    <row r="449" spans="1:30" x14ac:dyDescent="0.4">
      <c r="A449" s="10" t="s">
        <v>1403</v>
      </c>
      <c r="B449" s="77" t="s">
        <v>491</v>
      </c>
      <c r="C449" s="77">
        <f>C448+(BudgetsTable[[#This Row],[lead]]&lt;&gt;K448)</f>
        <v>85</v>
      </c>
      <c r="D449" s="77">
        <f>D448*(BudgetsTable[[#This Row],[lead]]=K448)+(BudgetsTable[[#This Row],[prop_id]]&lt;&gt;A448)</f>
        <v>1</v>
      </c>
      <c r="E449" s="78">
        <v>43005.713194444441</v>
      </c>
      <c r="F449" s="79" t="s">
        <v>524</v>
      </c>
      <c r="G449" s="79" t="s">
        <v>477</v>
      </c>
      <c r="H449" s="79" t="s">
        <v>582</v>
      </c>
      <c r="I449" s="77" t="s">
        <v>654</v>
      </c>
      <c r="J449" s="77" t="s">
        <v>13</v>
      </c>
      <c r="K449" s="79" t="s">
        <v>1403</v>
      </c>
      <c r="L449" s="7" t="str">
        <f>IF(BudgetsTable[[#This Row],[pi_last_name]]=" ","",HYPERLINK("https://www.ejacket.nsf.gov/ej/showProposal.do?Continue=Y&amp;ID="&amp;BudgetsTable[[#This Row],[prop_id]],BudgetsTable[[#This Row],[prop_id]]))</f>
        <v/>
      </c>
      <c r="M449" s="15" t="str">
        <f>IF(BudgetsTable[[#This Row],[pi_last_name]]=" ","",HYPERLINK("https://www.ejacket.nsf.gov/ej/processReviewAnalysis.do?dispatch=add&amp;uniqId="&amp;BudgetsTable[[#This Row],[prop_id]]&amp;PO_id,"&gt;ra"))</f>
        <v/>
      </c>
      <c r="N449" s="79" t="s">
        <v>13</v>
      </c>
      <c r="O449" s="7" t="str">
        <f>IF(BudgetsTable[[#This Row],[pi_last_name]]=" ","",HYPERLINK("mailto:"&amp;BudgetsTable[[#This Row],[pi_email]]&amp;"&amp;subject=Your NSF Proposal:  "&amp;BudgetsTable[[#This Row],[prop_id]],BudgetsTable[[#This Row],[pi_email]]))</f>
        <v/>
      </c>
      <c r="P449" s="79" t="s">
        <v>13</v>
      </c>
      <c r="Q449" s="79">
        <v>2</v>
      </c>
      <c r="R449" s="79">
        <v>1.5</v>
      </c>
      <c r="S449" s="80">
        <v>46000</v>
      </c>
      <c r="T449" s="80">
        <v>8240</v>
      </c>
      <c r="U449" s="80">
        <v>0</v>
      </c>
      <c r="V449" s="81">
        <v>201220</v>
      </c>
      <c r="W449" s="79">
        <v>0</v>
      </c>
      <c r="X449" s="79">
        <v>2</v>
      </c>
      <c r="Y449" s="11" t="str">
        <f ca="1">IF(ISBLANK(BudgetsTable[[#This Row],[budg_seq_yr]]),"FY"&amp;fiscalyear,"FY"&amp;fiscalyear-1+BudgetsTable[[#This Row],[budg_seq_yr]])</f>
        <v>FY19</v>
      </c>
      <c r="Z449" s="80">
        <v>201220</v>
      </c>
      <c r="AA449" s="79" t="s">
        <v>477</v>
      </c>
      <c r="AB449" s="79" t="s">
        <v>582</v>
      </c>
      <c r="AC449" s="77" t="s">
        <v>94</v>
      </c>
      <c r="AD449" s="79" t="s">
        <v>1704</v>
      </c>
    </row>
    <row r="450" spans="1:30" x14ac:dyDescent="0.4">
      <c r="A450" s="10" t="s">
        <v>1403</v>
      </c>
      <c r="B450" s="77" t="s">
        <v>491</v>
      </c>
      <c r="C450" s="77">
        <f>C449+(BudgetsTable[[#This Row],[lead]]&lt;&gt;K449)</f>
        <v>85</v>
      </c>
      <c r="D450" s="77">
        <f>D449*(BudgetsTable[[#This Row],[lead]]=K449)+(BudgetsTable[[#This Row],[prop_id]]&lt;&gt;A449)</f>
        <v>1</v>
      </c>
      <c r="E450" s="78">
        <v>43005.713194444441</v>
      </c>
      <c r="F450" s="79" t="s">
        <v>524</v>
      </c>
      <c r="G450" s="79" t="s">
        <v>477</v>
      </c>
      <c r="H450" s="79" t="s">
        <v>582</v>
      </c>
      <c r="I450" s="77" t="s">
        <v>654</v>
      </c>
      <c r="J450" s="77" t="s">
        <v>13</v>
      </c>
      <c r="K450" s="79" t="s">
        <v>1403</v>
      </c>
      <c r="L450" s="7" t="str">
        <f>IF(BudgetsTable[[#This Row],[pi_last_name]]=" ","",HYPERLINK("https://www.ejacket.nsf.gov/ej/showProposal.do?Continue=Y&amp;ID="&amp;BudgetsTable[[#This Row],[prop_id]],BudgetsTable[[#This Row],[prop_id]]))</f>
        <v/>
      </c>
      <c r="M450" s="15" t="str">
        <f>IF(BudgetsTable[[#This Row],[pi_last_name]]=" ","",HYPERLINK("https://www.ejacket.nsf.gov/ej/processReviewAnalysis.do?dispatch=add&amp;uniqId="&amp;BudgetsTable[[#This Row],[prop_id]]&amp;PO_id,"&gt;ra"))</f>
        <v/>
      </c>
      <c r="N450" s="79" t="s">
        <v>13</v>
      </c>
      <c r="O450" s="7" t="str">
        <f>IF(BudgetsTable[[#This Row],[pi_last_name]]=" ","",HYPERLINK("mailto:"&amp;BudgetsTable[[#This Row],[pi_email]]&amp;"&amp;subject=Your NSF Proposal:  "&amp;BudgetsTable[[#This Row],[prop_id]],BudgetsTable[[#This Row],[pi_email]]))</f>
        <v/>
      </c>
      <c r="P450" s="79" t="s">
        <v>13</v>
      </c>
      <c r="Q450" s="79">
        <v>1</v>
      </c>
      <c r="R450" s="79">
        <v>1</v>
      </c>
      <c r="S450" s="80">
        <v>46000</v>
      </c>
      <c r="T450" s="80">
        <v>8487</v>
      </c>
      <c r="U450" s="80">
        <v>0</v>
      </c>
      <c r="V450" s="81">
        <v>192876</v>
      </c>
      <c r="W450" s="79">
        <v>0</v>
      </c>
      <c r="X450" s="79">
        <v>3</v>
      </c>
      <c r="Y450" s="11" t="str">
        <f ca="1">IF(ISBLANK(BudgetsTable[[#This Row],[budg_seq_yr]]),"FY"&amp;fiscalyear,"FY"&amp;fiscalyear-1+BudgetsTable[[#This Row],[budg_seq_yr]])</f>
        <v>FY20</v>
      </c>
      <c r="Z450" s="80">
        <v>192876</v>
      </c>
      <c r="AA450" s="79" t="s">
        <v>477</v>
      </c>
      <c r="AB450" s="79" t="s">
        <v>582</v>
      </c>
      <c r="AC450" s="77" t="s">
        <v>94</v>
      </c>
      <c r="AD450" s="79" t="s">
        <v>1704</v>
      </c>
    </row>
    <row r="451" spans="1:30" x14ac:dyDescent="0.4">
      <c r="A451" s="10" t="s">
        <v>1826</v>
      </c>
      <c r="B451" s="77" t="s">
        <v>493</v>
      </c>
      <c r="C451" s="77">
        <f>C450+(BudgetsTable[[#This Row],[lead]]&lt;&gt;K450)</f>
        <v>85</v>
      </c>
      <c r="D451" s="77">
        <f>D450*(BudgetsTable[[#This Row],[lead]]=K450)+(BudgetsTable[[#This Row],[prop_id]]&lt;&gt;A450)</f>
        <v>2</v>
      </c>
      <c r="E451" s="78">
        <v>43005.481944444444</v>
      </c>
      <c r="F451" s="79" t="s">
        <v>524</v>
      </c>
      <c r="G451" s="79" t="s">
        <v>477</v>
      </c>
      <c r="H451" s="79" t="s">
        <v>582</v>
      </c>
      <c r="I451" s="77" t="s">
        <v>654</v>
      </c>
      <c r="J451" s="77" t="s">
        <v>1829</v>
      </c>
      <c r="K451" s="79" t="s">
        <v>1403</v>
      </c>
      <c r="L451" s="7" t="str">
        <f>IF(BudgetsTable[[#This Row],[pi_last_name]]=" ","",HYPERLINK("https://www.ejacket.nsf.gov/ej/showProposal.do?Continue=Y&amp;ID="&amp;BudgetsTable[[#This Row],[prop_id]],BudgetsTable[[#This Row],[prop_id]]))</f>
        <v>1763562</v>
      </c>
      <c r="M451" s="15" t="e">
        <f>IF(BudgetsTable[[#This Row],[pi_last_name]]=" ","",HYPERLINK("https://www.ejacket.nsf.gov/ej/processReviewAnalysis.do?dispatch=add&amp;uniqId="&amp;BudgetsTable[[#This Row],[prop_id]]&amp;PO_id,"&gt;ra"))</f>
        <v>#REF!</v>
      </c>
      <c r="N451" s="79" t="s">
        <v>1827</v>
      </c>
      <c r="O451" s="7" t="str">
        <f>IF(BudgetsTable[[#This Row],[pi_last_name]]=" ","",HYPERLINK("mailto:"&amp;BudgetsTable[[#This Row],[pi_email]]&amp;"&amp;subject=Your NSF Proposal:  "&amp;BudgetsTable[[#This Row],[prop_id]],BudgetsTable[[#This Row],[pi_email]]))</f>
        <v>rsalakhu@cs.cmu.edu</v>
      </c>
      <c r="P451" s="79" t="s">
        <v>497</v>
      </c>
      <c r="Q451" s="79"/>
      <c r="R451" s="79"/>
      <c r="S451" s="80"/>
      <c r="T451" s="80"/>
      <c r="U451" s="80"/>
      <c r="V451" s="81"/>
      <c r="W451" s="79">
        <v>0</v>
      </c>
      <c r="X451" s="79"/>
      <c r="Y451" s="11" t="str">
        <f ca="1">IF(ISBLANK(BudgetsTable[[#This Row],[budg_seq_yr]]),"FY"&amp;fiscalyear,"FY"&amp;fiscalyear-1+BudgetsTable[[#This Row],[budg_seq_yr]])</f>
        <v>FY18</v>
      </c>
      <c r="Z451" s="80">
        <v>329074</v>
      </c>
      <c r="AA451" s="79" t="s">
        <v>477</v>
      </c>
      <c r="AB451" s="79" t="s">
        <v>582</v>
      </c>
      <c r="AC451" s="77" t="s">
        <v>94</v>
      </c>
      <c r="AD451" s="79" t="s">
        <v>1704</v>
      </c>
    </row>
    <row r="452" spans="1:30" x14ac:dyDescent="0.4">
      <c r="A452" s="10" t="s">
        <v>1826</v>
      </c>
      <c r="B452" s="77" t="s">
        <v>493</v>
      </c>
      <c r="C452" s="77">
        <f>C451+(BudgetsTable[[#This Row],[lead]]&lt;&gt;K451)</f>
        <v>85</v>
      </c>
      <c r="D452" s="77">
        <f>D451*(BudgetsTable[[#This Row],[lead]]=K451)+(BudgetsTable[[#This Row],[prop_id]]&lt;&gt;A451)</f>
        <v>2</v>
      </c>
      <c r="E452" s="78">
        <v>43005.481944444444</v>
      </c>
      <c r="F452" s="79" t="s">
        <v>524</v>
      </c>
      <c r="G452" s="79" t="s">
        <v>477</v>
      </c>
      <c r="H452" s="79" t="s">
        <v>582</v>
      </c>
      <c r="I452" s="77" t="s">
        <v>654</v>
      </c>
      <c r="J452" s="77" t="s">
        <v>13</v>
      </c>
      <c r="K452" s="79" t="s">
        <v>1403</v>
      </c>
      <c r="L452" s="7" t="str">
        <f>IF(BudgetsTable[[#This Row],[pi_last_name]]=" ","",HYPERLINK("https://www.ejacket.nsf.gov/ej/showProposal.do?Continue=Y&amp;ID="&amp;BudgetsTable[[#This Row],[prop_id]],BudgetsTable[[#This Row],[prop_id]]))</f>
        <v/>
      </c>
      <c r="M452" s="15" t="str">
        <f>IF(BudgetsTable[[#This Row],[pi_last_name]]=" ","",HYPERLINK("https://www.ejacket.nsf.gov/ej/processReviewAnalysis.do?dispatch=add&amp;uniqId="&amp;BudgetsTable[[#This Row],[prop_id]]&amp;PO_id,"&gt;ra"))</f>
        <v/>
      </c>
      <c r="N452" s="79" t="s">
        <v>13</v>
      </c>
      <c r="O452" s="7" t="str">
        <f>IF(BudgetsTable[[#This Row],[pi_last_name]]=" ","",HYPERLINK("mailto:"&amp;BudgetsTable[[#This Row],[pi_email]]&amp;"&amp;subject=Your NSF Proposal:  "&amp;BudgetsTable[[#This Row],[prop_id]],BudgetsTable[[#This Row],[pi_email]]))</f>
        <v/>
      </c>
      <c r="P452" s="79" t="s">
        <v>13</v>
      </c>
      <c r="Q452" s="79">
        <v>1</v>
      </c>
      <c r="R452" s="79">
        <v>0.7</v>
      </c>
      <c r="S452" s="80">
        <v>0</v>
      </c>
      <c r="T452" s="80">
        <v>5288</v>
      </c>
      <c r="U452" s="80">
        <v>0</v>
      </c>
      <c r="V452" s="81">
        <v>107302</v>
      </c>
      <c r="W452" s="79">
        <v>0</v>
      </c>
      <c r="X452" s="79">
        <v>1</v>
      </c>
      <c r="Y452" s="11" t="str">
        <f ca="1">IF(ISBLANK(BudgetsTable[[#This Row],[budg_seq_yr]]),"FY"&amp;fiscalyear,"FY"&amp;fiscalyear-1+BudgetsTable[[#This Row],[budg_seq_yr]])</f>
        <v>FY18</v>
      </c>
      <c r="Z452" s="80">
        <v>107302</v>
      </c>
      <c r="AA452" s="79" t="s">
        <v>477</v>
      </c>
      <c r="AB452" s="79" t="s">
        <v>582</v>
      </c>
      <c r="AC452" s="77" t="s">
        <v>94</v>
      </c>
      <c r="AD452" s="79" t="s">
        <v>1704</v>
      </c>
    </row>
    <row r="453" spans="1:30" x14ac:dyDescent="0.4">
      <c r="A453" s="10" t="s">
        <v>1826</v>
      </c>
      <c r="B453" s="77" t="s">
        <v>493</v>
      </c>
      <c r="C453" s="77">
        <f>C452+(BudgetsTable[[#This Row],[lead]]&lt;&gt;K452)</f>
        <v>85</v>
      </c>
      <c r="D453" s="77">
        <f>D452*(BudgetsTable[[#This Row],[lead]]=K452)+(BudgetsTable[[#This Row],[prop_id]]&lt;&gt;A452)</f>
        <v>2</v>
      </c>
      <c r="E453" s="78">
        <v>43005.481944444444</v>
      </c>
      <c r="F453" s="79" t="s">
        <v>524</v>
      </c>
      <c r="G453" s="79" t="s">
        <v>477</v>
      </c>
      <c r="H453" s="79" t="s">
        <v>582</v>
      </c>
      <c r="I453" s="77" t="s">
        <v>654</v>
      </c>
      <c r="J453" s="77" t="s">
        <v>13</v>
      </c>
      <c r="K453" s="79" t="s">
        <v>1403</v>
      </c>
      <c r="L453" s="7" t="str">
        <f>IF(BudgetsTable[[#This Row],[pi_last_name]]=" ","",HYPERLINK("https://www.ejacket.nsf.gov/ej/showProposal.do?Continue=Y&amp;ID="&amp;BudgetsTable[[#This Row],[prop_id]],BudgetsTable[[#This Row],[prop_id]]))</f>
        <v/>
      </c>
      <c r="M453" s="15" t="str">
        <f>IF(BudgetsTable[[#This Row],[pi_last_name]]=" ","",HYPERLINK("https://www.ejacket.nsf.gov/ej/processReviewAnalysis.do?dispatch=add&amp;uniqId="&amp;BudgetsTable[[#This Row],[prop_id]]&amp;PO_id,"&gt;ra"))</f>
        <v/>
      </c>
      <c r="N453" s="79" t="s">
        <v>13</v>
      </c>
      <c r="O453" s="7" t="str">
        <f>IF(BudgetsTable[[#This Row],[pi_last_name]]=" ","",HYPERLINK("mailto:"&amp;BudgetsTable[[#This Row],[pi_email]]&amp;"&amp;subject=Your NSF Proposal:  "&amp;BudgetsTable[[#This Row],[prop_id]],BudgetsTable[[#This Row],[pi_email]]))</f>
        <v/>
      </c>
      <c r="P453" s="79" t="s">
        <v>13</v>
      </c>
      <c r="Q453" s="79">
        <v>1</v>
      </c>
      <c r="R453" s="79">
        <v>0.7</v>
      </c>
      <c r="S453" s="80">
        <v>0</v>
      </c>
      <c r="T453" s="80">
        <v>5447</v>
      </c>
      <c r="U453" s="80">
        <v>0</v>
      </c>
      <c r="V453" s="81">
        <v>109660</v>
      </c>
      <c r="W453" s="79">
        <v>0</v>
      </c>
      <c r="X453" s="79">
        <v>2</v>
      </c>
      <c r="Y453" s="11" t="str">
        <f ca="1">IF(ISBLANK(BudgetsTable[[#This Row],[budg_seq_yr]]),"FY"&amp;fiscalyear,"FY"&amp;fiscalyear-1+BudgetsTable[[#This Row],[budg_seq_yr]])</f>
        <v>FY19</v>
      </c>
      <c r="Z453" s="80">
        <v>109660</v>
      </c>
      <c r="AA453" s="79" t="s">
        <v>477</v>
      </c>
      <c r="AB453" s="79" t="s">
        <v>582</v>
      </c>
      <c r="AC453" s="77" t="s">
        <v>94</v>
      </c>
      <c r="AD453" s="79" t="s">
        <v>1704</v>
      </c>
    </row>
    <row r="454" spans="1:30" x14ac:dyDescent="0.4">
      <c r="A454" s="10" t="s">
        <v>1826</v>
      </c>
      <c r="B454" s="77" t="s">
        <v>493</v>
      </c>
      <c r="C454" s="77">
        <f>C453+(BudgetsTable[[#This Row],[lead]]&lt;&gt;K453)</f>
        <v>85</v>
      </c>
      <c r="D454" s="77">
        <f>D453*(BudgetsTable[[#This Row],[lead]]=K453)+(BudgetsTable[[#This Row],[prop_id]]&lt;&gt;A453)</f>
        <v>2</v>
      </c>
      <c r="E454" s="78">
        <v>43005.481944444444</v>
      </c>
      <c r="F454" s="79" t="s">
        <v>524</v>
      </c>
      <c r="G454" s="79" t="s">
        <v>477</v>
      </c>
      <c r="H454" s="79" t="s">
        <v>582</v>
      </c>
      <c r="I454" s="77" t="s">
        <v>654</v>
      </c>
      <c r="J454" s="77" t="s">
        <v>13</v>
      </c>
      <c r="K454" s="79" t="s">
        <v>1403</v>
      </c>
      <c r="L454" s="7" t="str">
        <f>IF(BudgetsTable[[#This Row],[pi_last_name]]=" ","",HYPERLINK("https://www.ejacket.nsf.gov/ej/showProposal.do?Continue=Y&amp;ID="&amp;BudgetsTable[[#This Row],[prop_id]],BudgetsTable[[#This Row],[prop_id]]))</f>
        <v/>
      </c>
      <c r="M454" s="15" t="str">
        <f>IF(BudgetsTable[[#This Row],[pi_last_name]]=" ","",HYPERLINK("https://www.ejacket.nsf.gov/ej/processReviewAnalysis.do?dispatch=add&amp;uniqId="&amp;BudgetsTable[[#This Row],[prop_id]]&amp;PO_id,"&gt;ra"))</f>
        <v/>
      </c>
      <c r="N454" s="79" t="s">
        <v>13</v>
      </c>
      <c r="O454" s="7" t="str">
        <f>IF(BudgetsTable[[#This Row],[pi_last_name]]=" ","",HYPERLINK("mailto:"&amp;BudgetsTable[[#This Row],[pi_email]]&amp;"&amp;subject=Your NSF Proposal:  "&amp;BudgetsTable[[#This Row],[prop_id]],BudgetsTable[[#This Row],[pi_email]]))</f>
        <v/>
      </c>
      <c r="P454" s="79" t="s">
        <v>13</v>
      </c>
      <c r="Q454" s="79">
        <v>1</v>
      </c>
      <c r="R454" s="79">
        <v>0.7</v>
      </c>
      <c r="S454" s="80">
        <v>0</v>
      </c>
      <c r="T454" s="80">
        <v>5610</v>
      </c>
      <c r="U454" s="80">
        <v>0</v>
      </c>
      <c r="V454" s="81">
        <v>112112</v>
      </c>
      <c r="W454" s="79">
        <v>0</v>
      </c>
      <c r="X454" s="79">
        <v>3</v>
      </c>
      <c r="Y454" s="11" t="str">
        <f ca="1">IF(ISBLANK(BudgetsTable[[#This Row],[budg_seq_yr]]),"FY"&amp;fiscalyear,"FY"&amp;fiscalyear-1+BudgetsTable[[#This Row],[budg_seq_yr]])</f>
        <v>FY20</v>
      </c>
      <c r="Z454" s="80">
        <v>112112</v>
      </c>
      <c r="AA454" s="79" t="s">
        <v>477</v>
      </c>
      <c r="AB454" s="79" t="s">
        <v>582</v>
      </c>
      <c r="AC454" s="77" t="s">
        <v>94</v>
      </c>
      <c r="AD454" s="79" t="s">
        <v>1704</v>
      </c>
    </row>
    <row r="455" spans="1:30" x14ac:dyDescent="0.4">
      <c r="A455" s="10" t="s">
        <v>1830</v>
      </c>
      <c r="B455" s="77" t="s">
        <v>493</v>
      </c>
      <c r="C455" s="77">
        <f>C454+(BudgetsTable[[#This Row],[lead]]&lt;&gt;K454)</f>
        <v>85</v>
      </c>
      <c r="D455" s="77">
        <f>D454*(BudgetsTable[[#This Row],[lead]]=K454)+(BudgetsTable[[#This Row],[prop_id]]&lt;&gt;A454)</f>
        <v>3</v>
      </c>
      <c r="E455" s="78">
        <v>43005.713888888888</v>
      </c>
      <c r="F455" s="79" t="s">
        <v>524</v>
      </c>
      <c r="G455" s="79" t="s">
        <v>477</v>
      </c>
      <c r="H455" s="79" t="s">
        <v>582</v>
      </c>
      <c r="I455" s="77" t="s">
        <v>654</v>
      </c>
      <c r="J455" s="77" t="s">
        <v>1557</v>
      </c>
      <c r="K455" s="79" t="s">
        <v>1403</v>
      </c>
      <c r="L455" s="7" t="str">
        <f>IF(BudgetsTable[[#This Row],[pi_last_name]]=" ","",HYPERLINK("https://www.ejacket.nsf.gov/ej/showProposal.do?Continue=Y&amp;ID="&amp;BudgetsTable[[#This Row],[prop_id]],BudgetsTable[[#This Row],[prop_id]]))</f>
        <v>1764033</v>
      </c>
      <c r="M455" s="15" t="e">
        <f>IF(BudgetsTable[[#This Row],[pi_last_name]]=" ","",HYPERLINK("https://www.ejacket.nsf.gov/ej/processReviewAnalysis.do?dispatch=add&amp;uniqId="&amp;BudgetsTable[[#This Row],[prop_id]]&amp;PO_id,"&gt;ra"))</f>
        <v>#REF!</v>
      </c>
      <c r="N455" s="79" t="s">
        <v>937</v>
      </c>
      <c r="O455" s="7" t="str">
        <f>IF(BudgetsTable[[#This Row],[pi_last_name]]=" ","",HYPERLINK("mailto:"&amp;BudgetsTable[[#This Row],[pi_email]]&amp;"&amp;subject=Your NSF Proposal:  "&amp;BudgetsTable[[#This Row],[prop_id]],BudgetsTable[[#This Row],[pi_email]]))</f>
        <v xml:space="preserve"> hardt@eecs.berkeley.edu</v>
      </c>
      <c r="P455" s="79" t="s">
        <v>501</v>
      </c>
      <c r="Q455" s="79"/>
      <c r="R455" s="79"/>
      <c r="S455" s="80"/>
      <c r="T455" s="80"/>
      <c r="U455" s="80"/>
      <c r="V455" s="81"/>
      <c r="W455" s="79">
        <v>0</v>
      </c>
      <c r="X455" s="79"/>
      <c r="Y455" s="11" t="str">
        <f ca="1">IF(ISBLANK(BudgetsTable[[#This Row],[budg_seq_yr]]),"FY"&amp;fiscalyear,"FY"&amp;fiscalyear-1+BudgetsTable[[#This Row],[budg_seq_yr]])</f>
        <v>FY18</v>
      </c>
      <c r="Z455" s="80">
        <v>328204</v>
      </c>
      <c r="AA455" s="79" t="s">
        <v>477</v>
      </c>
      <c r="AB455" s="79" t="s">
        <v>582</v>
      </c>
      <c r="AC455" s="77" t="s">
        <v>94</v>
      </c>
      <c r="AD455" s="79" t="s">
        <v>1704</v>
      </c>
    </row>
    <row r="456" spans="1:30" x14ac:dyDescent="0.4">
      <c r="A456" s="10" t="s">
        <v>1830</v>
      </c>
      <c r="B456" s="77" t="s">
        <v>493</v>
      </c>
      <c r="C456" s="77">
        <f>C455+(BudgetsTable[[#This Row],[lead]]&lt;&gt;K455)</f>
        <v>85</v>
      </c>
      <c r="D456" s="77">
        <f>D455*(BudgetsTable[[#This Row],[lead]]=K455)+(BudgetsTable[[#This Row],[prop_id]]&lt;&gt;A455)</f>
        <v>3</v>
      </c>
      <c r="E456" s="78">
        <v>43005.713888888888</v>
      </c>
      <c r="F456" s="79" t="s">
        <v>524</v>
      </c>
      <c r="G456" s="79" t="s">
        <v>477</v>
      </c>
      <c r="H456" s="79" t="s">
        <v>582</v>
      </c>
      <c r="I456" s="77" t="s">
        <v>654</v>
      </c>
      <c r="J456" s="77" t="s">
        <v>13</v>
      </c>
      <c r="K456" s="79" t="s">
        <v>1403</v>
      </c>
      <c r="L456" s="7" t="str">
        <f>IF(BudgetsTable[[#This Row],[pi_last_name]]=" ","",HYPERLINK("https://www.ejacket.nsf.gov/ej/showProposal.do?Continue=Y&amp;ID="&amp;BudgetsTable[[#This Row],[prop_id]],BudgetsTable[[#This Row],[prop_id]]))</f>
        <v/>
      </c>
      <c r="M456" s="15" t="str">
        <f>IF(BudgetsTable[[#This Row],[pi_last_name]]=" ","",HYPERLINK("https://www.ejacket.nsf.gov/ej/processReviewAnalysis.do?dispatch=add&amp;uniqId="&amp;BudgetsTable[[#This Row],[prop_id]]&amp;PO_id,"&gt;ra"))</f>
        <v/>
      </c>
      <c r="N456" s="79" t="s">
        <v>13</v>
      </c>
      <c r="O456" s="7" t="str">
        <f>IF(BudgetsTable[[#This Row],[pi_last_name]]=" ","",HYPERLINK("mailto:"&amp;BudgetsTable[[#This Row],[pi_email]]&amp;"&amp;subject=Your NSF Proposal:  "&amp;BudgetsTable[[#This Row],[prop_id]],BudgetsTable[[#This Row],[pi_email]]))</f>
        <v/>
      </c>
      <c r="P456" s="79" t="s">
        <v>13</v>
      </c>
      <c r="Q456" s="79">
        <v>1</v>
      </c>
      <c r="R456" s="79">
        <v>0.5</v>
      </c>
      <c r="S456" s="80">
        <v>0</v>
      </c>
      <c r="T456" s="80">
        <v>0</v>
      </c>
      <c r="U456" s="80">
        <v>0</v>
      </c>
      <c r="V456" s="81">
        <v>105807</v>
      </c>
      <c r="W456" s="79">
        <v>0</v>
      </c>
      <c r="X456" s="79">
        <v>1</v>
      </c>
      <c r="Y456" s="11" t="str">
        <f ca="1">IF(ISBLANK(BudgetsTable[[#This Row],[budg_seq_yr]]),"FY"&amp;fiscalyear,"FY"&amp;fiscalyear-1+BudgetsTable[[#This Row],[budg_seq_yr]])</f>
        <v>FY18</v>
      </c>
      <c r="Z456" s="80">
        <v>105807</v>
      </c>
      <c r="AA456" s="79" t="s">
        <v>477</v>
      </c>
      <c r="AB456" s="79" t="s">
        <v>582</v>
      </c>
      <c r="AC456" s="77" t="s">
        <v>94</v>
      </c>
      <c r="AD456" s="79" t="s">
        <v>1704</v>
      </c>
    </row>
    <row r="457" spans="1:30" x14ac:dyDescent="0.4">
      <c r="A457" s="10" t="s">
        <v>1830</v>
      </c>
      <c r="B457" s="77" t="s">
        <v>493</v>
      </c>
      <c r="C457" s="77">
        <f>C456+(BudgetsTable[[#This Row],[lead]]&lt;&gt;K456)</f>
        <v>85</v>
      </c>
      <c r="D457" s="77">
        <f>D456*(BudgetsTable[[#This Row],[lead]]=K456)+(BudgetsTable[[#This Row],[prop_id]]&lt;&gt;A456)</f>
        <v>3</v>
      </c>
      <c r="E457" s="78">
        <v>43005.713888888888</v>
      </c>
      <c r="F457" s="79" t="s">
        <v>524</v>
      </c>
      <c r="G457" s="79" t="s">
        <v>477</v>
      </c>
      <c r="H457" s="79" t="s">
        <v>582</v>
      </c>
      <c r="I457" s="77" t="s">
        <v>654</v>
      </c>
      <c r="J457" s="77" t="s">
        <v>13</v>
      </c>
      <c r="K457" s="79" t="s">
        <v>1403</v>
      </c>
      <c r="L457" s="7" t="str">
        <f>IF(BudgetsTable[[#This Row],[pi_last_name]]=" ","",HYPERLINK("https://www.ejacket.nsf.gov/ej/showProposal.do?Continue=Y&amp;ID="&amp;BudgetsTable[[#This Row],[prop_id]],BudgetsTable[[#This Row],[prop_id]]))</f>
        <v/>
      </c>
      <c r="M457" s="15" t="str">
        <f>IF(BudgetsTable[[#This Row],[pi_last_name]]=" ","",HYPERLINK("https://www.ejacket.nsf.gov/ej/processReviewAnalysis.do?dispatch=add&amp;uniqId="&amp;BudgetsTable[[#This Row],[prop_id]]&amp;PO_id,"&gt;ra"))</f>
        <v/>
      </c>
      <c r="N457" s="79" t="s">
        <v>13</v>
      </c>
      <c r="O457" s="7" t="str">
        <f>IF(BudgetsTable[[#This Row],[pi_last_name]]=" ","",HYPERLINK("mailto:"&amp;BudgetsTable[[#This Row],[pi_email]]&amp;"&amp;subject=Your NSF Proposal:  "&amp;BudgetsTable[[#This Row],[prop_id]],BudgetsTable[[#This Row],[pi_email]]))</f>
        <v/>
      </c>
      <c r="P457" s="79" t="s">
        <v>13</v>
      </c>
      <c r="Q457" s="79">
        <v>1</v>
      </c>
      <c r="R457" s="79">
        <v>0.5</v>
      </c>
      <c r="S457" s="80">
        <v>0</v>
      </c>
      <c r="T457" s="80">
        <v>0</v>
      </c>
      <c r="U457" s="80">
        <v>0</v>
      </c>
      <c r="V457" s="81">
        <v>110970</v>
      </c>
      <c r="W457" s="79">
        <v>0</v>
      </c>
      <c r="X457" s="79">
        <v>2</v>
      </c>
      <c r="Y457" s="11" t="str">
        <f ca="1">IF(ISBLANK(BudgetsTable[[#This Row],[budg_seq_yr]]),"FY"&amp;fiscalyear,"FY"&amp;fiscalyear-1+BudgetsTable[[#This Row],[budg_seq_yr]])</f>
        <v>FY19</v>
      </c>
      <c r="Z457" s="80">
        <v>110970</v>
      </c>
      <c r="AA457" s="79" t="s">
        <v>477</v>
      </c>
      <c r="AB457" s="79" t="s">
        <v>582</v>
      </c>
      <c r="AC457" s="77" t="s">
        <v>94</v>
      </c>
      <c r="AD457" s="79" t="s">
        <v>1704</v>
      </c>
    </row>
    <row r="458" spans="1:30" x14ac:dyDescent="0.4">
      <c r="A458" s="10" t="s">
        <v>1830</v>
      </c>
      <c r="B458" s="77" t="s">
        <v>493</v>
      </c>
      <c r="C458" s="77">
        <f>C457+(BudgetsTable[[#This Row],[lead]]&lt;&gt;K457)</f>
        <v>85</v>
      </c>
      <c r="D458" s="77">
        <f>D457*(BudgetsTable[[#This Row],[lead]]=K457)+(BudgetsTable[[#This Row],[prop_id]]&lt;&gt;A457)</f>
        <v>3</v>
      </c>
      <c r="E458" s="78">
        <v>43005.713888888888</v>
      </c>
      <c r="F458" s="79" t="s">
        <v>524</v>
      </c>
      <c r="G458" s="79" t="s">
        <v>477</v>
      </c>
      <c r="H458" s="79" t="s">
        <v>582</v>
      </c>
      <c r="I458" s="77" t="s">
        <v>654</v>
      </c>
      <c r="J458" s="77" t="s">
        <v>13</v>
      </c>
      <c r="K458" s="79" t="s">
        <v>1403</v>
      </c>
      <c r="L458" s="7" t="str">
        <f>IF(BudgetsTable[[#This Row],[pi_last_name]]=" ","",HYPERLINK("https://www.ejacket.nsf.gov/ej/showProposal.do?Continue=Y&amp;ID="&amp;BudgetsTable[[#This Row],[prop_id]],BudgetsTable[[#This Row],[prop_id]]))</f>
        <v/>
      </c>
      <c r="M458" s="15" t="str">
        <f>IF(BudgetsTable[[#This Row],[pi_last_name]]=" ","",HYPERLINK("https://www.ejacket.nsf.gov/ej/processReviewAnalysis.do?dispatch=add&amp;uniqId="&amp;BudgetsTable[[#This Row],[prop_id]]&amp;PO_id,"&gt;ra"))</f>
        <v/>
      </c>
      <c r="N458" s="79" t="s">
        <v>13</v>
      </c>
      <c r="O458" s="7" t="str">
        <f>IF(BudgetsTable[[#This Row],[pi_last_name]]=" ","",HYPERLINK("mailto:"&amp;BudgetsTable[[#This Row],[pi_email]]&amp;"&amp;subject=Your NSF Proposal:  "&amp;BudgetsTable[[#This Row],[prop_id]],BudgetsTable[[#This Row],[pi_email]]))</f>
        <v/>
      </c>
      <c r="P458" s="79" t="s">
        <v>13</v>
      </c>
      <c r="Q458" s="79">
        <v>1</v>
      </c>
      <c r="R458" s="79">
        <v>0.5</v>
      </c>
      <c r="S458" s="80">
        <v>0</v>
      </c>
      <c r="T458" s="80">
        <v>0</v>
      </c>
      <c r="U458" s="80">
        <v>0</v>
      </c>
      <c r="V458" s="81">
        <v>111427</v>
      </c>
      <c r="W458" s="79">
        <v>0</v>
      </c>
      <c r="X458" s="79">
        <v>3</v>
      </c>
      <c r="Y458" s="11" t="str">
        <f ca="1">IF(ISBLANK(BudgetsTable[[#This Row],[budg_seq_yr]]),"FY"&amp;fiscalyear,"FY"&amp;fiscalyear-1+BudgetsTable[[#This Row],[budg_seq_yr]])</f>
        <v>FY20</v>
      </c>
      <c r="Z458" s="80">
        <v>111427</v>
      </c>
      <c r="AA458" s="79" t="s">
        <v>477</v>
      </c>
      <c r="AB458" s="79" t="s">
        <v>582</v>
      </c>
      <c r="AC458" s="77" t="s">
        <v>94</v>
      </c>
      <c r="AD458" s="79" t="s">
        <v>1704</v>
      </c>
    </row>
    <row r="459" spans="1:30" x14ac:dyDescent="0.4">
      <c r="A459" s="10" t="s">
        <v>1411</v>
      </c>
      <c r="B459" s="77" t="s">
        <v>95</v>
      </c>
      <c r="C459" s="77">
        <f>C458+(BudgetsTable[[#This Row],[lead]]&lt;&gt;K458)</f>
        <v>86</v>
      </c>
      <c r="D459" s="77">
        <f>D458*(BudgetsTable[[#This Row],[lead]]=K458)+(BudgetsTable[[#This Row],[prop_id]]&lt;&gt;A458)</f>
        <v>1</v>
      </c>
      <c r="E459" s="78">
        <v>43005.740277777775</v>
      </c>
      <c r="F459" s="79" t="s">
        <v>1831</v>
      </c>
      <c r="G459" s="79" t="s">
        <v>1622</v>
      </c>
      <c r="H459" s="79" t="s">
        <v>580</v>
      </c>
      <c r="I459" s="77" t="s">
        <v>1166</v>
      </c>
      <c r="J459" s="77" t="s">
        <v>1837</v>
      </c>
      <c r="K459" s="79" t="s">
        <v>1411</v>
      </c>
      <c r="L459" s="7" t="str">
        <f>IF(BudgetsTable[[#This Row],[pi_last_name]]=" ","",HYPERLINK("https://www.ejacket.nsf.gov/ej/showProposal.do?Continue=Y&amp;ID="&amp;BudgetsTable[[#This Row],[prop_id]],BudgetsTable[[#This Row],[prop_id]]))</f>
        <v>1764056</v>
      </c>
      <c r="M459" s="15" t="e">
        <f>IF(BudgetsTable[[#This Row],[pi_last_name]]=" ","",HYPERLINK("https://www.ejacket.nsf.gov/ej/processReviewAnalysis.do?dispatch=add&amp;uniqId="&amp;BudgetsTable[[#This Row],[prop_id]]&amp;PO_id,"&gt;ra"))</f>
        <v>#REF!</v>
      </c>
      <c r="N459" s="79" t="s">
        <v>1412</v>
      </c>
      <c r="O459" s="7" t="str">
        <f>IF(BudgetsTable[[#This Row],[pi_last_name]]=" ","",HYPERLINK("mailto:"&amp;BudgetsTable[[#This Row],[pi_email]]&amp;"&amp;subject=Your NSF Proposal:  "&amp;BudgetsTable[[#This Row],[prop_id]],BudgetsTable[[#This Row],[pi_email]]))</f>
        <v>mmahoney@icsi.berkeley.edu</v>
      </c>
      <c r="P459" s="79" t="s">
        <v>1834</v>
      </c>
      <c r="Q459" s="79"/>
      <c r="R459" s="79"/>
      <c r="S459" s="80"/>
      <c r="T459" s="80"/>
      <c r="U459" s="80"/>
      <c r="V459" s="81"/>
      <c r="W459" s="79">
        <v>0</v>
      </c>
      <c r="X459" s="79"/>
      <c r="Y459" s="11" t="str">
        <f ca="1">IF(ISBLANK(BudgetsTable[[#This Row],[budg_seq_yr]]),"FY"&amp;fiscalyear,"FY"&amp;fiscalyear-1+BudgetsTable[[#This Row],[budg_seq_yr]])</f>
        <v>FY18</v>
      </c>
      <c r="Z459" s="80">
        <v>1200000</v>
      </c>
      <c r="AA459" s="79" t="s">
        <v>1622</v>
      </c>
      <c r="AB459" s="79" t="s">
        <v>580</v>
      </c>
      <c r="AC459" s="77" t="s">
        <v>94</v>
      </c>
      <c r="AD459" s="79" t="s">
        <v>1833</v>
      </c>
    </row>
    <row r="460" spans="1:30" x14ac:dyDescent="0.4">
      <c r="A460" s="10" t="s">
        <v>1411</v>
      </c>
      <c r="B460" s="77" t="s">
        <v>95</v>
      </c>
      <c r="C460" s="77">
        <f>C459+(BudgetsTable[[#This Row],[lead]]&lt;&gt;K459)</f>
        <v>86</v>
      </c>
      <c r="D460" s="77">
        <f>D459*(BudgetsTable[[#This Row],[lead]]=K459)+(BudgetsTable[[#This Row],[prop_id]]&lt;&gt;A459)</f>
        <v>1</v>
      </c>
      <c r="E460" s="78">
        <v>43005.740277777775</v>
      </c>
      <c r="F460" s="79" t="s">
        <v>1831</v>
      </c>
      <c r="G460" s="79" t="s">
        <v>1622</v>
      </c>
      <c r="H460" s="79" t="s">
        <v>580</v>
      </c>
      <c r="I460" s="77" t="s">
        <v>1166</v>
      </c>
      <c r="J460" s="77" t="s">
        <v>13</v>
      </c>
      <c r="K460" s="79" t="s">
        <v>1411</v>
      </c>
      <c r="L460" s="7" t="str">
        <f>IF(BudgetsTable[[#This Row],[pi_last_name]]=" ","",HYPERLINK("https://www.ejacket.nsf.gov/ej/showProposal.do?Continue=Y&amp;ID="&amp;BudgetsTable[[#This Row],[prop_id]],BudgetsTable[[#This Row],[prop_id]]))</f>
        <v/>
      </c>
      <c r="M460" s="15" t="str">
        <f>IF(BudgetsTable[[#This Row],[pi_last_name]]=" ","",HYPERLINK("https://www.ejacket.nsf.gov/ej/processReviewAnalysis.do?dispatch=add&amp;uniqId="&amp;BudgetsTable[[#This Row],[prop_id]]&amp;PO_id,"&gt;ra"))</f>
        <v/>
      </c>
      <c r="N460" s="79" t="s">
        <v>13</v>
      </c>
      <c r="O460" s="7" t="str">
        <f>IF(BudgetsTable[[#This Row],[pi_last_name]]=" ","",HYPERLINK("mailto:"&amp;BudgetsTable[[#This Row],[pi_email]]&amp;"&amp;subject=Your NSF Proposal:  "&amp;BudgetsTable[[#This Row],[prop_id]],BudgetsTable[[#This Row],[pi_email]]))</f>
        <v/>
      </c>
      <c r="P460" s="79" t="s">
        <v>13</v>
      </c>
      <c r="Q460" s="79">
        <v>1</v>
      </c>
      <c r="R460" s="79">
        <v>0</v>
      </c>
      <c r="S460" s="80">
        <v>0</v>
      </c>
      <c r="T460" s="80">
        <v>12000</v>
      </c>
      <c r="U460" s="80">
        <v>0</v>
      </c>
      <c r="V460" s="81">
        <v>294721</v>
      </c>
      <c r="W460" s="79">
        <v>0</v>
      </c>
      <c r="X460" s="79">
        <v>1</v>
      </c>
      <c r="Y460" s="11" t="str">
        <f ca="1">IF(ISBLANK(BudgetsTable[[#This Row],[budg_seq_yr]]),"FY"&amp;fiscalyear,"FY"&amp;fiscalyear-1+BudgetsTable[[#This Row],[budg_seq_yr]])</f>
        <v>FY18</v>
      </c>
      <c r="Z460" s="80">
        <v>294721</v>
      </c>
      <c r="AA460" s="79" t="s">
        <v>1622</v>
      </c>
      <c r="AB460" s="79" t="s">
        <v>580</v>
      </c>
      <c r="AC460" s="77" t="s">
        <v>94</v>
      </c>
      <c r="AD460" s="79" t="s">
        <v>1833</v>
      </c>
    </row>
    <row r="461" spans="1:30" x14ac:dyDescent="0.4">
      <c r="A461" s="10" t="s">
        <v>1411</v>
      </c>
      <c r="B461" s="77" t="s">
        <v>95</v>
      </c>
      <c r="C461" s="77">
        <f>C460+(BudgetsTable[[#This Row],[lead]]&lt;&gt;K460)</f>
        <v>86</v>
      </c>
      <c r="D461" s="77">
        <f>D460*(BudgetsTable[[#This Row],[lead]]=K460)+(BudgetsTable[[#This Row],[prop_id]]&lt;&gt;A460)</f>
        <v>1</v>
      </c>
      <c r="E461" s="78">
        <v>43005.740277777775</v>
      </c>
      <c r="F461" s="79" t="s">
        <v>1831</v>
      </c>
      <c r="G461" s="79" t="s">
        <v>1622</v>
      </c>
      <c r="H461" s="79" t="s">
        <v>580</v>
      </c>
      <c r="I461" s="77" t="s">
        <v>1166</v>
      </c>
      <c r="J461" s="77" t="s">
        <v>13</v>
      </c>
      <c r="K461" s="79" t="s">
        <v>1411</v>
      </c>
      <c r="L461" s="7" t="str">
        <f>IF(BudgetsTable[[#This Row],[pi_last_name]]=" ","",HYPERLINK("https://www.ejacket.nsf.gov/ej/showProposal.do?Continue=Y&amp;ID="&amp;BudgetsTable[[#This Row],[prop_id]],BudgetsTable[[#This Row],[prop_id]]))</f>
        <v/>
      </c>
      <c r="M461" s="15" t="str">
        <f>IF(BudgetsTable[[#This Row],[pi_last_name]]=" ","",HYPERLINK("https://www.ejacket.nsf.gov/ej/processReviewAnalysis.do?dispatch=add&amp;uniqId="&amp;BudgetsTable[[#This Row],[prop_id]]&amp;PO_id,"&gt;ra"))</f>
        <v/>
      </c>
      <c r="N461" s="79" t="s">
        <v>13</v>
      </c>
      <c r="O461" s="7" t="str">
        <f>IF(BudgetsTable[[#This Row],[pi_last_name]]=" ","",HYPERLINK("mailto:"&amp;BudgetsTable[[#This Row],[pi_email]]&amp;"&amp;subject=Your NSF Proposal:  "&amp;BudgetsTable[[#This Row],[prop_id]],BudgetsTable[[#This Row],[pi_email]]))</f>
        <v/>
      </c>
      <c r="P461" s="79" t="s">
        <v>13</v>
      </c>
      <c r="Q461" s="79">
        <v>1</v>
      </c>
      <c r="R461" s="79">
        <v>0</v>
      </c>
      <c r="S461" s="80">
        <v>0</v>
      </c>
      <c r="T461" s="80">
        <v>12000</v>
      </c>
      <c r="U461" s="80">
        <v>0</v>
      </c>
      <c r="V461" s="81">
        <v>309552</v>
      </c>
      <c r="W461" s="79">
        <v>0</v>
      </c>
      <c r="X461" s="79">
        <v>2</v>
      </c>
      <c r="Y461" s="11" t="str">
        <f ca="1">IF(ISBLANK(BudgetsTable[[#This Row],[budg_seq_yr]]),"FY"&amp;fiscalyear,"FY"&amp;fiscalyear-1+BudgetsTable[[#This Row],[budg_seq_yr]])</f>
        <v>FY19</v>
      </c>
      <c r="Z461" s="80">
        <v>309552</v>
      </c>
      <c r="AA461" s="79" t="s">
        <v>1622</v>
      </c>
      <c r="AB461" s="79" t="s">
        <v>580</v>
      </c>
      <c r="AC461" s="77" t="s">
        <v>94</v>
      </c>
      <c r="AD461" s="79" t="s">
        <v>1833</v>
      </c>
    </row>
    <row r="462" spans="1:30" x14ac:dyDescent="0.4">
      <c r="A462" s="10" t="s">
        <v>1411</v>
      </c>
      <c r="B462" s="77" t="s">
        <v>95</v>
      </c>
      <c r="C462" s="77">
        <f>C461+(BudgetsTable[[#This Row],[lead]]&lt;&gt;K461)</f>
        <v>86</v>
      </c>
      <c r="D462" s="77">
        <f>D461*(BudgetsTable[[#This Row],[lead]]=K461)+(BudgetsTable[[#This Row],[prop_id]]&lt;&gt;A461)</f>
        <v>1</v>
      </c>
      <c r="E462" s="78">
        <v>43005.740277777775</v>
      </c>
      <c r="F462" s="79" t="s">
        <v>1831</v>
      </c>
      <c r="G462" s="79" t="s">
        <v>1622</v>
      </c>
      <c r="H462" s="79" t="s">
        <v>580</v>
      </c>
      <c r="I462" s="77" t="s">
        <v>1166</v>
      </c>
      <c r="J462" s="77" t="s">
        <v>13</v>
      </c>
      <c r="K462" s="79" t="s">
        <v>1411</v>
      </c>
      <c r="L462" s="7" t="str">
        <f>IF(BudgetsTable[[#This Row],[pi_last_name]]=" ","",HYPERLINK("https://www.ejacket.nsf.gov/ej/showProposal.do?Continue=Y&amp;ID="&amp;BudgetsTable[[#This Row],[prop_id]],BudgetsTable[[#This Row],[prop_id]]))</f>
        <v/>
      </c>
      <c r="M462" s="15" t="str">
        <f>IF(BudgetsTable[[#This Row],[pi_last_name]]=" ","",HYPERLINK("https://www.ejacket.nsf.gov/ej/processReviewAnalysis.do?dispatch=add&amp;uniqId="&amp;BudgetsTable[[#This Row],[prop_id]]&amp;PO_id,"&gt;ra"))</f>
        <v/>
      </c>
      <c r="N462" s="79" t="s">
        <v>13</v>
      </c>
      <c r="O462" s="7" t="str">
        <f>IF(BudgetsTable[[#This Row],[pi_last_name]]=" ","",HYPERLINK("mailto:"&amp;BudgetsTable[[#This Row],[pi_email]]&amp;"&amp;subject=Your NSF Proposal:  "&amp;BudgetsTable[[#This Row],[prop_id]],BudgetsTable[[#This Row],[pi_email]]))</f>
        <v/>
      </c>
      <c r="P462" s="79" t="s">
        <v>13</v>
      </c>
      <c r="Q462" s="79">
        <v>1</v>
      </c>
      <c r="R462" s="79">
        <v>0</v>
      </c>
      <c r="S462" s="80">
        <v>0</v>
      </c>
      <c r="T462" s="80">
        <v>12000</v>
      </c>
      <c r="U462" s="80">
        <v>0</v>
      </c>
      <c r="V462" s="81">
        <v>296522</v>
      </c>
      <c r="W462" s="79">
        <v>0</v>
      </c>
      <c r="X462" s="79">
        <v>3</v>
      </c>
      <c r="Y462" s="11" t="str">
        <f ca="1">IF(ISBLANK(BudgetsTable[[#This Row],[budg_seq_yr]]),"FY"&amp;fiscalyear,"FY"&amp;fiscalyear-1+BudgetsTable[[#This Row],[budg_seq_yr]])</f>
        <v>FY20</v>
      </c>
      <c r="Z462" s="80">
        <v>296522</v>
      </c>
      <c r="AA462" s="79" t="s">
        <v>1622</v>
      </c>
      <c r="AB462" s="79" t="s">
        <v>580</v>
      </c>
      <c r="AC462" s="77" t="s">
        <v>94</v>
      </c>
      <c r="AD462" s="79" t="s">
        <v>1833</v>
      </c>
    </row>
    <row r="463" spans="1:30" x14ac:dyDescent="0.4">
      <c r="A463" s="10" t="s">
        <v>1411</v>
      </c>
      <c r="B463" s="77" t="s">
        <v>95</v>
      </c>
      <c r="C463" s="77">
        <f>C462+(BudgetsTable[[#This Row],[lead]]&lt;&gt;K462)</f>
        <v>86</v>
      </c>
      <c r="D463" s="77">
        <f>D462*(BudgetsTable[[#This Row],[lead]]=K462)+(BudgetsTable[[#This Row],[prop_id]]&lt;&gt;A462)</f>
        <v>1</v>
      </c>
      <c r="E463" s="78">
        <v>43005.740277777775</v>
      </c>
      <c r="F463" s="79" t="s">
        <v>1831</v>
      </c>
      <c r="G463" s="79" t="s">
        <v>1622</v>
      </c>
      <c r="H463" s="79" t="s">
        <v>580</v>
      </c>
      <c r="I463" s="77" t="s">
        <v>1166</v>
      </c>
      <c r="J463" s="77" t="s">
        <v>13</v>
      </c>
      <c r="K463" s="79" t="s">
        <v>1411</v>
      </c>
      <c r="L463" s="7" t="str">
        <f>IF(BudgetsTable[[#This Row],[pi_last_name]]=" ","",HYPERLINK("https://www.ejacket.nsf.gov/ej/showProposal.do?Continue=Y&amp;ID="&amp;BudgetsTable[[#This Row],[prop_id]],BudgetsTable[[#This Row],[prop_id]]))</f>
        <v/>
      </c>
      <c r="M463" s="15" t="str">
        <f>IF(BudgetsTable[[#This Row],[pi_last_name]]=" ","",HYPERLINK("https://www.ejacket.nsf.gov/ej/processReviewAnalysis.do?dispatch=add&amp;uniqId="&amp;BudgetsTable[[#This Row],[prop_id]]&amp;PO_id,"&gt;ra"))</f>
        <v/>
      </c>
      <c r="N463" s="79" t="s">
        <v>13</v>
      </c>
      <c r="O463" s="7" t="str">
        <f>IF(BudgetsTable[[#This Row],[pi_last_name]]=" ","",HYPERLINK("mailto:"&amp;BudgetsTable[[#This Row],[pi_email]]&amp;"&amp;subject=Your NSF Proposal:  "&amp;BudgetsTable[[#This Row],[prop_id]],BudgetsTable[[#This Row],[pi_email]]))</f>
        <v/>
      </c>
      <c r="P463" s="79" t="s">
        <v>13</v>
      </c>
      <c r="Q463" s="79">
        <v>1</v>
      </c>
      <c r="R463" s="79">
        <v>0</v>
      </c>
      <c r="S463" s="80">
        <v>0</v>
      </c>
      <c r="T463" s="80">
        <v>12000</v>
      </c>
      <c r="U463" s="80">
        <v>0</v>
      </c>
      <c r="V463" s="81">
        <v>299205</v>
      </c>
      <c r="W463" s="79">
        <v>0</v>
      </c>
      <c r="X463" s="79">
        <v>4</v>
      </c>
      <c r="Y463" s="11" t="str">
        <f ca="1">IF(ISBLANK(BudgetsTable[[#This Row],[budg_seq_yr]]),"FY"&amp;fiscalyear,"FY"&amp;fiscalyear-1+BudgetsTable[[#This Row],[budg_seq_yr]])</f>
        <v>FY21</v>
      </c>
      <c r="Z463" s="80">
        <v>299205</v>
      </c>
      <c r="AA463" s="79" t="s">
        <v>1622</v>
      </c>
      <c r="AB463" s="79" t="s">
        <v>580</v>
      </c>
      <c r="AC463" s="77" t="s">
        <v>94</v>
      </c>
      <c r="AD463" s="79" t="s">
        <v>1833</v>
      </c>
    </row>
    <row r="464" spans="1:30" x14ac:dyDescent="0.4">
      <c r="A464" s="10" t="s">
        <v>1420</v>
      </c>
      <c r="B464" s="77" t="s">
        <v>491</v>
      </c>
      <c r="C464" s="77">
        <f>C463+(BudgetsTable[[#This Row],[lead]]&lt;&gt;K463)</f>
        <v>87</v>
      </c>
      <c r="D464" s="77">
        <f>D463*(BudgetsTable[[#This Row],[lead]]=K463)+(BudgetsTable[[#This Row],[prop_id]]&lt;&gt;A463)</f>
        <v>1</v>
      </c>
      <c r="E464" s="78">
        <v>43005.743750000001</v>
      </c>
      <c r="F464" s="79" t="s">
        <v>524</v>
      </c>
      <c r="G464" s="79" t="s">
        <v>477</v>
      </c>
      <c r="H464" s="79" t="s">
        <v>582</v>
      </c>
      <c r="I464" s="77" t="s">
        <v>611</v>
      </c>
      <c r="J464" s="77" t="s">
        <v>1842</v>
      </c>
      <c r="K464" s="79" t="s">
        <v>1420</v>
      </c>
      <c r="L464" s="7" t="str">
        <f>IF(BudgetsTable[[#This Row],[pi_last_name]]=" ","",HYPERLINK("https://www.ejacket.nsf.gov/ej/showProposal.do?Continue=Y&amp;ID="&amp;BudgetsTable[[#This Row],[prop_id]],BudgetsTable[[#This Row],[prop_id]]))</f>
        <v>1764063</v>
      </c>
      <c r="M464" s="15" t="e">
        <f>IF(BudgetsTable[[#This Row],[pi_last_name]]=" ","",HYPERLINK("https://www.ejacket.nsf.gov/ej/processReviewAnalysis.do?dispatch=add&amp;uniqId="&amp;BudgetsTable[[#This Row],[prop_id]]&amp;PO_id,"&gt;ra"))</f>
        <v>#REF!</v>
      </c>
      <c r="N464" s="79" t="s">
        <v>1421</v>
      </c>
      <c r="O464" s="7" t="str">
        <f>IF(BudgetsTable[[#This Row],[pi_last_name]]=" ","",HYPERLINK("mailto:"&amp;BudgetsTable[[#This Row],[pi_email]]&amp;"&amp;subject=Your NSF Proposal:  "&amp;BudgetsTable[[#This Row],[prop_id]],BudgetsTable[[#This Row],[pi_email]]))</f>
        <v>wbwu@galton.uchicago.edu</v>
      </c>
      <c r="P464" s="79" t="s">
        <v>1839</v>
      </c>
      <c r="Q464" s="79"/>
      <c r="R464" s="79"/>
      <c r="S464" s="80"/>
      <c r="T464" s="80"/>
      <c r="U464" s="80"/>
      <c r="V464" s="81"/>
      <c r="W464" s="79">
        <v>0</v>
      </c>
      <c r="X464" s="79"/>
      <c r="Y464" s="11" t="str">
        <f ca="1">IF(ISBLANK(BudgetsTable[[#This Row],[budg_seq_yr]]),"FY"&amp;fiscalyear,"FY"&amp;fiscalyear-1+BudgetsTable[[#This Row],[budg_seq_yr]])</f>
        <v>FY18</v>
      </c>
      <c r="Z464" s="80">
        <v>399414</v>
      </c>
      <c r="AA464" s="79" t="s">
        <v>477</v>
      </c>
      <c r="AB464" s="79" t="s">
        <v>582</v>
      </c>
      <c r="AC464" s="77" t="s">
        <v>94</v>
      </c>
      <c r="AD464" s="79" t="s">
        <v>1704</v>
      </c>
    </row>
    <row r="465" spans="1:30" x14ac:dyDescent="0.4">
      <c r="A465" s="10" t="s">
        <v>1420</v>
      </c>
      <c r="B465" s="77" t="s">
        <v>491</v>
      </c>
      <c r="C465" s="77">
        <f>C464+(BudgetsTable[[#This Row],[lead]]&lt;&gt;K464)</f>
        <v>87</v>
      </c>
      <c r="D465" s="77">
        <f>D464*(BudgetsTable[[#This Row],[lead]]=K464)+(BudgetsTable[[#This Row],[prop_id]]&lt;&gt;A464)</f>
        <v>1</v>
      </c>
      <c r="E465" s="78">
        <v>43005.743750000001</v>
      </c>
      <c r="F465" s="79" t="s">
        <v>524</v>
      </c>
      <c r="G465" s="79" t="s">
        <v>477</v>
      </c>
      <c r="H465" s="79" t="s">
        <v>582</v>
      </c>
      <c r="I465" s="77" t="s">
        <v>611</v>
      </c>
      <c r="J465" s="77" t="s">
        <v>13</v>
      </c>
      <c r="K465" s="79" t="s">
        <v>1420</v>
      </c>
      <c r="L465" s="7" t="str">
        <f>IF(BudgetsTable[[#This Row],[pi_last_name]]=" ","",HYPERLINK("https://www.ejacket.nsf.gov/ej/showProposal.do?Continue=Y&amp;ID="&amp;BudgetsTable[[#This Row],[prop_id]],BudgetsTable[[#This Row],[prop_id]]))</f>
        <v/>
      </c>
      <c r="M465" s="15" t="str">
        <f>IF(BudgetsTable[[#This Row],[pi_last_name]]=" ","",HYPERLINK("https://www.ejacket.nsf.gov/ej/processReviewAnalysis.do?dispatch=add&amp;uniqId="&amp;BudgetsTable[[#This Row],[prop_id]]&amp;PO_id,"&gt;ra"))</f>
        <v/>
      </c>
      <c r="N465" s="79" t="s">
        <v>13</v>
      </c>
      <c r="O465" s="7" t="str">
        <f>IF(BudgetsTable[[#This Row],[pi_last_name]]=" ","",HYPERLINK("mailto:"&amp;BudgetsTable[[#This Row],[pi_email]]&amp;"&amp;subject=Your NSF Proposal:  "&amp;BudgetsTable[[#This Row],[prop_id]],BudgetsTable[[#This Row],[pi_email]]))</f>
        <v/>
      </c>
      <c r="P465" s="79" t="s">
        <v>13</v>
      </c>
      <c r="Q465" s="79">
        <v>1</v>
      </c>
      <c r="R465" s="79">
        <v>0.75</v>
      </c>
      <c r="S465" s="80">
        <v>0</v>
      </c>
      <c r="T465" s="80">
        <v>3000</v>
      </c>
      <c r="U465" s="80">
        <v>0</v>
      </c>
      <c r="V465" s="81">
        <v>67369</v>
      </c>
      <c r="W465" s="79">
        <v>0</v>
      </c>
      <c r="X465" s="79">
        <v>1</v>
      </c>
      <c r="Y465" s="11" t="str">
        <f ca="1">IF(ISBLANK(BudgetsTable[[#This Row],[budg_seq_yr]]),"FY"&amp;fiscalyear,"FY"&amp;fiscalyear-1+BudgetsTable[[#This Row],[budg_seq_yr]])</f>
        <v>FY18</v>
      </c>
      <c r="Z465" s="80">
        <v>67369</v>
      </c>
      <c r="AA465" s="79" t="s">
        <v>477</v>
      </c>
      <c r="AB465" s="79" t="s">
        <v>582</v>
      </c>
      <c r="AC465" s="77" t="s">
        <v>94</v>
      </c>
      <c r="AD465" s="79" t="s">
        <v>1704</v>
      </c>
    </row>
    <row r="466" spans="1:30" x14ac:dyDescent="0.4">
      <c r="A466" s="10" t="s">
        <v>1420</v>
      </c>
      <c r="B466" s="77" t="s">
        <v>491</v>
      </c>
      <c r="C466" s="77">
        <f>C465+(BudgetsTable[[#This Row],[lead]]&lt;&gt;K465)</f>
        <v>87</v>
      </c>
      <c r="D466" s="77">
        <f>D465*(BudgetsTable[[#This Row],[lead]]=K465)+(BudgetsTable[[#This Row],[prop_id]]&lt;&gt;A465)</f>
        <v>1</v>
      </c>
      <c r="E466" s="78">
        <v>43005.743750000001</v>
      </c>
      <c r="F466" s="79" t="s">
        <v>524</v>
      </c>
      <c r="G466" s="79" t="s">
        <v>477</v>
      </c>
      <c r="H466" s="79" t="s">
        <v>582</v>
      </c>
      <c r="I466" s="77" t="s">
        <v>611</v>
      </c>
      <c r="J466" s="77" t="s">
        <v>13</v>
      </c>
      <c r="K466" s="79" t="s">
        <v>1420</v>
      </c>
      <c r="L466" s="7" t="str">
        <f>IF(BudgetsTable[[#This Row],[pi_last_name]]=" ","",HYPERLINK("https://www.ejacket.nsf.gov/ej/showProposal.do?Continue=Y&amp;ID="&amp;BudgetsTable[[#This Row],[prop_id]],BudgetsTable[[#This Row],[prop_id]]))</f>
        <v/>
      </c>
      <c r="M466" s="15" t="str">
        <f>IF(BudgetsTable[[#This Row],[pi_last_name]]=" ","",HYPERLINK("https://www.ejacket.nsf.gov/ej/processReviewAnalysis.do?dispatch=add&amp;uniqId="&amp;BudgetsTable[[#This Row],[prop_id]]&amp;PO_id,"&gt;ra"))</f>
        <v/>
      </c>
      <c r="N466" s="79" t="s">
        <v>13</v>
      </c>
      <c r="O466" s="7" t="str">
        <f>IF(BudgetsTable[[#This Row],[pi_last_name]]=" ","",HYPERLINK("mailto:"&amp;BudgetsTable[[#This Row],[pi_email]]&amp;"&amp;subject=Your NSF Proposal:  "&amp;BudgetsTable[[#This Row],[prop_id]],BudgetsTable[[#This Row],[pi_email]]))</f>
        <v/>
      </c>
      <c r="P466" s="79" t="s">
        <v>13</v>
      </c>
      <c r="Q466" s="79">
        <v>1</v>
      </c>
      <c r="R466" s="79">
        <v>1.75</v>
      </c>
      <c r="S466" s="80">
        <v>0</v>
      </c>
      <c r="T466" s="80">
        <v>3090</v>
      </c>
      <c r="U466" s="80">
        <v>0</v>
      </c>
      <c r="V466" s="81">
        <v>101924</v>
      </c>
      <c r="W466" s="79">
        <v>0</v>
      </c>
      <c r="X466" s="79">
        <v>2</v>
      </c>
      <c r="Y466" s="11" t="str">
        <f ca="1">IF(ISBLANK(BudgetsTable[[#This Row],[budg_seq_yr]]),"FY"&amp;fiscalyear,"FY"&amp;fiscalyear-1+BudgetsTable[[#This Row],[budg_seq_yr]])</f>
        <v>FY19</v>
      </c>
      <c r="Z466" s="80">
        <v>101924</v>
      </c>
      <c r="AA466" s="79" t="s">
        <v>477</v>
      </c>
      <c r="AB466" s="79" t="s">
        <v>582</v>
      </c>
      <c r="AC466" s="77" t="s">
        <v>94</v>
      </c>
      <c r="AD466" s="79" t="s">
        <v>1704</v>
      </c>
    </row>
    <row r="467" spans="1:30" x14ac:dyDescent="0.4">
      <c r="A467" s="10" t="s">
        <v>1420</v>
      </c>
      <c r="B467" s="77" t="s">
        <v>491</v>
      </c>
      <c r="C467" s="77">
        <f>C466+(BudgetsTable[[#This Row],[lead]]&lt;&gt;K466)</f>
        <v>87</v>
      </c>
      <c r="D467" s="77">
        <f>D466*(BudgetsTable[[#This Row],[lead]]=K466)+(BudgetsTable[[#This Row],[prop_id]]&lt;&gt;A466)</f>
        <v>1</v>
      </c>
      <c r="E467" s="78">
        <v>43005.743750000001</v>
      </c>
      <c r="F467" s="79" t="s">
        <v>524</v>
      </c>
      <c r="G467" s="79" t="s">
        <v>477</v>
      </c>
      <c r="H467" s="79" t="s">
        <v>582</v>
      </c>
      <c r="I467" s="77" t="s">
        <v>611</v>
      </c>
      <c r="J467" s="77" t="s">
        <v>13</v>
      </c>
      <c r="K467" s="79" t="s">
        <v>1420</v>
      </c>
      <c r="L467" s="7" t="str">
        <f>IF(BudgetsTable[[#This Row],[pi_last_name]]=" ","",HYPERLINK("https://www.ejacket.nsf.gov/ej/showProposal.do?Continue=Y&amp;ID="&amp;BudgetsTable[[#This Row],[prop_id]],BudgetsTable[[#This Row],[prop_id]]))</f>
        <v/>
      </c>
      <c r="M467" s="15" t="str">
        <f>IF(BudgetsTable[[#This Row],[pi_last_name]]=" ","",HYPERLINK("https://www.ejacket.nsf.gov/ej/processReviewAnalysis.do?dispatch=add&amp;uniqId="&amp;BudgetsTable[[#This Row],[prop_id]]&amp;PO_id,"&gt;ra"))</f>
        <v/>
      </c>
      <c r="N467" s="79" t="s">
        <v>13</v>
      </c>
      <c r="O467" s="7" t="str">
        <f>IF(BudgetsTable[[#This Row],[pi_last_name]]=" ","",HYPERLINK("mailto:"&amp;BudgetsTable[[#This Row],[pi_email]]&amp;"&amp;subject=Your NSF Proposal:  "&amp;BudgetsTable[[#This Row],[prop_id]],BudgetsTable[[#This Row],[pi_email]]))</f>
        <v/>
      </c>
      <c r="P467" s="79" t="s">
        <v>13</v>
      </c>
      <c r="Q467" s="79">
        <v>1</v>
      </c>
      <c r="R467" s="79">
        <v>2</v>
      </c>
      <c r="S467" s="80">
        <v>0</v>
      </c>
      <c r="T467" s="80">
        <v>3183</v>
      </c>
      <c r="U467" s="80">
        <v>0</v>
      </c>
      <c r="V467" s="81">
        <v>113361</v>
      </c>
      <c r="W467" s="79">
        <v>0</v>
      </c>
      <c r="X467" s="79">
        <v>3</v>
      </c>
      <c r="Y467" s="11" t="str">
        <f ca="1">IF(ISBLANK(BudgetsTable[[#This Row],[budg_seq_yr]]),"FY"&amp;fiscalyear,"FY"&amp;fiscalyear-1+BudgetsTable[[#This Row],[budg_seq_yr]])</f>
        <v>FY20</v>
      </c>
      <c r="Z467" s="80">
        <v>113361</v>
      </c>
      <c r="AA467" s="79" t="s">
        <v>477</v>
      </c>
      <c r="AB467" s="79" t="s">
        <v>582</v>
      </c>
      <c r="AC467" s="77" t="s">
        <v>94</v>
      </c>
      <c r="AD467" s="79" t="s">
        <v>1704</v>
      </c>
    </row>
    <row r="468" spans="1:30" x14ac:dyDescent="0.4">
      <c r="A468" s="10" t="s">
        <v>1420</v>
      </c>
      <c r="B468" s="77" t="s">
        <v>491</v>
      </c>
      <c r="C468" s="77">
        <f>C467+(BudgetsTable[[#This Row],[lead]]&lt;&gt;K467)</f>
        <v>87</v>
      </c>
      <c r="D468" s="77">
        <f>D467*(BudgetsTable[[#This Row],[lead]]=K467)+(BudgetsTable[[#This Row],[prop_id]]&lt;&gt;A467)</f>
        <v>1</v>
      </c>
      <c r="E468" s="78">
        <v>43005.743750000001</v>
      </c>
      <c r="F468" s="79" t="s">
        <v>524</v>
      </c>
      <c r="G468" s="79" t="s">
        <v>477</v>
      </c>
      <c r="H468" s="79" t="s">
        <v>582</v>
      </c>
      <c r="I468" s="77" t="s">
        <v>611</v>
      </c>
      <c r="J468" s="77" t="s">
        <v>13</v>
      </c>
      <c r="K468" s="79" t="s">
        <v>1420</v>
      </c>
      <c r="L468" s="7" t="str">
        <f>IF(BudgetsTable[[#This Row],[pi_last_name]]=" ","",HYPERLINK("https://www.ejacket.nsf.gov/ej/showProposal.do?Continue=Y&amp;ID="&amp;BudgetsTable[[#This Row],[prop_id]],BudgetsTable[[#This Row],[prop_id]]))</f>
        <v/>
      </c>
      <c r="M468" s="15" t="str">
        <f>IF(BudgetsTable[[#This Row],[pi_last_name]]=" ","",HYPERLINK("https://www.ejacket.nsf.gov/ej/processReviewAnalysis.do?dispatch=add&amp;uniqId="&amp;BudgetsTable[[#This Row],[prop_id]]&amp;PO_id,"&gt;ra"))</f>
        <v/>
      </c>
      <c r="N468" s="79" t="s">
        <v>13</v>
      </c>
      <c r="O468" s="7" t="str">
        <f>IF(BudgetsTable[[#This Row],[pi_last_name]]=" ","",HYPERLINK("mailto:"&amp;BudgetsTable[[#This Row],[pi_email]]&amp;"&amp;subject=Your NSF Proposal:  "&amp;BudgetsTable[[#This Row],[prop_id]],BudgetsTable[[#This Row],[pi_email]]))</f>
        <v/>
      </c>
      <c r="P468" s="79" t="s">
        <v>13</v>
      </c>
      <c r="Q468" s="79">
        <v>1</v>
      </c>
      <c r="R468" s="79">
        <v>2</v>
      </c>
      <c r="S468" s="80">
        <v>0</v>
      </c>
      <c r="T468" s="80">
        <v>3278</v>
      </c>
      <c r="U468" s="80">
        <v>0</v>
      </c>
      <c r="V468" s="81">
        <v>116760</v>
      </c>
      <c r="W468" s="79">
        <v>0</v>
      </c>
      <c r="X468" s="79">
        <v>4</v>
      </c>
      <c r="Y468" s="11" t="str">
        <f ca="1">IF(ISBLANK(BudgetsTable[[#This Row],[budg_seq_yr]]),"FY"&amp;fiscalyear,"FY"&amp;fiscalyear-1+BudgetsTable[[#This Row],[budg_seq_yr]])</f>
        <v>FY21</v>
      </c>
      <c r="Z468" s="80">
        <v>116760</v>
      </c>
      <c r="AA468" s="79" t="s">
        <v>477</v>
      </c>
      <c r="AB468" s="79" t="s">
        <v>582</v>
      </c>
      <c r="AC468" s="77" t="s">
        <v>94</v>
      </c>
      <c r="AD468" s="79" t="s">
        <v>1704</v>
      </c>
    </row>
    <row r="469" spans="1:30" x14ac:dyDescent="0.4">
      <c r="A469" s="10" t="s">
        <v>1843</v>
      </c>
      <c r="B469" s="77" t="s">
        <v>493</v>
      </c>
      <c r="C469" s="77">
        <f>C468+(BudgetsTable[[#This Row],[lead]]&lt;&gt;K468)</f>
        <v>87</v>
      </c>
      <c r="D469" s="77">
        <f>D468*(BudgetsTable[[#This Row],[lead]]=K468)+(BudgetsTable[[#This Row],[prop_id]]&lt;&gt;A468)</f>
        <v>2</v>
      </c>
      <c r="E469" s="78">
        <v>43005.654166666667</v>
      </c>
      <c r="F469" s="79" t="s">
        <v>524</v>
      </c>
      <c r="G469" s="79" t="s">
        <v>477</v>
      </c>
      <c r="H469" s="79" t="s">
        <v>582</v>
      </c>
      <c r="I469" s="77" t="s">
        <v>611</v>
      </c>
      <c r="J469" s="77" t="s">
        <v>1846</v>
      </c>
      <c r="K469" s="79" t="s">
        <v>1420</v>
      </c>
      <c r="L469" s="7" t="str">
        <f>IF(BudgetsTable[[#This Row],[pi_last_name]]=" ","",HYPERLINK("https://www.ejacket.nsf.gov/ej/showProposal.do?Continue=Y&amp;ID="&amp;BudgetsTable[[#This Row],[prop_id]],BudgetsTable[[#This Row],[prop_id]]))</f>
        <v>1763885</v>
      </c>
      <c r="M469" s="15" t="e">
        <f>IF(BudgetsTable[[#This Row],[pi_last_name]]=" ","",HYPERLINK("https://www.ejacket.nsf.gov/ej/processReviewAnalysis.do?dispatch=add&amp;uniqId="&amp;BudgetsTable[[#This Row],[prop_id]]&amp;PO_id,"&gt;ra"))</f>
        <v>#REF!</v>
      </c>
      <c r="N469" s="79" t="s">
        <v>1352</v>
      </c>
      <c r="O469" s="7" t="str">
        <f>IF(BudgetsTable[[#This Row],[pi_last_name]]=" ","",HYPERLINK("mailto:"&amp;BudgetsTable[[#This Row],[pi_email]]&amp;"&amp;subject=Your NSF Proposal:  "&amp;BudgetsTable[[#This Row],[prop_id]],BudgetsTable[[#This Row],[pi_email]]))</f>
        <v>maggie.cheng@njit.edu</v>
      </c>
      <c r="P469" s="79" t="s">
        <v>1845</v>
      </c>
      <c r="Q469" s="79"/>
      <c r="R469" s="79"/>
      <c r="S469" s="80"/>
      <c r="T469" s="80"/>
      <c r="U469" s="80"/>
      <c r="V469" s="81"/>
      <c r="W469" s="79">
        <v>0</v>
      </c>
      <c r="X469" s="79"/>
      <c r="Y469" s="11" t="str">
        <f ca="1">IF(ISBLANK(BudgetsTable[[#This Row],[budg_seq_yr]]),"FY"&amp;fiscalyear,"FY"&amp;fiscalyear-1+BudgetsTable[[#This Row],[budg_seq_yr]])</f>
        <v>FY18</v>
      </c>
      <c r="Z469" s="80">
        <v>398685</v>
      </c>
      <c r="AA469" s="79" t="s">
        <v>477</v>
      </c>
      <c r="AB469" s="79" t="s">
        <v>582</v>
      </c>
      <c r="AC469" s="77" t="s">
        <v>94</v>
      </c>
      <c r="AD469" s="79" t="s">
        <v>1704</v>
      </c>
    </row>
    <row r="470" spans="1:30" x14ac:dyDescent="0.4">
      <c r="A470" s="10" t="s">
        <v>1843</v>
      </c>
      <c r="B470" s="77" t="s">
        <v>493</v>
      </c>
      <c r="C470" s="77">
        <f>C469+(BudgetsTable[[#This Row],[lead]]&lt;&gt;K469)</f>
        <v>87</v>
      </c>
      <c r="D470" s="77">
        <f>D469*(BudgetsTable[[#This Row],[lead]]=K469)+(BudgetsTable[[#This Row],[prop_id]]&lt;&gt;A469)</f>
        <v>2</v>
      </c>
      <c r="E470" s="78">
        <v>43005.654166666667</v>
      </c>
      <c r="F470" s="79" t="s">
        <v>524</v>
      </c>
      <c r="G470" s="79" t="s">
        <v>477</v>
      </c>
      <c r="H470" s="79" t="s">
        <v>582</v>
      </c>
      <c r="I470" s="77" t="s">
        <v>611</v>
      </c>
      <c r="J470" s="77" t="s">
        <v>13</v>
      </c>
      <c r="K470" s="79" t="s">
        <v>1420</v>
      </c>
      <c r="L470" s="7" t="str">
        <f>IF(BudgetsTable[[#This Row],[pi_last_name]]=" ","",HYPERLINK("https://www.ejacket.nsf.gov/ej/showProposal.do?Continue=Y&amp;ID="&amp;BudgetsTable[[#This Row],[prop_id]],BudgetsTable[[#This Row],[prop_id]]))</f>
        <v/>
      </c>
      <c r="M470" s="15" t="str">
        <f>IF(BudgetsTable[[#This Row],[pi_last_name]]=" ","",HYPERLINK("https://www.ejacket.nsf.gov/ej/processReviewAnalysis.do?dispatch=add&amp;uniqId="&amp;BudgetsTable[[#This Row],[prop_id]]&amp;PO_id,"&gt;ra"))</f>
        <v/>
      </c>
      <c r="N470" s="79" t="s">
        <v>13</v>
      </c>
      <c r="O470" s="7" t="str">
        <f>IF(BudgetsTable[[#This Row],[pi_last_name]]=" ","",HYPERLINK("mailto:"&amp;BudgetsTable[[#This Row],[pi_email]]&amp;"&amp;subject=Your NSF Proposal:  "&amp;BudgetsTable[[#This Row],[prop_id]],BudgetsTable[[#This Row],[pi_email]]))</f>
        <v/>
      </c>
      <c r="P470" s="79" t="s">
        <v>13</v>
      </c>
      <c r="Q470" s="79">
        <v>1</v>
      </c>
      <c r="R470" s="79">
        <v>1</v>
      </c>
      <c r="S470" s="80">
        <v>0</v>
      </c>
      <c r="T470" s="80">
        <v>2000</v>
      </c>
      <c r="U470" s="80">
        <v>0</v>
      </c>
      <c r="V470" s="81">
        <v>93421</v>
      </c>
      <c r="W470" s="79">
        <v>0</v>
      </c>
      <c r="X470" s="79">
        <v>1</v>
      </c>
      <c r="Y470" s="11" t="str">
        <f ca="1">IF(ISBLANK(BudgetsTable[[#This Row],[budg_seq_yr]]),"FY"&amp;fiscalyear,"FY"&amp;fiscalyear-1+BudgetsTable[[#This Row],[budg_seq_yr]])</f>
        <v>FY18</v>
      </c>
      <c r="Z470" s="80">
        <v>93421</v>
      </c>
      <c r="AA470" s="79" t="s">
        <v>477</v>
      </c>
      <c r="AB470" s="79" t="s">
        <v>582</v>
      </c>
      <c r="AC470" s="77" t="s">
        <v>94</v>
      </c>
      <c r="AD470" s="79" t="s">
        <v>1704</v>
      </c>
    </row>
    <row r="471" spans="1:30" x14ac:dyDescent="0.4">
      <c r="A471" s="10" t="s">
        <v>1843</v>
      </c>
      <c r="B471" s="77" t="s">
        <v>493</v>
      </c>
      <c r="C471" s="77">
        <f>C470+(BudgetsTable[[#This Row],[lead]]&lt;&gt;K470)</f>
        <v>87</v>
      </c>
      <c r="D471" s="77">
        <f>D470*(BudgetsTable[[#This Row],[lead]]=K470)+(BudgetsTable[[#This Row],[prop_id]]&lt;&gt;A470)</f>
        <v>2</v>
      </c>
      <c r="E471" s="78">
        <v>43005.654166666667</v>
      </c>
      <c r="F471" s="79" t="s">
        <v>524</v>
      </c>
      <c r="G471" s="79" t="s">
        <v>477</v>
      </c>
      <c r="H471" s="79" t="s">
        <v>582</v>
      </c>
      <c r="I471" s="77" t="s">
        <v>611</v>
      </c>
      <c r="J471" s="77" t="s">
        <v>13</v>
      </c>
      <c r="K471" s="79" t="s">
        <v>1420</v>
      </c>
      <c r="L471" s="7" t="str">
        <f>IF(BudgetsTable[[#This Row],[pi_last_name]]=" ","",HYPERLINK("https://www.ejacket.nsf.gov/ej/showProposal.do?Continue=Y&amp;ID="&amp;BudgetsTable[[#This Row],[prop_id]],BudgetsTable[[#This Row],[prop_id]]))</f>
        <v/>
      </c>
      <c r="M471" s="15" t="str">
        <f>IF(BudgetsTable[[#This Row],[pi_last_name]]=" ","",HYPERLINK("https://www.ejacket.nsf.gov/ej/processReviewAnalysis.do?dispatch=add&amp;uniqId="&amp;BudgetsTable[[#This Row],[prop_id]]&amp;PO_id,"&gt;ra"))</f>
        <v/>
      </c>
      <c r="N471" s="79" t="s">
        <v>13</v>
      </c>
      <c r="O471" s="7" t="str">
        <f>IF(BudgetsTable[[#This Row],[pi_last_name]]=" ","",HYPERLINK("mailto:"&amp;BudgetsTable[[#This Row],[pi_email]]&amp;"&amp;subject=Your NSF Proposal:  "&amp;BudgetsTable[[#This Row],[prop_id]],BudgetsTable[[#This Row],[pi_email]]))</f>
        <v/>
      </c>
      <c r="P471" s="79" t="s">
        <v>13</v>
      </c>
      <c r="Q471" s="79">
        <v>1</v>
      </c>
      <c r="R471" s="79">
        <v>1</v>
      </c>
      <c r="S471" s="80">
        <v>0</v>
      </c>
      <c r="T471" s="80">
        <v>2000</v>
      </c>
      <c r="U471" s="80">
        <v>0</v>
      </c>
      <c r="V471" s="81">
        <v>97447</v>
      </c>
      <c r="W471" s="79">
        <v>0</v>
      </c>
      <c r="X471" s="79">
        <v>2</v>
      </c>
      <c r="Y471" s="11" t="str">
        <f ca="1">IF(ISBLANK(BudgetsTable[[#This Row],[budg_seq_yr]]),"FY"&amp;fiscalyear,"FY"&amp;fiscalyear-1+BudgetsTable[[#This Row],[budg_seq_yr]])</f>
        <v>FY19</v>
      </c>
      <c r="Z471" s="80">
        <v>97447</v>
      </c>
      <c r="AA471" s="79" t="s">
        <v>477</v>
      </c>
      <c r="AB471" s="79" t="s">
        <v>582</v>
      </c>
      <c r="AC471" s="77" t="s">
        <v>94</v>
      </c>
      <c r="AD471" s="79" t="s">
        <v>1704</v>
      </c>
    </row>
    <row r="472" spans="1:30" x14ac:dyDescent="0.4">
      <c r="A472" s="10" t="s">
        <v>1843</v>
      </c>
      <c r="B472" s="77" t="s">
        <v>493</v>
      </c>
      <c r="C472" s="77">
        <f>C471+(BudgetsTable[[#This Row],[lead]]&lt;&gt;K471)</f>
        <v>87</v>
      </c>
      <c r="D472" s="77">
        <f>D471*(BudgetsTable[[#This Row],[lead]]=K471)+(BudgetsTable[[#This Row],[prop_id]]&lt;&gt;A471)</f>
        <v>2</v>
      </c>
      <c r="E472" s="78">
        <v>43005.654166666667</v>
      </c>
      <c r="F472" s="79" t="s">
        <v>524</v>
      </c>
      <c r="G472" s="79" t="s">
        <v>477</v>
      </c>
      <c r="H472" s="79" t="s">
        <v>582</v>
      </c>
      <c r="I472" s="77" t="s">
        <v>611</v>
      </c>
      <c r="J472" s="77" t="s">
        <v>13</v>
      </c>
      <c r="K472" s="79" t="s">
        <v>1420</v>
      </c>
      <c r="L472" s="7" t="str">
        <f>IF(BudgetsTable[[#This Row],[pi_last_name]]=" ","",HYPERLINK("https://www.ejacket.nsf.gov/ej/showProposal.do?Continue=Y&amp;ID="&amp;BudgetsTable[[#This Row],[prop_id]],BudgetsTable[[#This Row],[prop_id]]))</f>
        <v/>
      </c>
      <c r="M472" s="15" t="str">
        <f>IF(BudgetsTable[[#This Row],[pi_last_name]]=" ","",HYPERLINK("https://www.ejacket.nsf.gov/ej/processReviewAnalysis.do?dispatch=add&amp;uniqId="&amp;BudgetsTable[[#This Row],[prop_id]]&amp;PO_id,"&gt;ra"))</f>
        <v/>
      </c>
      <c r="N472" s="79" t="s">
        <v>13</v>
      </c>
      <c r="O472" s="7" t="str">
        <f>IF(BudgetsTable[[#This Row],[pi_last_name]]=" ","",HYPERLINK("mailto:"&amp;BudgetsTable[[#This Row],[pi_email]]&amp;"&amp;subject=Your NSF Proposal:  "&amp;BudgetsTable[[#This Row],[prop_id]],BudgetsTable[[#This Row],[pi_email]]))</f>
        <v/>
      </c>
      <c r="P472" s="79" t="s">
        <v>13</v>
      </c>
      <c r="Q472" s="79">
        <v>1</v>
      </c>
      <c r="R472" s="79">
        <v>1</v>
      </c>
      <c r="S472" s="80">
        <v>0</v>
      </c>
      <c r="T472" s="80">
        <v>2000</v>
      </c>
      <c r="U472" s="80">
        <v>0</v>
      </c>
      <c r="V472" s="81">
        <v>101681</v>
      </c>
      <c r="W472" s="79">
        <v>0</v>
      </c>
      <c r="X472" s="79">
        <v>3</v>
      </c>
      <c r="Y472" s="11" t="str">
        <f ca="1">IF(ISBLANK(BudgetsTable[[#This Row],[budg_seq_yr]]),"FY"&amp;fiscalyear,"FY"&amp;fiscalyear-1+BudgetsTable[[#This Row],[budg_seq_yr]])</f>
        <v>FY20</v>
      </c>
      <c r="Z472" s="80">
        <v>101681</v>
      </c>
      <c r="AA472" s="79" t="s">
        <v>477</v>
      </c>
      <c r="AB472" s="79" t="s">
        <v>582</v>
      </c>
      <c r="AC472" s="77" t="s">
        <v>94</v>
      </c>
      <c r="AD472" s="79" t="s">
        <v>1704</v>
      </c>
    </row>
    <row r="473" spans="1:30" x14ac:dyDescent="0.4">
      <c r="A473" s="10" t="s">
        <v>1843</v>
      </c>
      <c r="B473" s="77" t="s">
        <v>493</v>
      </c>
      <c r="C473" s="77">
        <f>C472+(BudgetsTable[[#This Row],[lead]]&lt;&gt;K472)</f>
        <v>87</v>
      </c>
      <c r="D473" s="77">
        <f>D472*(BudgetsTable[[#This Row],[lead]]=K472)+(BudgetsTable[[#This Row],[prop_id]]&lt;&gt;A472)</f>
        <v>2</v>
      </c>
      <c r="E473" s="78">
        <v>43005.654166666667</v>
      </c>
      <c r="F473" s="79" t="s">
        <v>524</v>
      </c>
      <c r="G473" s="79" t="s">
        <v>477</v>
      </c>
      <c r="H473" s="79" t="s">
        <v>582</v>
      </c>
      <c r="I473" s="77" t="s">
        <v>611</v>
      </c>
      <c r="J473" s="77" t="s">
        <v>13</v>
      </c>
      <c r="K473" s="79" t="s">
        <v>1420</v>
      </c>
      <c r="L473" s="7" t="str">
        <f>IF(BudgetsTable[[#This Row],[pi_last_name]]=" ","",HYPERLINK("https://www.ejacket.nsf.gov/ej/showProposal.do?Continue=Y&amp;ID="&amp;BudgetsTable[[#This Row],[prop_id]],BudgetsTable[[#This Row],[prop_id]]))</f>
        <v/>
      </c>
      <c r="M473" s="15" t="str">
        <f>IF(BudgetsTable[[#This Row],[pi_last_name]]=" ","",HYPERLINK("https://www.ejacket.nsf.gov/ej/processReviewAnalysis.do?dispatch=add&amp;uniqId="&amp;BudgetsTable[[#This Row],[prop_id]]&amp;PO_id,"&gt;ra"))</f>
        <v/>
      </c>
      <c r="N473" s="79" t="s">
        <v>13</v>
      </c>
      <c r="O473" s="7" t="str">
        <f>IF(BudgetsTable[[#This Row],[pi_last_name]]=" ","",HYPERLINK("mailto:"&amp;BudgetsTable[[#This Row],[pi_email]]&amp;"&amp;subject=Your NSF Proposal:  "&amp;BudgetsTable[[#This Row],[prop_id]],BudgetsTable[[#This Row],[pi_email]]))</f>
        <v/>
      </c>
      <c r="P473" s="79" t="s">
        <v>13</v>
      </c>
      <c r="Q473" s="79">
        <v>1</v>
      </c>
      <c r="R473" s="79">
        <v>1</v>
      </c>
      <c r="S473" s="80">
        <v>0</v>
      </c>
      <c r="T473" s="80">
        <v>2000</v>
      </c>
      <c r="U473" s="80">
        <v>0</v>
      </c>
      <c r="V473" s="81">
        <v>106136</v>
      </c>
      <c r="W473" s="79">
        <v>0</v>
      </c>
      <c r="X473" s="79">
        <v>4</v>
      </c>
      <c r="Y473" s="11" t="str">
        <f ca="1">IF(ISBLANK(BudgetsTable[[#This Row],[budg_seq_yr]]),"FY"&amp;fiscalyear,"FY"&amp;fiscalyear-1+BudgetsTable[[#This Row],[budg_seq_yr]])</f>
        <v>FY21</v>
      </c>
      <c r="Z473" s="80">
        <v>106136</v>
      </c>
      <c r="AA473" s="79" t="s">
        <v>477</v>
      </c>
      <c r="AB473" s="79" t="s">
        <v>582</v>
      </c>
      <c r="AC473" s="77" t="s">
        <v>94</v>
      </c>
      <c r="AD473" s="79" t="s">
        <v>1704</v>
      </c>
    </row>
  </sheetData>
  <conditionalFormatting sqref="A4:AD473">
    <cfRule type="expression" dxfId="191" priority="1684">
      <formula>MOD($C4,2)</formula>
    </cfRule>
  </conditionalFormatting>
  <conditionalFormatting sqref="L4:AD473">
    <cfRule type="expression" dxfId="190" priority="1579">
      <formula>MOD($D4+1,2)</formula>
    </cfRule>
    <cfRule type="expression" dxfId="189" priority="1686">
      <formula>ISBLANK($X4)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X18"/>
  <sheetViews>
    <sheetView workbookViewId="0">
      <selection activeCell="E4" sqref="E4"/>
    </sheetView>
  </sheetViews>
  <sheetFormatPr defaultRowHeight="14.6" x14ac:dyDescent="0.4"/>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30" customWidth="1"/>
    <col min="11" max="11" width="3.3046875" style="30" customWidth="1"/>
    <col min="12" max="12" width="3.53515625" style="30" customWidth="1"/>
    <col min="13" max="13" width="13.53515625" customWidth="1"/>
    <col min="14" max="14" width="3.84375" customWidth="1"/>
    <col min="15" max="16" width="7.3828125" hidden="1" customWidth="1"/>
    <col min="17" max="17" width="5.3828125" customWidth="1"/>
    <col min="18" max="18" width="11" customWidth="1"/>
    <col min="19" max="19" width="14.3046875" style="22" customWidth="1"/>
    <col min="20" max="20" width="5.3046875" style="39" customWidth="1"/>
    <col min="21" max="21" width="4.53515625" style="39" customWidth="1"/>
    <col min="22" max="22" width="11.84375" customWidth="1"/>
    <col min="23" max="23" width="4.3828125" customWidth="1"/>
    <col min="24" max="24" width="3.69140625" customWidth="1"/>
    <col min="25" max="25" width="8.69140625" style="30" customWidth="1"/>
    <col min="26" max="26" width="3.69140625" customWidth="1"/>
    <col min="27" max="27" width="9.3046875" style="30"/>
    <col min="28" max="28" width="9.53515625" style="30"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3"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x14ac:dyDescent="0.4">
      <c r="A1" s="63" t="s">
        <v>283</v>
      </c>
      <c r="D1" s="63" t="s">
        <v>457</v>
      </c>
      <c r="V1" s="40" t="s">
        <v>228</v>
      </c>
      <c r="AH1" s="40" t="s">
        <v>222</v>
      </c>
      <c r="AI1" s="40"/>
      <c r="AJ1" s="40"/>
      <c r="AK1" s="40"/>
      <c r="AL1" s="40"/>
      <c r="AM1" s="40"/>
      <c r="AN1" s="41" t="s">
        <v>223</v>
      </c>
      <c r="AO1" s="40"/>
      <c r="AP1" s="40"/>
      <c r="AQ1" s="40"/>
      <c r="AR1" s="42" t="s">
        <v>221</v>
      </c>
      <c r="AS1" s="40"/>
      <c r="AT1" s="40"/>
      <c r="AU1" s="40"/>
      <c r="AV1" s="40"/>
      <c r="AW1" s="40"/>
      <c r="AX1" s="40" t="s">
        <v>224</v>
      </c>
    </row>
    <row r="2" spans="1:50" x14ac:dyDescent="0.4">
      <c r="A2" s="25" t="s">
        <v>285</v>
      </c>
      <c r="B2" t="s">
        <v>286</v>
      </c>
      <c r="D2" s="6" t="s">
        <v>366</v>
      </c>
      <c r="E2" s="6" t="s">
        <v>458</v>
      </c>
      <c r="H2"/>
      <c r="I2"/>
      <c r="J2"/>
      <c r="K2"/>
      <c r="L2"/>
      <c r="S2"/>
      <c r="T2"/>
      <c r="U2"/>
      <c r="Y2"/>
      <c r="AA2"/>
      <c r="AB2"/>
      <c r="AN2"/>
      <c r="AR2"/>
    </row>
    <row r="3" spans="1:50" x14ac:dyDescent="0.4">
      <c r="A3" s="105" t="s">
        <v>584</v>
      </c>
      <c r="B3" t="s">
        <v>585</v>
      </c>
      <c r="D3" s="105" t="s">
        <v>578</v>
      </c>
      <c r="E3" t="s">
        <v>579</v>
      </c>
      <c r="H3"/>
      <c r="I3"/>
      <c r="J3"/>
      <c r="K3"/>
      <c r="L3"/>
      <c r="S3"/>
      <c r="T3"/>
      <c r="U3"/>
      <c r="Y3"/>
      <c r="AA3"/>
      <c r="AB3"/>
      <c r="AN3"/>
      <c r="AR3"/>
    </row>
    <row r="4" spans="1:50" x14ac:dyDescent="0.4">
      <c r="A4" s="105" t="s">
        <v>580</v>
      </c>
      <c r="B4" t="s">
        <v>581</v>
      </c>
      <c r="D4" s="105" t="s">
        <v>580</v>
      </c>
      <c r="E4" t="s">
        <v>581</v>
      </c>
      <c r="H4"/>
      <c r="I4"/>
      <c r="J4"/>
      <c r="K4"/>
      <c r="L4"/>
      <c r="S4"/>
      <c r="T4"/>
      <c r="U4"/>
      <c r="Y4"/>
      <c r="AA4"/>
      <c r="AB4"/>
      <c r="AN4"/>
      <c r="AR4"/>
    </row>
    <row r="5" spans="1:50" x14ac:dyDescent="0.4">
      <c r="A5" s="105" t="s">
        <v>519</v>
      </c>
      <c r="B5" t="s">
        <v>520</v>
      </c>
      <c r="D5" s="105" t="s">
        <v>582</v>
      </c>
      <c r="E5" t="s">
        <v>583</v>
      </c>
      <c r="H5"/>
      <c r="I5"/>
      <c r="J5"/>
      <c r="K5"/>
      <c r="L5"/>
      <c r="S5"/>
      <c r="T5"/>
      <c r="U5"/>
      <c r="Y5"/>
      <c r="AA5"/>
      <c r="AB5"/>
      <c r="AN5"/>
      <c r="AR5"/>
    </row>
    <row r="6" spans="1:50" x14ac:dyDescent="0.4">
      <c r="A6" s="105" t="s">
        <v>586</v>
      </c>
      <c r="B6" t="s">
        <v>587</v>
      </c>
      <c r="H6"/>
      <c r="I6"/>
      <c r="J6"/>
      <c r="K6"/>
      <c r="L6"/>
      <c r="S6"/>
      <c r="T6"/>
      <c r="U6"/>
      <c r="Y6"/>
      <c r="AA6"/>
      <c r="AB6"/>
      <c r="AN6"/>
      <c r="AR6"/>
    </row>
    <row r="7" spans="1:50" x14ac:dyDescent="0.4">
      <c r="A7" s="105" t="s">
        <v>588</v>
      </c>
      <c r="B7" t="s">
        <v>589</v>
      </c>
      <c r="H7"/>
      <c r="I7"/>
      <c r="J7"/>
      <c r="K7"/>
      <c r="L7"/>
      <c r="S7"/>
      <c r="T7"/>
      <c r="U7"/>
      <c r="Y7"/>
      <c r="AA7"/>
      <c r="AB7"/>
      <c r="AN7"/>
      <c r="AR7"/>
    </row>
    <row r="8" spans="1:50" x14ac:dyDescent="0.4">
      <c r="A8" s="105" t="s">
        <v>590</v>
      </c>
      <c r="B8" t="s">
        <v>591</v>
      </c>
      <c r="H8"/>
      <c r="I8"/>
      <c r="J8"/>
      <c r="K8"/>
      <c r="L8"/>
      <c r="S8"/>
      <c r="T8"/>
      <c r="U8"/>
      <c r="Y8"/>
      <c r="AA8"/>
      <c r="AB8"/>
      <c r="AN8"/>
      <c r="AR8"/>
    </row>
    <row r="9" spans="1:50" x14ac:dyDescent="0.4">
      <c r="A9" s="105" t="s">
        <v>592</v>
      </c>
      <c r="B9" t="s">
        <v>593</v>
      </c>
      <c r="H9"/>
      <c r="I9"/>
      <c r="J9"/>
      <c r="K9"/>
      <c r="L9"/>
      <c r="S9"/>
      <c r="T9"/>
      <c r="U9"/>
      <c r="Y9"/>
      <c r="AA9"/>
      <c r="AB9"/>
      <c r="AN9"/>
      <c r="AR9"/>
    </row>
    <row r="10" spans="1:50" x14ac:dyDescent="0.4">
      <c r="A10" s="105" t="s">
        <v>594</v>
      </c>
      <c r="B10" t="s">
        <v>595</v>
      </c>
      <c r="K10"/>
      <c r="L10"/>
      <c r="S10"/>
      <c r="T10"/>
      <c r="U10"/>
      <c r="Y10"/>
      <c r="AA10"/>
      <c r="AB10"/>
      <c r="AN10"/>
      <c r="AR10"/>
    </row>
    <row r="11" spans="1:50" x14ac:dyDescent="0.4">
      <c r="A11" s="105" t="s">
        <v>596</v>
      </c>
      <c r="B11" t="s">
        <v>597</v>
      </c>
      <c r="K11"/>
      <c r="L11"/>
      <c r="S11"/>
      <c r="T11"/>
      <c r="U11"/>
      <c r="Y11"/>
      <c r="AA11"/>
      <c r="AB11"/>
      <c r="AN11"/>
      <c r="AR11"/>
    </row>
    <row r="12" spans="1:50" x14ac:dyDescent="0.4">
      <c r="A12" s="105" t="s">
        <v>598</v>
      </c>
      <c r="B12" t="s">
        <v>599</v>
      </c>
      <c r="K12"/>
      <c r="L12"/>
      <c r="S12"/>
      <c r="T12"/>
      <c r="U12"/>
      <c r="Y12"/>
      <c r="AA12"/>
      <c r="AB12"/>
      <c r="AN12"/>
      <c r="AR12"/>
    </row>
    <row r="13" spans="1:50" x14ac:dyDescent="0.4">
      <c r="A13" s="105" t="s">
        <v>600</v>
      </c>
      <c r="B13" t="s">
        <v>601</v>
      </c>
      <c r="K13"/>
      <c r="L13"/>
      <c r="S13"/>
      <c r="T13"/>
      <c r="U13"/>
      <c r="Y13"/>
      <c r="AA13"/>
      <c r="AB13"/>
      <c r="AN13"/>
      <c r="AR13"/>
    </row>
    <row r="14" spans="1:50" x14ac:dyDescent="0.4">
      <c r="K14"/>
      <c r="L14"/>
      <c r="S14"/>
      <c r="T14"/>
      <c r="U14"/>
      <c r="Y14"/>
      <c r="AA14"/>
      <c r="AB14"/>
      <c r="AN14"/>
      <c r="AR14"/>
    </row>
    <row r="15" spans="1:50" x14ac:dyDescent="0.4">
      <c r="K15"/>
      <c r="L15"/>
      <c r="S15"/>
      <c r="T15"/>
      <c r="U15"/>
      <c r="Y15"/>
      <c r="AA15"/>
      <c r="AB15"/>
      <c r="AN15"/>
      <c r="AR15"/>
    </row>
    <row r="16" spans="1:50" x14ac:dyDescent="0.4">
      <c r="K16"/>
      <c r="L16"/>
      <c r="S16"/>
      <c r="T16"/>
      <c r="U16"/>
      <c r="Y16"/>
      <c r="AA16"/>
      <c r="AB16"/>
      <c r="AN16"/>
      <c r="AR16"/>
    </row>
    <row r="17" spans="11:44" x14ac:dyDescent="0.4">
      <c r="K17"/>
      <c r="L17"/>
      <c r="S17"/>
      <c r="T17"/>
      <c r="U17"/>
      <c r="Y17"/>
      <c r="AA17"/>
      <c r="AB17"/>
      <c r="AN17"/>
      <c r="AR17"/>
    </row>
    <row r="18" spans="11:44" x14ac:dyDescent="0.4">
      <c r="K18"/>
      <c r="L18"/>
      <c r="S18"/>
      <c r="T18"/>
      <c r="U18"/>
      <c r="Y18"/>
      <c r="AA18"/>
      <c r="AB18"/>
      <c r="AN18"/>
      <c r="AR18"/>
    </row>
  </sheetData>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C79"/>
  <sheetViews>
    <sheetView workbookViewId="0">
      <selection activeCell="Q16" sqref="Q16"/>
    </sheetView>
  </sheetViews>
  <sheetFormatPr defaultRowHeight="14.6" x14ac:dyDescent="0.4"/>
  <cols>
    <col min="1" max="1" width="8.3828125" customWidth="1"/>
    <col min="2" max="2" width="13.84375" style="22" customWidth="1"/>
    <col min="3" max="3" width="11.3828125" style="22"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3828125" style="22" bestFit="1" customWidth="1"/>
    <col min="12" max="12" width="3.3046875" customWidth="1"/>
    <col min="13" max="13" width="6" style="26" customWidth="1"/>
    <col min="14" max="16" width="4.15234375" customWidth="1"/>
    <col min="17" max="17" width="19.3828125" style="29" customWidth="1"/>
    <col min="18" max="18" width="20.53515625" style="29" customWidth="1"/>
    <col min="19" max="19" width="8.84375" style="29" customWidth="1"/>
    <col min="20" max="22" width="7.3046875" style="29" customWidth="1"/>
    <col min="23" max="23" width="2.84375" style="21" customWidth="1"/>
    <col min="24" max="24" width="7.3046875" style="21" customWidth="1"/>
    <col min="25" max="25" width="5.3828125" style="21" customWidth="1"/>
    <col min="26" max="26" width="5.3046875" customWidth="1"/>
    <col min="27" max="27" width="7.84375" bestFit="1" customWidth="1"/>
    <col min="28" max="29" width="3.53515625" customWidth="1"/>
    <col min="30" max="30" width="3.53515625" style="21" customWidth="1"/>
    <col min="31" max="31" width="2.3828125" style="21" customWidth="1"/>
    <col min="32" max="32" width="3.3046875" style="26" customWidth="1"/>
    <col min="33" max="33" width="4.3828125" customWidth="1"/>
    <col min="34" max="34" width="3.3828125" customWidth="1"/>
    <col min="35" max="35" width="13.69140625" style="30" customWidth="1"/>
    <col min="36" max="36" width="9.3046875" customWidth="1"/>
    <col min="37" max="38" width="12.69140625" style="13" customWidth="1"/>
    <col min="39" max="39" width="4.53515625" style="5" customWidth="1"/>
    <col min="40" max="40" width="9.3046875" customWidth="1"/>
    <col min="41" max="41" width="4.3828125" style="21" customWidth="1"/>
    <col min="42" max="42" width="72" style="21" bestFit="1" customWidth="1"/>
    <col min="43" max="43" width="3.3046875" customWidth="1"/>
    <col min="44" max="44" width="7.69140625" customWidth="1"/>
    <col min="45" max="45" width="8.69140625" style="26" bestFit="1" customWidth="1"/>
    <col min="46" max="46" width="9.15234375" customWidth="1"/>
    <col min="47" max="47" width="13.3828125" style="21" customWidth="1"/>
    <col min="48" max="48" width="4.15234375" style="21" customWidth="1"/>
    <col min="49" max="49" width="17.53515625" style="21" customWidth="1"/>
    <col min="50" max="50" width="8.69140625" style="26" customWidth="1"/>
    <col min="51" max="51" width="11.53515625" style="21" customWidth="1"/>
    <col min="52" max="52" width="34.15234375" style="21" customWidth="1"/>
    <col min="53" max="53" width="4.3828125" style="21" customWidth="1"/>
    <col min="54" max="54" width="3.53515625" style="21" customWidth="1"/>
    <col min="55" max="58" width="2.84375" style="21" customWidth="1"/>
    <col min="59" max="59" width="2.84375" customWidth="1"/>
    <col min="60" max="67" width="2.84375" style="21" customWidth="1"/>
    <col min="68" max="68" width="2.84375" style="27" customWidth="1"/>
    <col min="69" max="72" width="2.84375" style="21" customWidth="1"/>
    <col min="73" max="73" width="10.53515625" bestFit="1" customWidth="1"/>
    <col min="74" max="74" width="14.3828125" style="21" customWidth="1"/>
    <col min="75" max="75" width="11.3828125" style="21" customWidth="1"/>
    <col min="76" max="76" width="24.53515625" style="21" bestFit="1" customWidth="1"/>
    <col min="77" max="77" width="12" bestFit="1" customWidth="1"/>
    <col min="78" max="78" width="12" customWidth="1"/>
    <col min="79" max="79" width="18.3828125" customWidth="1"/>
    <col min="80" max="83" width="2.69140625" style="21" customWidth="1"/>
    <col min="84" max="86" width="2.69140625" customWidth="1"/>
    <col min="87" max="90" width="2.69140625" style="21" customWidth="1"/>
    <col min="91" max="93" width="2.69140625" customWidth="1"/>
    <col min="94" max="97" width="2.69140625" style="21" customWidth="1"/>
    <col min="98" max="100" width="2.69140625" customWidth="1"/>
    <col min="101" max="104" width="2.69140625" style="21" customWidth="1"/>
    <col min="105" max="107" width="2.69140625" customWidth="1"/>
    <col min="108" max="111" width="2.69140625" style="21" customWidth="1"/>
    <col min="112" max="114" width="2.69140625" customWidth="1"/>
    <col min="115" max="118" width="2.69140625" style="21" customWidth="1"/>
    <col min="119" max="121" width="2.69140625" customWidth="1"/>
    <col min="122" max="122" width="36.53515625" customWidth="1"/>
    <col min="123" max="123" width="45.69140625" customWidth="1"/>
    <col min="124" max="124" width="27.15234375" customWidth="1"/>
    <col min="125" max="125" width="15.3046875" customWidth="1"/>
    <col min="126" max="126" width="30" bestFit="1" customWidth="1"/>
    <col min="127" max="127" width="11.69140625" customWidth="1"/>
    <col min="128" max="128" width="27.3046875" bestFit="1" customWidth="1"/>
    <col min="129" max="129" width="5.3828125" bestFit="1" customWidth="1"/>
    <col min="130" max="130" width="35.15234375" customWidth="1"/>
    <col min="131" max="131" width="13.3828125" style="22" bestFit="1" customWidth="1"/>
    <col min="132" max="132" width="29.3046875" hidden="1" customWidth="1"/>
    <col min="133" max="133" width="72" hidden="1" customWidth="1"/>
  </cols>
  <sheetData>
    <row r="1" spans="1:133" ht="41.7" customHeight="1" x14ac:dyDescent="0.4">
      <c r="A1" s="5" t="s">
        <v>87</v>
      </c>
      <c r="B1" s="22" t="s">
        <v>7</v>
      </c>
      <c r="C1" s="22" t="s">
        <v>8</v>
      </c>
      <c r="D1" s="30" t="s">
        <v>5</v>
      </c>
      <c r="E1" t="s">
        <v>4</v>
      </c>
      <c r="F1" t="s">
        <v>163</v>
      </c>
      <c r="G1" s="2" t="s">
        <v>165</v>
      </c>
      <c r="H1" t="s">
        <v>92</v>
      </c>
      <c r="I1" t="s">
        <v>17</v>
      </c>
      <c r="J1" t="s">
        <v>91</v>
      </c>
      <c r="K1" s="22" t="s">
        <v>16</v>
      </c>
      <c r="L1" t="s">
        <v>151</v>
      </c>
      <c r="M1" s="46" t="s">
        <v>178</v>
      </c>
      <c r="N1" t="s">
        <v>311</v>
      </c>
      <c r="O1" s="6" t="s">
        <v>312</v>
      </c>
      <c r="P1" s="6" t="s">
        <v>313</v>
      </c>
      <c r="Q1" s="92" t="s">
        <v>412</v>
      </c>
      <c r="R1" s="92" t="s">
        <v>413</v>
      </c>
      <c r="S1" s="92" t="s">
        <v>142</v>
      </c>
      <c r="T1" s="92" t="s">
        <v>454</v>
      </c>
      <c r="U1" s="92" t="s">
        <v>141</v>
      </c>
      <c r="V1" s="92" t="s">
        <v>414</v>
      </c>
      <c r="W1" s="93" t="s">
        <v>415</v>
      </c>
      <c r="X1" s="94" t="s">
        <v>203</v>
      </c>
      <c r="Y1" s="94" t="s">
        <v>417</v>
      </c>
      <c r="Z1" s="6" t="s">
        <v>143</v>
      </c>
      <c r="AA1" s="6" t="s">
        <v>9</v>
      </c>
      <c r="AB1" t="s">
        <v>137</v>
      </c>
      <c r="AC1" s="14" t="s">
        <v>146</v>
      </c>
      <c r="AD1" s="14" t="s">
        <v>292</v>
      </c>
      <c r="AE1" s="14" t="s">
        <v>455</v>
      </c>
      <c r="AF1" s="21" t="s">
        <v>314</v>
      </c>
      <c r="AG1" s="91" t="s">
        <v>23</v>
      </c>
      <c r="AH1" s="14" t="s">
        <v>315</v>
      </c>
      <c r="AI1" s="14" t="s">
        <v>291</v>
      </c>
      <c r="AJ1" s="95" t="s">
        <v>147</v>
      </c>
      <c r="AK1" s="96" t="s">
        <v>21</v>
      </c>
      <c r="AL1" s="13" t="s">
        <v>22</v>
      </c>
      <c r="AM1" t="s">
        <v>159</v>
      </c>
      <c r="AN1" s="95" t="s">
        <v>19</v>
      </c>
      <c r="AO1" s="21" t="s">
        <v>20</v>
      </c>
      <c r="AP1" s="21" t="s">
        <v>36</v>
      </c>
      <c r="AQ1" s="21" t="s">
        <v>148</v>
      </c>
      <c r="AR1" s="21" t="s">
        <v>149</v>
      </c>
      <c r="AS1" s="30" t="s">
        <v>150</v>
      </c>
      <c r="AT1" s="21" t="s">
        <v>24</v>
      </c>
      <c r="AU1" s="21" t="s">
        <v>27</v>
      </c>
      <c r="AV1" s="21" t="s">
        <v>25</v>
      </c>
      <c r="AW1" s="21" t="s">
        <v>26</v>
      </c>
      <c r="AX1" s="30" t="s">
        <v>153</v>
      </c>
      <c r="AY1" s="21" t="s">
        <v>154</v>
      </c>
      <c r="AZ1" s="21" t="s">
        <v>316</v>
      </c>
      <c r="BA1" s="97" t="s">
        <v>317</v>
      </c>
      <c r="BB1" s="21" t="s">
        <v>318</v>
      </c>
      <c r="BC1" s="21" t="s">
        <v>28</v>
      </c>
      <c r="BD1" s="21" t="s">
        <v>31</v>
      </c>
      <c r="BE1" s="21" t="s">
        <v>29</v>
      </c>
      <c r="BF1" s="21" t="s">
        <v>30</v>
      </c>
      <c r="BG1" s="27" t="s">
        <v>155</v>
      </c>
      <c r="BH1" s="21" t="s">
        <v>156</v>
      </c>
      <c r="BI1" s="21" t="s">
        <v>319</v>
      </c>
      <c r="BJ1" s="21" t="s">
        <v>320</v>
      </c>
      <c r="BK1" s="21" t="s">
        <v>321</v>
      </c>
      <c r="BL1" s="21" t="s">
        <v>32</v>
      </c>
      <c r="BM1" s="21" t="s">
        <v>35</v>
      </c>
      <c r="BN1" s="21" t="s">
        <v>33</v>
      </c>
      <c r="BO1" s="21" t="s">
        <v>34</v>
      </c>
      <c r="BP1" s="30" t="s">
        <v>157</v>
      </c>
      <c r="BQ1" s="21" t="s">
        <v>158</v>
      </c>
      <c r="BR1" s="21" t="s">
        <v>322</v>
      </c>
      <c r="BS1" s="21" t="s">
        <v>323</v>
      </c>
      <c r="BT1" s="21" t="s">
        <v>324</v>
      </c>
      <c r="BU1" t="s">
        <v>37</v>
      </c>
      <c r="BV1" s="21" t="s">
        <v>38</v>
      </c>
      <c r="BW1" s="21" t="s">
        <v>39</v>
      </c>
      <c r="BX1" s="21" t="s">
        <v>40</v>
      </c>
      <c r="BY1" s="13" t="s">
        <v>41</v>
      </c>
      <c r="BZ1" s="13" t="s">
        <v>42</v>
      </c>
      <c r="CA1" t="s">
        <v>43</v>
      </c>
      <c r="CB1" s="21" t="s">
        <v>44</v>
      </c>
      <c r="CC1" s="21" t="s">
        <v>45</v>
      </c>
      <c r="CD1" s="97" t="s">
        <v>46</v>
      </c>
      <c r="CE1" s="97" t="s">
        <v>47</v>
      </c>
      <c r="CF1" s="13" t="s">
        <v>48</v>
      </c>
      <c r="CG1" s="13" t="s">
        <v>49</v>
      </c>
      <c r="CH1" t="s">
        <v>50</v>
      </c>
      <c r="CI1" s="21" t="s">
        <v>51</v>
      </c>
      <c r="CJ1" s="21" t="s">
        <v>52</v>
      </c>
      <c r="CK1" s="97" t="s">
        <v>53</v>
      </c>
      <c r="CL1" s="97" t="s">
        <v>54</v>
      </c>
      <c r="CM1" s="13" t="s">
        <v>55</v>
      </c>
      <c r="CN1" s="13" t="s">
        <v>56</v>
      </c>
      <c r="CO1" t="s">
        <v>57</v>
      </c>
      <c r="CP1" s="21" t="s">
        <v>58</v>
      </c>
      <c r="CQ1" s="21" t="s">
        <v>59</v>
      </c>
      <c r="CR1" s="97" t="s">
        <v>60</v>
      </c>
      <c r="CS1" s="97" t="s">
        <v>61</v>
      </c>
      <c r="CT1" s="13" t="s">
        <v>62</v>
      </c>
      <c r="CU1" s="13" t="s">
        <v>63</v>
      </c>
      <c r="CV1" t="s">
        <v>64</v>
      </c>
      <c r="CW1" s="21" t="s">
        <v>65</v>
      </c>
      <c r="CX1" s="21" t="s">
        <v>66</v>
      </c>
      <c r="CY1" s="97" t="s">
        <v>67</v>
      </c>
      <c r="CZ1" s="97" t="s">
        <v>68</v>
      </c>
      <c r="DA1" s="13" t="s">
        <v>69</v>
      </c>
      <c r="DB1" s="13" t="s">
        <v>70</v>
      </c>
      <c r="DC1" t="s">
        <v>71</v>
      </c>
      <c r="DD1" s="21" t="s">
        <v>72</v>
      </c>
      <c r="DE1" s="21" t="s">
        <v>73</v>
      </c>
      <c r="DF1" s="97" t="s">
        <v>74</v>
      </c>
      <c r="DG1" s="97" t="s">
        <v>75</v>
      </c>
      <c r="DH1" s="13" t="s">
        <v>76</v>
      </c>
      <c r="DI1" s="13" t="s">
        <v>77</v>
      </c>
      <c r="DJ1" t="s">
        <v>78</v>
      </c>
      <c r="DK1" s="21" t="s">
        <v>79</v>
      </c>
      <c r="DL1" s="21" t="s">
        <v>80</v>
      </c>
      <c r="DM1" s="97" t="s">
        <v>81</v>
      </c>
      <c r="DN1" s="97" t="s">
        <v>82</v>
      </c>
      <c r="DO1" s="13" t="s">
        <v>83</v>
      </c>
      <c r="DP1" s="13" t="s">
        <v>84</v>
      </c>
      <c r="DQ1" t="s">
        <v>85</v>
      </c>
      <c r="DR1" t="s">
        <v>3</v>
      </c>
      <c r="DS1" t="s">
        <v>325</v>
      </c>
      <c r="DT1" t="s">
        <v>162</v>
      </c>
      <c r="DU1" t="s">
        <v>177</v>
      </c>
      <c r="DV1" t="s">
        <v>166</v>
      </c>
      <c r="DW1" t="s">
        <v>326</v>
      </c>
      <c r="DX1" t="s">
        <v>164</v>
      </c>
      <c r="DY1" t="s">
        <v>160</v>
      </c>
      <c r="DZ1" t="s">
        <v>161</v>
      </c>
      <c r="EA1" s="22" t="s">
        <v>144</v>
      </c>
      <c r="EB1" t="s">
        <v>145</v>
      </c>
      <c r="EC1" t="s">
        <v>86</v>
      </c>
    </row>
    <row r="2" spans="1:133" hidden="1" x14ac:dyDescent="0.4">
      <c r="A2" s="30">
        <v>36526</v>
      </c>
      <c r="B2" s="22">
        <v>36526</v>
      </c>
      <c r="C2" s="22" t="s">
        <v>391</v>
      </c>
      <c r="D2" s="30" t="s">
        <v>447</v>
      </c>
      <c r="E2" s="30" t="s">
        <v>392</v>
      </c>
      <c r="F2" s="30" t="s">
        <v>448</v>
      </c>
      <c r="G2" s="30" t="s">
        <v>393</v>
      </c>
      <c r="H2" t="s">
        <v>394</v>
      </c>
      <c r="I2" t="s">
        <v>449</v>
      </c>
      <c r="J2" t="s">
        <v>450</v>
      </c>
      <c r="K2" s="22">
        <v>36526</v>
      </c>
      <c r="L2">
        <v>0</v>
      </c>
      <c r="M2" s="26">
        <v>-0.99999998999999995</v>
      </c>
      <c r="N2" t="s">
        <v>328</v>
      </c>
      <c r="O2" t="s">
        <v>328</v>
      </c>
      <c r="P2" t="s">
        <v>328</v>
      </c>
      <c r="Q2" s="29" t="s">
        <v>451</v>
      </c>
      <c r="R2" s="29" t="str">
        <f>IFERROR(MID(RADataTable[[#This Row],[RAtemplate]],1,LEN(RADataTable[[#This Row],[RAtemplate]])-8),"RA") &amp; " " &amp; RADataTable[[#This Row],[prop_id0]] &amp; " " &amp; RADataTable[[#This Row],[last0]]</f>
        <v>zztemplateFname  1234567 PI last name for format.</v>
      </c>
      <c r="U2" s="21" t="str">
        <f>IF(signer1="PD",IF(ISBLANK(RADataTable[[#This Row],[sign_blck_name]]),"",RADataTable[[#This Row],[sign_blck_name]]),IF(ISBLANK(signer1),"",signer1))</f>
        <v>Name for PO signature</v>
      </c>
      <c r="V2" s="29" t="str">
        <f t="shared" ref="V2:V33" si="0">signer2</f>
        <v>Cognizant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395</v>
      </c>
      <c r="AA2" t="s">
        <v>329</v>
      </c>
      <c r="AB2">
        <v>0</v>
      </c>
      <c r="AC2">
        <v>0</v>
      </c>
      <c r="AD2">
        <v>0</v>
      </c>
      <c r="AE2" t="str">
        <f>IF(RADataTable[[#This Row],[maxScore]]-RADataTable[[#This Row],[minScore]]&gt;4,"Y","")</f>
        <v>Y</v>
      </c>
      <c r="AF2" s="21">
        <v>1</v>
      </c>
      <c r="AG2" s="26">
        <v>4.5</v>
      </c>
      <c r="AH2">
        <v>9</v>
      </c>
      <c r="AI2" t="s">
        <v>330</v>
      </c>
      <c r="AJ2" s="30">
        <v>36526</v>
      </c>
      <c r="AK2" s="13">
        <v>99999999</v>
      </c>
      <c r="AL2" s="13">
        <v>99999999</v>
      </c>
      <c r="AM2">
        <v>0</v>
      </c>
      <c r="AN2" s="30">
        <v>36526</v>
      </c>
      <c r="AO2" s="21">
        <v>36</v>
      </c>
      <c r="AP2" s="21" t="s">
        <v>331</v>
      </c>
      <c r="AQ2">
        <v>0</v>
      </c>
      <c r="AR2" t="s">
        <v>202</v>
      </c>
      <c r="AS2" s="30">
        <v>36526</v>
      </c>
      <c r="AT2" t="s">
        <v>452</v>
      </c>
      <c r="AU2" s="21" t="s">
        <v>332</v>
      </c>
      <c r="AV2" s="21">
        <v>99</v>
      </c>
      <c r="AW2" s="21" t="s">
        <v>333</v>
      </c>
      <c r="AX2" s="30">
        <v>36526</v>
      </c>
      <c r="AY2" s="21" t="s">
        <v>330</v>
      </c>
      <c r="AZ2" s="21" t="s">
        <v>334</v>
      </c>
      <c r="BA2" s="21">
        <v>0</v>
      </c>
      <c r="BB2" s="21">
        <v>0</v>
      </c>
      <c r="BC2" s="21" t="s">
        <v>452</v>
      </c>
      <c r="BD2" s="21" t="s">
        <v>332</v>
      </c>
      <c r="BE2" s="21">
        <v>99</v>
      </c>
      <c r="BF2" s="21" t="s">
        <v>333</v>
      </c>
      <c r="BG2" s="30">
        <v>36526</v>
      </c>
      <c r="BH2" s="21" t="s">
        <v>330</v>
      </c>
      <c r="BI2" s="21" t="s">
        <v>334</v>
      </c>
      <c r="BJ2" s="21">
        <v>0</v>
      </c>
      <c r="BK2" s="21">
        <v>0</v>
      </c>
      <c r="BL2" s="21" t="s">
        <v>452</v>
      </c>
      <c r="BM2" s="21" t="s">
        <v>332</v>
      </c>
      <c r="BN2" s="21">
        <v>99</v>
      </c>
      <c r="BO2" s="21" t="s">
        <v>333</v>
      </c>
      <c r="BP2" s="30">
        <v>36526</v>
      </c>
      <c r="BQ2" s="21" t="s">
        <v>330</v>
      </c>
      <c r="BR2" s="21" t="s">
        <v>334</v>
      </c>
      <c r="BS2" s="21">
        <v>0</v>
      </c>
      <c r="BT2" s="21">
        <v>0</v>
      </c>
      <c r="BU2" t="s">
        <v>329</v>
      </c>
      <c r="BV2" s="21" t="s">
        <v>335</v>
      </c>
      <c r="BW2" s="21" t="s">
        <v>336</v>
      </c>
      <c r="BX2" s="21" t="s">
        <v>337</v>
      </c>
      <c r="BY2" s="31">
        <v>99999999</v>
      </c>
      <c r="BZ2" s="31">
        <v>99999999</v>
      </c>
      <c r="CA2" t="s">
        <v>338</v>
      </c>
      <c r="CB2" s="21" t="s">
        <v>329</v>
      </c>
      <c r="CC2" s="21" t="s">
        <v>335</v>
      </c>
      <c r="CD2" s="21" t="s">
        <v>336</v>
      </c>
      <c r="CE2" s="21" t="s">
        <v>337</v>
      </c>
      <c r="CF2" s="31">
        <v>99999999</v>
      </c>
      <c r="CG2" s="31">
        <v>99999999</v>
      </c>
      <c r="CH2" t="s">
        <v>338</v>
      </c>
      <c r="CI2" s="21" t="s">
        <v>329</v>
      </c>
      <c r="CJ2" s="21" t="s">
        <v>335</v>
      </c>
      <c r="CK2" s="21" t="s">
        <v>336</v>
      </c>
      <c r="CL2" s="21" t="s">
        <v>337</v>
      </c>
      <c r="CM2" s="31">
        <v>99999999</v>
      </c>
      <c r="CN2" s="31">
        <v>99999999</v>
      </c>
      <c r="CO2" t="s">
        <v>338</v>
      </c>
      <c r="CP2" s="21" t="s">
        <v>329</v>
      </c>
      <c r="CQ2" s="21" t="s">
        <v>335</v>
      </c>
      <c r="CR2" s="21" t="s">
        <v>336</v>
      </c>
      <c r="CS2" s="21" t="s">
        <v>337</v>
      </c>
      <c r="CT2" s="31">
        <v>99999999</v>
      </c>
      <c r="CU2" s="31">
        <v>99999999</v>
      </c>
      <c r="CV2" t="s">
        <v>338</v>
      </c>
      <c r="CW2" s="21" t="s">
        <v>329</v>
      </c>
      <c r="CX2" s="21" t="s">
        <v>335</v>
      </c>
      <c r="CY2" s="21" t="s">
        <v>336</v>
      </c>
      <c r="CZ2" s="21" t="s">
        <v>337</v>
      </c>
      <c r="DA2" s="31">
        <v>99999999</v>
      </c>
      <c r="DB2" s="31">
        <v>99999999</v>
      </c>
      <c r="DC2" t="s">
        <v>338</v>
      </c>
      <c r="DD2" s="21" t="s">
        <v>329</v>
      </c>
      <c r="DE2" s="21" t="s">
        <v>335</v>
      </c>
      <c r="DF2" s="21" t="s">
        <v>336</v>
      </c>
      <c r="DG2" s="21" t="s">
        <v>337</v>
      </c>
      <c r="DH2" s="31">
        <v>99999999</v>
      </c>
      <c r="DI2" s="31">
        <v>99999999</v>
      </c>
      <c r="DJ2" t="s">
        <v>338</v>
      </c>
      <c r="DK2" s="21" t="s">
        <v>329</v>
      </c>
      <c r="DL2" s="21" t="s">
        <v>335</v>
      </c>
      <c r="DM2" s="21" t="s">
        <v>336</v>
      </c>
      <c r="DN2" s="21" t="s">
        <v>337</v>
      </c>
      <c r="DO2" s="31">
        <v>99999999</v>
      </c>
      <c r="DP2" s="31">
        <v>99999999</v>
      </c>
      <c r="DQ2" t="s">
        <v>338</v>
      </c>
      <c r="DR2" t="s">
        <v>339</v>
      </c>
      <c r="DS2" t="s">
        <v>340</v>
      </c>
      <c r="DT2" t="s">
        <v>341</v>
      </c>
      <c r="DU2" s="29" t="s">
        <v>396</v>
      </c>
      <c r="DV2" t="s">
        <v>342</v>
      </c>
      <c r="DW2" t="s">
        <v>343</v>
      </c>
      <c r="DX2" t="s">
        <v>344</v>
      </c>
      <c r="DY2" t="s">
        <v>345</v>
      </c>
      <c r="DZ2" t="s">
        <v>346</v>
      </c>
      <c r="EA2" s="22">
        <v>36526</v>
      </c>
      <c r="EB2" t="s">
        <v>347</v>
      </c>
      <c r="EC2" t="s">
        <v>348</v>
      </c>
    </row>
    <row r="3" spans="1:133" x14ac:dyDescent="0.4">
      <c r="A3" s="30"/>
      <c r="B3" s="22">
        <v>42933.820138888892</v>
      </c>
      <c r="C3" s="22" t="s">
        <v>1430</v>
      </c>
      <c r="D3" s="30" t="s">
        <v>477</v>
      </c>
      <c r="E3" s="30" t="s">
        <v>582</v>
      </c>
      <c r="F3" s="30" t="s">
        <v>169</v>
      </c>
      <c r="G3" s="30" t="s">
        <v>171</v>
      </c>
      <c r="H3" t="s">
        <v>94</v>
      </c>
      <c r="I3" t="s">
        <v>1431</v>
      </c>
      <c r="J3" t="s">
        <v>604</v>
      </c>
      <c r="L3">
        <v>1</v>
      </c>
      <c r="M3" s="26">
        <v>1.01</v>
      </c>
      <c r="N3" t="s">
        <v>544</v>
      </c>
      <c r="Q3" s="29" t="s">
        <v>13</v>
      </c>
      <c r="R3" s="29" t="str">
        <f>IFERROR(MID(RADataTable[[#This Row],[RAtemplate]],1,LEN(RADataTable[[#This Row],[RAtemplate]])-8),"RA") &amp; " " &amp; RADataTable[[#This Row],[prop_id0]] &amp; " " &amp; RADataTable[[#This Row],[last0]]</f>
        <v>RA 1749609 Lee</v>
      </c>
      <c r="U3" s="21" t="str">
        <f>IF(signer1="PD",IF(ISBLANK(RADataTable[[#This Row],[sign_blck_name]]),"",RADataTable[[#This Row],[sign_blck_name]]),IF(ISBLANK(signer1),"",signer1))</f>
        <v>Jack Snoeyink</v>
      </c>
      <c r="V3" s="29" t="str">
        <f t="shared" si="0"/>
        <v>Cognizant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yintat@uw.edu</v>
      </c>
      <c r="Y3" s="15" t="str">
        <f>HYPERLINK("mailto:"&amp;RADataTable[[#This Row],[allPIemail]]&amp;"&amp;subject=NSF Proposal:  "&amp;RADataTable[[#This Row],[Div]]&amp;" "&amp;RADataTable[[#This Row],[prop_id0]], "PIs@")</f>
        <v>PIs@</v>
      </c>
      <c r="Z3" t="s">
        <v>478</v>
      </c>
      <c r="AA3" t="s">
        <v>677</v>
      </c>
      <c r="AB3">
        <v>4</v>
      </c>
      <c r="AC3">
        <v>4</v>
      </c>
      <c r="AD3"/>
      <c r="AE3" s="21" t="str">
        <f>IF(RADataTable[[#This Row],[maxScore]]-RADataTable[[#This Row],[minScore]]&gt;4,"Y","")</f>
        <v/>
      </c>
      <c r="AF3" s="21">
        <v>6</v>
      </c>
      <c r="AG3" s="26">
        <v>8</v>
      </c>
      <c r="AH3">
        <v>9</v>
      </c>
      <c r="AI3" t="s">
        <v>1456</v>
      </c>
      <c r="AJ3" s="30">
        <v>43031.375694444447</v>
      </c>
      <c r="AK3" s="13">
        <v>549841</v>
      </c>
      <c r="AL3" s="13">
        <v>549841</v>
      </c>
      <c r="AM3">
        <v>0</v>
      </c>
      <c r="AN3" s="30">
        <v>43175</v>
      </c>
      <c r="AO3" s="21">
        <v>60</v>
      </c>
      <c r="AP3" s="21" t="s">
        <v>1457</v>
      </c>
      <c r="AS3" s="30"/>
      <c r="AT3" t="s">
        <v>605</v>
      </c>
      <c r="AU3" s="21" t="s">
        <v>543</v>
      </c>
      <c r="AV3" s="21">
        <v>1</v>
      </c>
      <c r="AW3" s="21" t="s">
        <v>1847</v>
      </c>
      <c r="AX3" s="30">
        <v>43032</v>
      </c>
      <c r="AY3" s="21" t="s">
        <v>1860</v>
      </c>
      <c r="AZ3" s="21" t="s">
        <v>1849</v>
      </c>
      <c r="BA3" s="21">
        <v>14</v>
      </c>
      <c r="BB3" s="21">
        <v>3</v>
      </c>
      <c r="BG3" s="30"/>
      <c r="BP3" s="30"/>
      <c r="BU3" t="s">
        <v>677</v>
      </c>
      <c r="BV3" s="21" t="s">
        <v>678</v>
      </c>
      <c r="BW3" s="21" t="s">
        <v>1454</v>
      </c>
      <c r="BX3" s="21" t="s">
        <v>1455</v>
      </c>
      <c r="BY3" s="31">
        <v>549841</v>
      </c>
      <c r="BZ3" s="31">
        <v>549841</v>
      </c>
      <c r="CA3" t="s">
        <v>1432</v>
      </c>
      <c r="CF3" s="31"/>
      <c r="CG3" s="31"/>
      <c r="CM3" s="31"/>
      <c r="CN3" s="31"/>
      <c r="CT3" s="31"/>
      <c r="CU3" s="31"/>
      <c r="CV3" s="31"/>
      <c r="DA3" s="31"/>
      <c r="DB3" s="31"/>
      <c r="DC3" s="31"/>
      <c r="DH3" s="31"/>
      <c r="DI3" s="31"/>
      <c r="DO3" s="31"/>
      <c r="DP3" s="31"/>
      <c r="DR3" t="s">
        <v>1850</v>
      </c>
      <c r="DS3" t="s">
        <v>479</v>
      </c>
      <c r="DT3" t="s">
        <v>583</v>
      </c>
      <c r="DU3" s="29" t="s">
        <v>1851</v>
      </c>
      <c r="DV3" t="s">
        <v>172</v>
      </c>
      <c r="DW3" t="s">
        <v>327</v>
      </c>
      <c r="DX3" t="s">
        <v>170</v>
      </c>
      <c r="DY3" t="s">
        <v>167</v>
      </c>
      <c r="DZ3" t="s">
        <v>168</v>
      </c>
      <c r="EA3" s="22">
        <v>43083.486793981479</v>
      </c>
      <c r="EB3" t="s">
        <v>1458</v>
      </c>
      <c r="EC3" t="s">
        <v>1861</v>
      </c>
    </row>
    <row r="4" spans="1:133" x14ac:dyDescent="0.4">
      <c r="A4" s="30"/>
      <c r="B4" s="22">
        <v>42935.488888888889</v>
      </c>
      <c r="C4" s="22" t="s">
        <v>1430</v>
      </c>
      <c r="D4" s="30" t="s">
        <v>477</v>
      </c>
      <c r="E4" s="30" t="s">
        <v>582</v>
      </c>
      <c r="F4" s="30" t="s">
        <v>169</v>
      </c>
      <c r="G4" s="30" t="s">
        <v>171</v>
      </c>
      <c r="H4" t="s">
        <v>94</v>
      </c>
      <c r="I4" t="s">
        <v>1431</v>
      </c>
      <c r="J4" t="s">
        <v>654</v>
      </c>
      <c r="L4">
        <v>1</v>
      </c>
      <c r="M4" s="26">
        <v>1.01</v>
      </c>
      <c r="N4" t="s">
        <v>544</v>
      </c>
      <c r="Q4" s="29" t="s">
        <v>13</v>
      </c>
      <c r="R4" s="29" t="str">
        <f>IFERROR(MID(RADataTable[[#This Row],[RAtemplate]],1,LEN(RADataTable[[#This Row],[RAtemplate]])-8),"RA") &amp; " " &amp; RADataTable[[#This Row],[prop_id0]] &amp; " " &amp; RADataTable[[#This Row],[last0]]</f>
        <v>RA 1750333 Ene</v>
      </c>
      <c r="U4" s="21" t="str">
        <f>IF(signer1="PD",IF(ISBLANK(RADataTable[[#This Row],[sign_blck_name]]),"",RADataTable[[#This Row],[sign_blck_name]]),IF(ISBLANK(signer1),"",signer1))</f>
        <v>Rahul Shah</v>
      </c>
      <c r="V4" s="29" t="str">
        <f t="shared" si="0"/>
        <v>Cognizant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aene@bu.edu</v>
      </c>
      <c r="Y4" s="15" t="str">
        <f>HYPERLINK("mailto:"&amp;RADataTable[[#This Row],[allPIemail]]&amp;"&amp;subject=NSF Proposal:  "&amp;RADataTable[[#This Row],[Div]]&amp;" "&amp;RADataTable[[#This Row],[prop_id0]], "PIs@")</f>
        <v>PIs@</v>
      </c>
      <c r="Z4" t="s">
        <v>478</v>
      </c>
      <c r="AA4" t="s">
        <v>868</v>
      </c>
      <c r="AB4">
        <v>4</v>
      </c>
      <c r="AC4">
        <v>4</v>
      </c>
      <c r="AD4"/>
      <c r="AE4" s="21" t="str">
        <f>IF(RADataTable[[#This Row],[maxScore]]-RADataTable[[#This Row],[minScore]]&gt;4,"Y","")</f>
        <v/>
      </c>
      <c r="AF4" s="21">
        <v>5</v>
      </c>
      <c r="AG4" s="26">
        <v>7.5</v>
      </c>
      <c r="AH4">
        <v>9</v>
      </c>
      <c r="AI4" t="s">
        <v>1530</v>
      </c>
      <c r="AJ4" s="30">
        <v>43032.52847222222</v>
      </c>
      <c r="AK4" s="13">
        <v>507423</v>
      </c>
      <c r="AL4" s="13">
        <v>507423</v>
      </c>
      <c r="AM4">
        <v>0</v>
      </c>
      <c r="AN4" s="30">
        <v>43101</v>
      </c>
      <c r="AO4" s="21">
        <v>60</v>
      </c>
      <c r="AP4" s="21" t="s">
        <v>1531</v>
      </c>
      <c r="AS4" s="30"/>
      <c r="AT4" t="s">
        <v>605</v>
      </c>
      <c r="AU4" s="21" t="s">
        <v>543</v>
      </c>
      <c r="AV4" s="21">
        <v>1</v>
      </c>
      <c r="AW4" s="21" t="s">
        <v>1847</v>
      </c>
      <c r="AX4" s="30">
        <v>43032</v>
      </c>
      <c r="AY4" s="21" t="s">
        <v>1894</v>
      </c>
      <c r="AZ4" s="21" t="s">
        <v>1849</v>
      </c>
      <c r="BA4" s="21">
        <v>14</v>
      </c>
      <c r="BB4" s="21">
        <v>1</v>
      </c>
      <c r="BG4" s="30"/>
      <c r="BP4" s="30"/>
      <c r="BU4" t="s">
        <v>868</v>
      </c>
      <c r="BV4" s="21" t="s">
        <v>869</v>
      </c>
      <c r="BW4" s="21" t="s">
        <v>1528</v>
      </c>
      <c r="BX4" s="21" t="s">
        <v>1529</v>
      </c>
      <c r="BY4" s="31">
        <v>507423</v>
      </c>
      <c r="BZ4" s="31">
        <v>507423</v>
      </c>
      <c r="CA4" t="s">
        <v>1432</v>
      </c>
      <c r="CF4" s="31"/>
      <c r="CG4" s="31"/>
      <c r="CM4" s="31"/>
      <c r="CN4" s="31"/>
      <c r="CT4" s="31"/>
      <c r="CU4" s="31"/>
      <c r="CV4" s="31"/>
      <c r="DA4" s="31"/>
      <c r="DB4" s="31"/>
      <c r="DC4" s="31"/>
      <c r="DH4" s="31"/>
      <c r="DI4" s="31"/>
      <c r="DO4" s="31"/>
      <c r="DP4" s="31"/>
      <c r="DR4" t="s">
        <v>1850</v>
      </c>
      <c r="DS4" t="s">
        <v>479</v>
      </c>
      <c r="DT4" t="s">
        <v>583</v>
      </c>
      <c r="DU4" s="29" t="s">
        <v>1856</v>
      </c>
      <c r="DV4" t="s">
        <v>172</v>
      </c>
      <c r="DW4" t="s">
        <v>327</v>
      </c>
      <c r="DX4" t="s">
        <v>170</v>
      </c>
      <c r="DY4" t="s">
        <v>167</v>
      </c>
      <c r="DZ4" t="s">
        <v>168</v>
      </c>
      <c r="EA4" s="22">
        <v>43083.486793981479</v>
      </c>
      <c r="EB4" t="s">
        <v>1532</v>
      </c>
      <c r="EC4" t="s">
        <v>1895</v>
      </c>
    </row>
    <row r="5" spans="1:133" x14ac:dyDescent="0.4">
      <c r="A5" s="30"/>
      <c r="B5" s="22">
        <v>42935.576388888891</v>
      </c>
      <c r="C5" s="22" t="s">
        <v>1430</v>
      </c>
      <c r="D5" s="30" t="s">
        <v>477</v>
      </c>
      <c r="E5" s="30" t="s">
        <v>582</v>
      </c>
      <c r="F5" s="30" t="s">
        <v>169</v>
      </c>
      <c r="G5" s="30" t="s">
        <v>171</v>
      </c>
      <c r="H5" t="s">
        <v>94</v>
      </c>
      <c r="I5" t="s">
        <v>1431</v>
      </c>
      <c r="J5" t="s">
        <v>611</v>
      </c>
      <c r="L5">
        <v>1</v>
      </c>
      <c r="M5" s="26">
        <v>1.01</v>
      </c>
      <c r="N5" t="s">
        <v>544</v>
      </c>
      <c r="Q5" s="29" t="s">
        <v>13</v>
      </c>
      <c r="R5" s="29" t="str">
        <f>IFERROR(MID(RADataTable[[#This Row],[RAtemplate]],1,LEN(RADataTable[[#This Row],[RAtemplate]])-8),"RA") &amp; " " &amp; RADataTable[[#This Row],[prop_id0]] &amp; " " &amp; RADataTable[[#This Row],[last0]]</f>
        <v>RA 1750555 Hardt</v>
      </c>
      <c r="U5" s="21" t="str">
        <f>IF(signer1="PD",IF(ISBLANK(RADataTable[[#This Row],[sign_blck_name]]),"",RADataTable[[#This Row],[sign_blck_name]]),IF(ISBLANK(signer1),"",signer1))</f>
        <v>Tracy J. Kimbrel</v>
      </c>
      <c r="V5" s="29" t="str">
        <f t="shared" si="0"/>
        <v>Cognizant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 xml:space="preserve"> hardt@eecs.berkeley.edu</v>
      </c>
      <c r="Y5" s="15" t="str">
        <f>HYPERLINK("mailto:"&amp;RADataTable[[#This Row],[allPIemail]]&amp;"&amp;subject=NSF Proposal:  "&amp;RADataTable[[#This Row],[Div]]&amp;" "&amp;RADataTable[[#This Row],[prop_id0]], "PIs@")</f>
        <v>PIs@</v>
      </c>
      <c r="Z5" t="s">
        <v>478</v>
      </c>
      <c r="AA5" t="s">
        <v>936</v>
      </c>
      <c r="AB5">
        <v>4</v>
      </c>
      <c r="AC5">
        <v>4</v>
      </c>
      <c r="AD5"/>
      <c r="AE5" s="21" t="str">
        <f>IF(RADataTable[[#This Row],[maxScore]]-RADataTable[[#This Row],[minScore]]&gt;4,"Y","")</f>
        <v/>
      </c>
      <c r="AF5" s="21">
        <v>8</v>
      </c>
      <c r="AG5" s="26">
        <v>8.75</v>
      </c>
      <c r="AH5">
        <v>9</v>
      </c>
      <c r="AI5" t="s">
        <v>1555</v>
      </c>
      <c r="AJ5" s="30">
        <v>43059.785416666666</v>
      </c>
      <c r="AK5" s="13">
        <v>499434</v>
      </c>
      <c r="AL5" s="13">
        <v>499434</v>
      </c>
      <c r="AM5">
        <v>0</v>
      </c>
      <c r="AN5" s="30">
        <v>43132</v>
      </c>
      <c r="AO5" s="21">
        <v>60</v>
      </c>
      <c r="AP5" s="21" t="s">
        <v>1556</v>
      </c>
      <c r="AS5" s="30"/>
      <c r="AT5" t="s">
        <v>714</v>
      </c>
      <c r="AU5" s="21" t="s">
        <v>543</v>
      </c>
      <c r="AV5" s="21">
        <v>1</v>
      </c>
      <c r="AW5" s="21" t="s">
        <v>1866</v>
      </c>
      <c r="AX5" s="30">
        <v>43060</v>
      </c>
      <c r="AY5" s="21" t="s">
        <v>1906</v>
      </c>
      <c r="AZ5" s="21" t="s">
        <v>1868</v>
      </c>
      <c r="BA5" s="21">
        <v>12</v>
      </c>
      <c r="BG5" s="30"/>
      <c r="BP5" s="30"/>
      <c r="BU5" t="s">
        <v>936</v>
      </c>
      <c r="BV5" s="21" t="s">
        <v>937</v>
      </c>
      <c r="BW5" s="21" t="s">
        <v>1554</v>
      </c>
      <c r="BX5" s="21" t="s">
        <v>501</v>
      </c>
      <c r="BY5" s="31">
        <v>499434</v>
      </c>
      <c r="BZ5" s="31">
        <v>499434</v>
      </c>
      <c r="CA5" t="s">
        <v>1432</v>
      </c>
      <c r="CF5" s="31"/>
      <c r="CG5" s="31"/>
      <c r="CM5" s="31"/>
      <c r="CN5" s="31"/>
      <c r="CT5" s="31"/>
      <c r="CU5" s="31"/>
      <c r="CV5" s="31"/>
      <c r="DA5" s="31"/>
      <c r="DB5" s="31"/>
      <c r="DC5" s="31"/>
      <c r="DH5" s="31"/>
      <c r="DI5" s="31"/>
      <c r="DO5" s="31"/>
      <c r="DP5" s="31"/>
      <c r="DR5" t="s">
        <v>1850</v>
      </c>
      <c r="DS5" t="s">
        <v>479</v>
      </c>
      <c r="DT5" t="s">
        <v>583</v>
      </c>
      <c r="DU5" s="29" t="s">
        <v>1869</v>
      </c>
      <c r="DV5" t="s">
        <v>172</v>
      </c>
      <c r="DW5" t="s">
        <v>327</v>
      </c>
      <c r="DX5" t="s">
        <v>170</v>
      </c>
      <c r="DY5" t="s">
        <v>167</v>
      </c>
      <c r="DZ5" t="s">
        <v>168</v>
      </c>
      <c r="EA5" s="22">
        <v>43083.486793981479</v>
      </c>
      <c r="EB5" t="s">
        <v>1557</v>
      </c>
      <c r="EC5" t="s">
        <v>1907</v>
      </c>
    </row>
    <row r="6" spans="1:133" x14ac:dyDescent="0.4">
      <c r="A6" s="30"/>
      <c r="B6" s="22">
        <v>42935.638888888891</v>
      </c>
      <c r="C6" s="22" t="s">
        <v>1430</v>
      </c>
      <c r="D6" s="30" t="s">
        <v>477</v>
      </c>
      <c r="E6" s="30" t="s">
        <v>582</v>
      </c>
      <c r="F6" s="30" t="s">
        <v>169</v>
      </c>
      <c r="G6" s="30" t="s">
        <v>171</v>
      </c>
      <c r="H6" t="s">
        <v>94</v>
      </c>
      <c r="I6" t="s">
        <v>1431</v>
      </c>
      <c r="J6" t="s">
        <v>654</v>
      </c>
      <c r="L6">
        <v>2</v>
      </c>
      <c r="M6" s="26">
        <v>1.01</v>
      </c>
      <c r="N6" t="s">
        <v>544</v>
      </c>
      <c r="O6" t="s">
        <v>542</v>
      </c>
      <c r="Q6" s="29" t="s">
        <v>13</v>
      </c>
      <c r="R6" s="29" t="str">
        <f>IFERROR(MID(RADataTable[[#This Row],[RAtemplate]],1,LEN(RADataTable[[#This Row],[RAtemplate]])-8),"RA") &amp; " " &amp; RADataTable[[#This Row],[prop_id0]] &amp; " " &amp; RADataTable[[#This Row],[last0]]</f>
        <v>RA 1750808 Haeupler</v>
      </c>
      <c r="U6" s="21" t="str">
        <f>IF(signer1="PD",IF(ISBLANK(RADataTable[[#This Row],[sign_blck_name]]),"",RADataTable[[#This Row],[sign_blck_name]]),IF(ISBLANK(signer1),"",signer1))</f>
        <v>Rahul Shah</v>
      </c>
      <c r="V6" s="29" t="str">
        <f t="shared" si="0"/>
        <v>Cognizant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haeupler@cs.cmu.edu</v>
      </c>
      <c r="Y6" s="15" t="str">
        <f>HYPERLINK("mailto:"&amp;RADataTable[[#This Row],[allPIemail]]&amp;"&amp;subject=NSF Proposal:  "&amp;RADataTable[[#This Row],[Div]]&amp;" "&amp;RADataTable[[#This Row],[prop_id0]], "PIs@")</f>
        <v>PIs@</v>
      </c>
      <c r="Z6" t="s">
        <v>478</v>
      </c>
      <c r="AA6" t="s">
        <v>979</v>
      </c>
      <c r="AB6">
        <v>8</v>
      </c>
      <c r="AC6">
        <v>4</v>
      </c>
      <c r="AD6"/>
      <c r="AE6" s="21" t="str">
        <f>IF(RADataTable[[#This Row],[maxScore]]-RADataTable[[#This Row],[minScore]]&gt;4,"Y","")</f>
        <v/>
      </c>
      <c r="AF6" s="21">
        <v>5</v>
      </c>
      <c r="AG6" s="26">
        <v>7.75</v>
      </c>
      <c r="AH6">
        <v>9</v>
      </c>
      <c r="AI6" t="s">
        <v>1574</v>
      </c>
      <c r="AJ6" s="30">
        <v>43059.921527777777</v>
      </c>
      <c r="AK6" s="13">
        <v>613868</v>
      </c>
      <c r="AL6" s="13">
        <v>613868</v>
      </c>
      <c r="AM6">
        <v>0</v>
      </c>
      <c r="AN6" s="30">
        <v>43101</v>
      </c>
      <c r="AO6" s="21">
        <v>60</v>
      </c>
      <c r="AP6" s="21" t="s">
        <v>1575</v>
      </c>
      <c r="AS6" s="30"/>
      <c r="AT6" t="s">
        <v>899</v>
      </c>
      <c r="AU6" s="21" t="s">
        <v>543</v>
      </c>
      <c r="AV6" s="21">
        <v>1</v>
      </c>
      <c r="AW6" s="21" t="s">
        <v>1900</v>
      </c>
      <c r="AX6" s="30">
        <v>43046</v>
      </c>
      <c r="AY6" s="21" t="s">
        <v>1914</v>
      </c>
      <c r="AZ6" s="21" t="s">
        <v>1902</v>
      </c>
      <c r="BA6" s="21">
        <v>9</v>
      </c>
      <c r="BC6" s="21" t="s">
        <v>714</v>
      </c>
      <c r="BD6" s="21" t="s">
        <v>541</v>
      </c>
      <c r="BE6" s="21">
        <v>11</v>
      </c>
      <c r="BF6" s="21" t="s">
        <v>1866</v>
      </c>
      <c r="BG6" s="30">
        <v>43060</v>
      </c>
      <c r="BH6" s="21" t="s">
        <v>1915</v>
      </c>
      <c r="BI6" s="21" t="s">
        <v>1868</v>
      </c>
      <c r="BJ6" s="21">
        <v>12</v>
      </c>
      <c r="BK6" s="21">
        <v>1</v>
      </c>
      <c r="BP6" s="30"/>
      <c r="BU6" t="s">
        <v>979</v>
      </c>
      <c r="BV6" s="21" t="s">
        <v>980</v>
      </c>
      <c r="BW6" s="21" t="s">
        <v>1573</v>
      </c>
      <c r="BX6" s="21" t="s">
        <v>497</v>
      </c>
      <c r="BY6" s="31">
        <v>613868</v>
      </c>
      <c r="BZ6" s="31">
        <v>613868</v>
      </c>
      <c r="CA6" t="s">
        <v>1444</v>
      </c>
      <c r="CF6" s="31"/>
      <c r="CG6" s="31"/>
      <c r="CM6" s="31"/>
      <c r="CN6" s="31"/>
      <c r="CT6" s="31"/>
      <c r="CU6" s="31"/>
      <c r="CV6" s="31"/>
      <c r="DA6" s="31"/>
      <c r="DB6" s="31"/>
      <c r="DC6" s="31"/>
      <c r="DH6" s="31"/>
      <c r="DI6" s="31"/>
      <c r="DO6" s="31"/>
      <c r="DP6" s="31"/>
      <c r="DR6" t="s">
        <v>1850</v>
      </c>
      <c r="DS6" t="s">
        <v>479</v>
      </c>
      <c r="DT6" t="s">
        <v>583</v>
      </c>
      <c r="DU6" s="29" t="s">
        <v>1856</v>
      </c>
      <c r="DV6" t="s">
        <v>172</v>
      </c>
      <c r="DW6" t="s">
        <v>327</v>
      </c>
      <c r="DX6" t="s">
        <v>170</v>
      </c>
      <c r="DY6" t="s">
        <v>167</v>
      </c>
      <c r="DZ6" t="s">
        <v>168</v>
      </c>
      <c r="EA6" s="22">
        <v>43083.486793981479</v>
      </c>
      <c r="EB6" t="s">
        <v>1576</v>
      </c>
      <c r="EC6" t="s">
        <v>1916</v>
      </c>
    </row>
    <row r="7" spans="1:133" x14ac:dyDescent="0.4">
      <c r="A7" s="30"/>
      <c r="B7" s="22">
        <v>42950.663888888892</v>
      </c>
      <c r="C7" s="22" t="s">
        <v>1621</v>
      </c>
      <c r="D7" s="30" t="s">
        <v>1622</v>
      </c>
      <c r="E7" s="30" t="s">
        <v>580</v>
      </c>
      <c r="F7" s="30" t="s">
        <v>169</v>
      </c>
      <c r="G7" s="30" t="s">
        <v>171</v>
      </c>
      <c r="H7" t="s">
        <v>94</v>
      </c>
      <c r="I7" t="s">
        <v>1623</v>
      </c>
      <c r="J7" t="s">
        <v>1093</v>
      </c>
      <c r="L7">
        <v>2</v>
      </c>
      <c r="M7" s="26">
        <v>1.01</v>
      </c>
      <c r="N7" t="s">
        <v>309</v>
      </c>
      <c r="O7" t="s">
        <v>544</v>
      </c>
      <c r="Q7" s="29" t="s">
        <v>13</v>
      </c>
      <c r="R7" s="29" t="str">
        <f>IFERROR(MID(RADataTable[[#This Row],[RAtemplate]],1,LEN(RADataTable[[#This Row],[RAtemplate]])-8),"RA") &amp; " " &amp; RADataTable[[#This Row],[prop_id0]] &amp; " " &amp; RADataTable[[#This Row],[last0]]</f>
        <v>RA 1755038 Majumdar</v>
      </c>
      <c r="U7" s="21" t="str">
        <f>IF(signer1="PD",IF(ISBLANK(RADataTable[[#This Row],[sign_blck_name]]),"",RADataTable[[#This Row],[sign_blck_name]]),IF(ISBLANK(signer1),"",signer1))</f>
        <v>Reid Simmons</v>
      </c>
      <c r="V7" s="29" t="str">
        <f t="shared" si="0"/>
        <v>Cognizant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ani.majumdar@princeton.edu</v>
      </c>
      <c r="Y7" s="15" t="str">
        <f>HYPERLINK("mailto:"&amp;RADataTable[[#This Row],[allPIemail]]&amp;"&amp;subject=NSF Proposal:  "&amp;RADataTable[[#This Row],[Div]]&amp;" "&amp;RADataTable[[#This Row],[prop_id0]], "PIs@")</f>
        <v>PIs@</v>
      </c>
      <c r="Z7" t="s">
        <v>1625</v>
      </c>
      <c r="AA7" t="s">
        <v>1091</v>
      </c>
      <c r="AB7">
        <v>7</v>
      </c>
      <c r="AC7">
        <v>7</v>
      </c>
      <c r="AD7"/>
      <c r="AE7" s="21" t="str">
        <f>IF(RADataTable[[#This Row],[maxScore]]-RADataTable[[#This Row],[minScore]]&gt;4,"Y","")</f>
        <v>Y</v>
      </c>
      <c r="AF7" s="21">
        <v>3</v>
      </c>
      <c r="AG7" s="26">
        <v>5.8571428571428568</v>
      </c>
      <c r="AH7">
        <v>8</v>
      </c>
      <c r="AI7" t="s">
        <v>1627</v>
      </c>
      <c r="AJ7" s="30">
        <v>43073.747916666667</v>
      </c>
      <c r="AK7" s="13">
        <v>175000</v>
      </c>
      <c r="AL7" s="13">
        <v>175000</v>
      </c>
      <c r="AM7">
        <v>0</v>
      </c>
      <c r="AN7" s="30">
        <v>42979</v>
      </c>
      <c r="AO7" s="21">
        <v>24</v>
      </c>
      <c r="AP7" s="21" t="s">
        <v>1628</v>
      </c>
      <c r="AS7" s="30"/>
      <c r="AT7" t="s">
        <v>714</v>
      </c>
      <c r="AU7" s="21" t="s">
        <v>546</v>
      </c>
      <c r="AV7" s="21">
        <v>9</v>
      </c>
      <c r="AW7" s="21" t="s">
        <v>1866</v>
      </c>
      <c r="AX7" s="30">
        <v>43060</v>
      </c>
      <c r="AY7" s="21" t="s">
        <v>570</v>
      </c>
      <c r="AZ7" s="21" t="s">
        <v>1868</v>
      </c>
      <c r="BA7" s="21">
        <v>12</v>
      </c>
      <c r="BC7" s="21" t="s">
        <v>1095</v>
      </c>
      <c r="BD7" s="21" t="s">
        <v>543</v>
      </c>
      <c r="BE7" s="21">
        <v>1</v>
      </c>
      <c r="BF7" s="21" t="s">
        <v>1933</v>
      </c>
      <c r="BG7" s="30">
        <v>43074</v>
      </c>
      <c r="BH7" s="21" t="s">
        <v>1934</v>
      </c>
      <c r="BI7" s="21" t="s">
        <v>1935</v>
      </c>
      <c r="BJ7" s="21">
        <v>8</v>
      </c>
      <c r="BP7" s="30"/>
      <c r="BU7" t="s">
        <v>1091</v>
      </c>
      <c r="BV7" s="21" t="s">
        <v>1092</v>
      </c>
      <c r="BW7" s="21" t="s">
        <v>1626</v>
      </c>
      <c r="BX7" s="21" t="s">
        <v>552</v>
      </c>
      <c r="BY7" s="31">
        <v>175000</v>
      </c>
      <c r="BZ7" s="31">
        <v>175000</v>
      </c>
      <c r="CA7" t="s">
        <v>1624</v>
      </c>
      <c r="CF7" s="31"/>
      <c r="CG7" s="31"/>
      <c r="CM7" s="31"/>
      <c r="CN7" s="31"/>
      <c r="CT7" s="31"/>
      <c r="CU7" s="31"/>
      <c r="CV7" s="31"/>
      <c r="DA7" s="31"/>
      <c r="DB7" s="31"/>
      <c r="DC7" s="31"/>
      <c r="DH7" s="31"/>
      <c r="DI7" s="31"/>
      <c r="DO7" s="31"/>
      <c r="DP7" s="31"/>
      <c r="DR7" t="s">
        <v>1936</v>
      </c>
      <c r="DS7" t="s">
        <v>1937</v>
      </c>
      <c r="DT7" t="s">
        <v>581</v>
      </c>
      <c r="DU7" s="29" t="s">
        <v>1938</v>
      </c>
      <c r="DV7" t="s">
        <v>172</v>
      </c>
      <c r="DW7" t="s">
        <v>327</v>
      </c>
      <c r="DX7" t="s">
        <v>170</v>
      </c>
      <c r="DY7" t="s">
        <v>167</v>
      </c>
      <c r="DZ7" t="s">
        <v>168</v>
      </c>
      <c r="EA7" s="22">
        <v>43083.486793981479</v>
      </c>
      <c r="EB7" t="s">
        <v>1629</v>
      </c>
      <c r="EC7" t="s">
        <v>1939</v>
      </c>
    </row>
    <row r="8" spans="1:133" x14ac:dyDescent="0.4">
      <c r="A8" s="30"/>
      <c r="B8" s="22">
        <v>42956.581944444442</v>
      </c>
      <c r="C8" s="22" t="s">
        <v>1621</v>
      </c>
      <c r="D8" s="30" t="s">
        <v>477</v>
      </c>
      <c r="E8" s="30" t="s">
        <v>578</v>
      </c>
      <c r="F8" s="30" t="s">
        <v>169</v>
      </c>
      <c r="G8" s="30" t="s">
        <v>171</v>
      </c>
      <c r="H8" t="s">
        <v>94</v>
      </c>
      <c r="I8" t="s">
        <v>1630</v>
      </c>
      <c r="J8" t="s">
        <v>654</v>
      </c>
      <c r="L8">
        <v>1</v>
      </c>
      <c r="M8" s="26">
        <v>1.01</v>
      </c>
      <c r="N8" t="s">
        <v>544</v>
      </c>
      <c r="Q8" s="29" t="s">
        <v>13</v>
      </c>
      <c r="R8" s="29" t="str">
        <f>IFERROR(MID(RADataTable[[#This Row],[RAtemplate]],1,LEN(RADataTable[[#This Row],[RAtemplate]])-8),"RA") &amp; " " &amp; RADataTable[[#This Row],[prop_id0]] &amp; " " &amp; RADataTable[[#This Row],[last0]]</f>
        <v>RA 1755791 Goswami</v>
      </c>
      <c r="U8" s="21" t="str">
        <f>IF(signer1="PD",IF(ISBLANK(RADataTable[[#This Row],[sign_blck_name]]),"",RADataTable[[#This Row],[sign_blck_name]]),IF(ISBLANK(signer1),"",signer1))</f>
        <v>Rahul Shah</v>
      </c>
      <c r="V8" s="29" t="str">
        <f t="shared" si="0"/>
        <v>Cognizant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Mayank.Goswami@qc.cuny.edu</v>
      </c>
      <c r="Y8" s="15" t="str">
        <f>HYPERLINK("mailto:"&amp;RADataTable[[#This Row],[allPIemail]]&amp;"&amp;subject=NSF Proposal:  "&amp;RADataTable[[#This Row],[Div]]&amp;" "&amp;RADataTable[[#This Row],[prop_id0]], "PIs@")</f>
        <v>PIs@</v>
      </c>
      <c r="Z8" t="s">
        <v>478</v>
      </c>
      <c r="AA8" t="s">
        <v>1155</v>
      </c>
      <c r="AB8">
        <v>3</v>
      </c>
      <c r="AC8">
        <v>3</v>
      </c>
      <c r="AD8"/>
      <c r="AE8" s="21" t="str">
        <f>IF(RADataTable[[#This Row],[maxScore]]-RADataTable[[#This Row],[minScore]]&gt;4,"Y","")</f>
        <v/>
      </c>
      <c r="AF8" s="21">
        <v>7</v>
      </c>
      <c r="AG8" s="26">
        <v>7</v>
      </c>
      <c r="AH8">
        <v>7</v>
      </c>
      <c r="AI8" t="s">
        <v>1657</v>
      </c>
      <c r="AJ8" s="30">
        <v>43031.369444444441</v>
      </c>
      <c r="AK8" s="13">
        <v>175000</v>
      </c>
      <c r="AL8" s="13">
        <v>175000</v>
      </c>
      <c r="AM8">
        <v>0</v>
      </c>
      <c r="AN8" s="30">
        <v>43344</v>
      </c>
      <c r="AO8" s="21">
        <v>24</v>
      </c>
      <c r="AP8" s="21" t="s">
        <v>1658</v>
      </c>
      <c r="AS8" s="30"/>
      <c r="AT8" t="s">
        <v>605</v>
      </c>
      <c r="AU8" s="21" t="s">
        <v>543</v>
      </c>
      <c r="AV8" s="21">
        <v>1</v>
      </c>
      <c r="AW8" s="21" t="s">
        <v>1847</v>
      </c>
      <c r="AX8" s="30">
        <v>43032</v>
      </c>
      <c r="AY8" s="21" t="s">
        <v>1949</v>
      </c>
      <c r="AZ8" s="21" t="s">
        <v>1849</v>
      </c>
      <c r="BA8" s="21">
        <v>14</v>
      </c>
      <c r="BB8" s="21">
        <v>1</v>
      </c>
      <c r="BG8" s="30"/>
      <c r="BP8" s="30"/>
      <c r="BU8" t="s">
        <v>1155</v>
      </c>
      <c r="BV8" s="21" t="s">
        <v>1156</v>
      </c>
      <c r="BW8" s="21" t="s">
        <v>1655</v>
      </c>
      <c r="BX8" s="21" t="s">
        <v>1656</v>
      </c>
      <c r="BY8" s="31">
        <v>175000</v>
      </c>
      <c r="BZ8" s="31">
        <v>175000</v>
      </c>
      <c r="CA8" t="s">
        <v>1631</v>
      </c>
      <c r="CF8" s="31"/>
      <c r="CG8" s="31"/>
      <c r="CM8" s="31"/>
      <c r="CN8" s="31"/>
      <c r="CT8" s="31"/>
      <c r="CU8" s="31"/>
      <c r="CV8" s="31"/>
      <c r="DA8" s="31"/>
      <c r="DB8" s="31"/>
      <c r="DC8" s="31"/>
      <c r="DH8" s="31"/>
      <c r="DI8" s="31"/>
      <c r="DO8" s="31"/>
      <c r="DP8" s="31"/>
      <c r="DR8" t="s">
        <v>1936</v>
      </c>
      <c r="DS8" t="s">
        <v>479</v>
      </c>
      <c r="DT8" t="s">
        <v>579</v>
      </c>
      <c r="DU8" s="29" t="s">
        <v>1856</v>
      </c>
      <c r="DV8" t="s">
        <v>172</v>
      </c>
      <c r="DW8" t="s">
        <v>327</v>
      </c>
      <c r="DX8" t="s">
        <v>170</v>
      </c>
      <c r="DY8" t="s">
        <v>167</v>
      </c>
      <c r="DZ8" t="s">
        <v>168</v>
      </c>
      <c r="EA8" s="22">
        <v>43083.486793981479</v>
      </c>
      <c r="EB8" t="s">
        <v>1659</v>
      </c>
      <c r="EC8" t="s">
        <v>1950</v>
      </c>
    </row>
    <row r="9" spans="1:133" x14ac:dyDescent="0.4">
      <c r="A9" s="30"/>
      <c r="B9" s="22">
        <v>42956.678472222222</v>
      </c>
      <c r="C9" s="22" t="s">
        <v>1621</v>
      </c>
      <c r="D9" s="30" t="s">
        <v>477</v>
      </c>
      <c r="E9" s="30" t="s">
        <v>578</v>
      </c>
      <c r="F9" s="30" t="s">
        <v>169</v>
      </c>
      <c r="G9" s="30" t="s">
        <v>171</v>
      </c>
      <c r="H9" t="s">
        <v>94</v>
      </c>
      <c r="I9" t="s">
        <v>1630</v>
      </c>
      <c r="J9" t="s">
        <v>611</v>
      </c>
      <c r="L9">
        <v>1</v>
      </c>
      <c r="M9" s="26">
        <v>1.01</v>
      </c>
      <c r="N9" t="s">
        <v>544</v>
      </c>
      <c r="Q9" s="29" t="s">
        <v>13</v>
      </c>
      <c r="R9" s="29" t="str">
        <f>IFERROR(MID(RADataTable[[#This Row],[RAtemplate]],1,LEN(RADataTable[[#This Row],[RAtemplate]])-8),"RA") &amp; " " &amp; RADataTable[[#This Row],[prop_id0]] &amp; " " &amp; RADataTable[[#This Row],[last0]]</f>
        <v>RA 1755921 Forbes</v>
      </c>
      <c r="U9" s="21" t="str">
        <f>IF(signer1="PD",IF(ISBLANK(RADataTable[[#This Row],[sign_blck_name]]),"",RADataTable[[#This Row],[sign_blck_name]]),IF(ISBLANK(signer1),"",signer1))</f>
        <v>Tracy J. Kimbrel</v>
      </c>
      <c r="V9" s="29" t="str">
        <f t="shared" si="0"/>
        <v>Cognizant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miforbes@illinois.edu</v>
      </c>
      <c r="Y9" s="15" t="str">
        <f>HYPERLINK("mailto:"&amp;RADataTable[[#This Row],[allPIemail]]&amp;"&amp;subject=NSF Proposal:  "&amp;RADataTable[[#This Row],[Div]]&amp;" "&amp;RADataTable[[#This Row],[prop_id0]], "PIs@")</f>
        <v>PIs@</v>
      </c>
      <c r="Z9" t="s">
        <v>478</v>
      </c>
      <c r="AA9" t="s">
        <v>1217</v>
      </c>
      <c r="AB9">
        <v>3</v>
      </c>
      <c r="AC9">
        <v>3</v>
      </c>
      <c r="AD9"/>
      <c r="AE9" s="21" t="str">
        <f>IF(RADataTable[[#This Row],[maxScore]]-RADataTable[[#This Row],[minScore]]&gt;4,"Y","")</f>
        <v/>
      </c>
      <c r="AF9" s="21">
        <v>8</v>
      </c>
      <c r="AG9" s="26">
        <v>8.6666666666666661</v>
      </c>
      <c r="AH9">
        <v>9</v>
      </c>
      <c r="AI9" t="s">
        <v>1681</v>
      </c>
      <c r="AJ9" s="30">
        <v>43060.395833333336</v>
      </c>
      <c r="AK9" s="13">
        <v>175000</v>
      </c>
      <c r="AL9" s="13">
        <v>175000</v>
      </c>
      <c r="AM9">
        <v>0</v>
      </c>
      <c r="AN9" s="30">
        <v>43101</v>
      </c>
      <c r="AO9" s="21">
        <v>24</v>
      </c>
      <c r="AP9" s="21" t="s">
        <v>1682</v>
      </c>
      <c r="AS9" s="30"/>
      <c r="AT9" t="s">
        <v>714</v>
      </c>
      <c r="AU9" s="21" t="s">
        <v>543</v>
      </c>
      <c r="AV9" s="21">
        <v>1</v>
      </c>
      <c r="AW9" s="21" t="s">
        <v>1866</v>
      </c>
      <c r="AX9" s="30">
        <v>43060</v>
      </c>
      <c r="AY9" s="21" t="s">
        <v>1963</v>
      </c>
      <c r="AZ9" s="21" t="s">
        <v>1868</v>
      </c>
      <c r="BA9" s="21">
        <v>12</v>
      </c>
      <c r="BG9" s="30"/>
      <c r="BP9" s="30"/>
      <c r="BU9" t="s">
        <v>1217</v>
      </c>
      <c r="BV9" s="21" t="s">
        <v>1218</v>
      </c>
      <c r="BW9" s="21" t="s">
        <v>1524</v>
      </c>
      <c r="BX9" s="21" t="s">
        <v>1477</v>
      </c>
      <c r="BY9" s="31">
        <v>175000</v>
      </c>
      <c r="BZ9" s="31">
        <v>175000</v>
      </c>
      <c r="CA9" t="s">
        <v>1680</v>
      </c>
      <c r="CF9" s="31"/>
      <c r="CG9" s="31"/>
      <c r="CM9" s="31"/>
      <c r="CN9" s="31"/>
      <c r="CT9" s="31"/>
      <c r="CU9" s="31"/>
      <c r="CV9" s="31"/>
      <c r="DA9" s="31"/>
      <c r="DB9" s="31"/>
      <c r="DC9" s="31"/>
      <c r="DH9" s="31"/>
      <c r="DI9" s="31"/>
      <c r="DO9" s="31"/>
      <c r="DP9" s="31"/>
      <c r="DR9" t="s">
        <v>1936</v>
      </c>
      <c r="DS9" t="s">
        <v>479</v>
      </c>
      <c r="DT9" t="s">
        <v>579</v>
      </c>
      <c r="DU9" s="29" t="s">
        <v>1869</v>
      </c>
      <c r="DV9" t="s">
        <v>172</v>
      </c>
      <c r="DW9" t="s">
        <v>327</v>
      </c>
      <c r="DX9" t="s">
        <v>170</v>
      </c>
      <c r="DY9" t="s">
        <v>167</v>
      </c>
      <c r="DZ9" t="s">
        <v>168</v>
      </c>
      <c r="EA9" s="22">
        <v>43083.486793981479</v>
      </c>
      <c r="EB9" t="s">
        <v>1683</v>
      </c>
      <c r="EC9" t="s">
        <v>1964</v>
      </c>
    </row>
    <row r="10" spans="1:133" x14ac:dyDescent="0.4">
      <c r="A10" s="30"/>
      <c r="B10" s="22">
        <v>43005.686805555553</v>
      </c>
      <c r="C10" s="22" t="s">
        <v>524</v>
      </c>
      <c r="D10" s="30" t="s">
        <v>477</v>
      </c>
      <c r="E10" s="30" t="s">
        <v>582</v>
      </c>
      <c r="F10" s="30" t="s">
        <v>169</v>
      </c>
      <c r="G10" s="30" t="s">
        <v>171</v>
      </c>
      <c r="H10" t="s">
        <v>94</v>
      </c>
      <c r="I10" t="s">
        <v>525</v>
      </c>
      <c r="J10" t="s">
        <v>654</v>
      </c>
      <c r="L10">
        <v>1</v>
      </c>
      <c r="M10" s="26">
        <v>1.01</v>
      </c>
      <c r="N10" t="s">
        <v>544</v>
      </c>
      <c r="Q10" s="29" t="s">
        <v>13</v>
      </c>
      <c r="R10" s="29" t="str">
        <f>IFERROR(MID(RADataTable[[#This Row],[RAtemplate]],1,LEN(RADataTable[[#This Row],[RAtemplate]])-8),"RA") &amp; " " &amp; RADataTable[[#This Row],[prop_id0]] &amp; " " &amp; RADataTable[[#This Row],[last0]]</f>
        <v>RA 1763970 Papadimitriou</v>
      </c>
      <c r="U10" s="21" t="str">
        <f>IF(signer1="PD",IF(ISBLANK(RADataTable[[#This Row],[sign_blck_name]]),"",RADataTable[[#This Row],[sign_blck_name]]),IF(ISBLANK(signer1),"",signer1))</f>
        <v>Rahul Shah</v>
      </c>
      <c r="V10" s="29" t="str">
        <f t="shared" si="0"/>
        <v>Cognizant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christos@cs.berkeley.edu</v>
      </c>
      <c r="Y10" s="15" t="str">
        <f>HYPERLINK("mailto:"&amp;RADataTable[[#This Row],[allPIemail]]&amp;"&amp;subject=NSF Proposal:  "&amp;RADataTable[[#This Row],[Div]]&amp;" "&amp;RADataTable[[#This Row],[prop_id0]], "PIs@")</f>
        <v>PIs@</v>
      </c>
      <c r="Z10" t="s">
        <v>478</v>
      </c>
      <c r="AA10" t="s">
        <v>1395</v>
      </c>
      <c r="AB10">
        <v>4</v>
      </c>
      <c r="AC10">
        <v>4</v>
      </c>
      <c r="AD10"/>
      <c r="AE10" s="21" t="str">
        <f>IF(RADataTable[[#This Row],[maxScore]]-RADataTable[[#This Row],[minScore]]&gt;4,"Y","")</f>
        <v/>
      </c>
      <c r="AF10" s="21">
        <v>7</v>
      </c>
      <c r="AG10" s="26">
        <v>8.5</v>
      </c>
      <c r="AH10">
        <v>9</v>
      </c>
      <c r="AI10" t="s">
        <v>1819</v>
      </c>
      <c r="AJ10" s="30">
        <v>43080.079861111109</v>
      </c>
      <c r="AK10" s="13">
        <v>1200000</v>
      </c>
      <c r="AL10" s="13">
        <v>1200000</v>
      </c>
      <c r="AM10">
        <v>0</v>
      </c>
      <c r="AN10" s="30">
        <v>43221</v>
      </c>
      <c r="AO10" s="21">
        <v>48</v>
      </c>
      <c r="AP10" s="21" t="s">
        <v>1820</v>
      </c>
      <c r="AQ10">
        <v>1</v>
      </c>
      <c r="AR10" t="s">
        <v>1995</v>
      </c>
      <c r="AS10" s="30">
        <v>43074.972222222219</v>
      </c>
      <c r="AT10" t="s">
        <v>1262</v>
      </c>
      <c r="AU10" s="21" t="s">
        <v>543</v>
      </c>
      <c r="AV10" s="21">
        <v>1</v>
      </c>
      <c r="AW10" s="21" t="s">
        <v>1971</v>
      </c>
      <c r="AX10" s="30">
        <v>43081</v>
      </c>
      <c r="AY10" s="21" t="s">
        <v>1996</v>
      </c>
      <c r="AZ10" s="21" t="s">
        <v>1973</v>
      </c>
      <c r="BA10" s="21">
        <v>9</v>
      </c>
      <c r="BB10" s="21">
        <v>1</v>
      </c>
      <c r="BG10" s="30"/>
      <c r="BP10" s="30"/>
      <c r="BU10" t="s">
        <v>1395</v>
      </c>
      <c r="BV10" s="21" t="s">
        <v>1396</v>
      </c>
      <c r="BW10" s="21" t="s">
        <v>1818</v>
      </c>
      <c r="BX10" s="21" t="s">
        <v>1472</v>
      </c>
      <c r="BY10" s="31">
        <v>1200000</v>
      </c>
      <c r="BZ10" s="31">
        <v>1200000</v>
      </c>
      <c r="CA10" t="s">
        <v>1817</v>
      </c>
      <c r="CF10" s="31"/>
      <c r="CG10" s="31"/>
      <c r="CM10" s="31"/>
      <c r="CN10" s="31"/>
      <c r="CT10" s="31"/>
      <c r="CU10" s="31"/>
      <c r="CV10" s="31"/>
      <c r="DA10" s="31"/>
      <c r="DB10" s="31"/>
      <c r="DC10" s="31"/>
      <c r="DH10" s="31"/>
      <c r="DI10" s="31"/>
      <c r="DO10" s="31"/>
      <c r="DP10" s="31"/>
      <c r="DR10" t="s">
        <v>529</v>
      </c>
      <c r="DS10" t="s">
        <v>479</v>
      </c>
      <c r="DT10" t="s">
        <v>583</v>
      </c>
      <c r="DU10" s="29" t="s">
        <v>1856</v>
      </c>
      <c r="DV10" t="s">
        <v>172</v>
      </c>
      <c r="DW10" t="s">
        <v>327</v>
      </c>
      <c r="DX10" t="s">
        <v>170</v>
      </c>
      <c r="DY10" t="s">
        <v>167</v>
      </c>
      <c r="DZ10" t="s">
        <v>168</v>
      </c>
      <c r="EA10" s="22">
        <v>43083.486793981479</v>
      </c>
      <c r="EB10" t="s">
        <v>1821</v>
      </c>
      <c r="EC10" t="s">
        <v>1997</v>
      </c>
    </row>
    <row r="11" spans="1:133" x14ac:dyDescent="0.4">
      <c r="A11" s="30"/>
      <c r="B11" s="22">
        <v>42935.599305555559</v>
      </c>
      <c r="C11" s="22" t="s">
        <v>1430</v>
      </c>
      <c r="D11" s="30" t="s">
        <v>477</v>
      </c>
      <c r="E11" s="30" t="s">
        <v>582</v>
      </c>
      <c r="F11" s="30" t="s">
        <v>169</v>
      </c>
      <c r="G11" s="30" t="s">
        <v>171</v>
      </c>
      <c r="H11" t="s">
        <v>94</v>
      </c>
      <c r="I11" t="s">
        <v>1431</v>
      </c>
      <c r="J11" t="s">
        <v>611</v>
      </c>
      <c r="L11">
        <v>1</v>
      </c>
      <c r="M11" s="26">
        <v>1.02</v>
      </c>
      <c r="N11" t="s">
        <v>544</v>
      </c>
      <c r="Q11" s="29" t="s">
        <v>13</v>
      </c>
      <c r="R11" s="29" t="str">
        <f>IFERROR(MID(RADataTable[[#This Row],[RAtemplate]],1,LEN(RADataTable[[#This Row],[RAtemplate]])-8),"RA") &amp; " " &amp; RADataTable[[#This Row],[prop_id0]] &amp; " " &amp; RADataTable[[#This Row],[last0]]</f>
        <v>RA 1750640 Ullman</v>
      </c>
      <c r="U11" s="21" t="str">
        <f>IF(signer1="PD",IF(ISBLANK(RADataTable[[#This Row],[sign_blck_name]]),"",RADataTable[[#This Row],[sign_blck_name]]),IF(ISBLANK(signer1),"",signer1))</f>
        <v>Tracy J. Kimbrel</v>
      </c>
      <c r="V11" s="29" t="str">
        <f t="shared" si="0"/>
        <v>Cognizant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jullman@ccs.neu.edu</v>
      </c>
      <c r="Y11" s="15" t="str">
        <f>HYPERLINK("mailto:"&amp;RADataTable[[#This Row],[allPIemail]]&amp;"&amp;subject=NSF Proposal:  "&amp;RADataTable[[#This Row],[Div]]&amp;" "&amp;RADataTable[[#This Row],[prop_id0]], "PIs@")</f>
        <v>PIs@</v>
      </c>
      <c r="Z11" t="s">
        <v>478</v>
      </c>
      <c r="AA11" t="s">
        <v>944</v>
      </c>
      <c r="AB11">
        <v>4</v>
      </c>
      <c r="AC11">
        <v>4</v>
      </c>
      <c r="AD11"/>
      <c r="AE11" s="21" t="str">
        <f>IF(RADataTable[[#This Row],[maxScore]]-RADataTable[[#This Row],[minScore]]&gt;4,"Y","")</f>
        <v/>
      </c>
      <c r="AF11" s="21">
        <v>8</v>
      </c>
      <c r="AG11" s="26">
        <v>8.5</v>
      </c>
      <c r="AH11">
        <v>9</v>
      </c>
      <c r="AI11" t="s">
        <v>551</v>
      </c>
      <c r="AJ11" s="30">
        <v>43059.227083333331</v>
      </c>
      <c r="AK11" s="13">
        <v>545883</v>
      </c>
      <c r="AL11" s="13">
        <v>545883</v>
      </c>
      <c r="AM11">
        <v>0</v>
      </c>
      <c r="AN11" s="30">
        <v>43282</v>
      </c>
      <c r="AO11" s="21">
        <v>60</v>
      </c>
      <c r="AP11" s="21" t="s">
        <v>1559</v>
      </c>
      <c r="AS11" s="30"/>
      <c r="AT11" t="s">
        <v>714</v>
      </c>
      <c r="AU11" s="21" t="s">
        <v>543</v>
      </c>
      <c r="AV11" s="21">
        <v>2</v>
      </c>
      <c r="AW11" s="21" t="s">
        <v>1866</v>
      </c>
      <c r="AX11" s="30">
        <v>43060</v>
      </c>
      <c r="AY11" s="21" t="s">
        <v>568</v>
      </c>
      <c r="AZ11" s="21" t="s">
        <v>1868</v>
      </c>
      <c r="BA11" s="21">
        <v>12</v>
      </c>
      <c r="BG11" s="30"/>
      <c r="BP11" s="30"/>
      <c r="BU11" t="s">
        <v>944</v>
      </c>
      <c r="BV11" s="21" t="s">
        <v>945</v>
      </c>
      <c r="BW11" s="21" t="s">
        <v>1558</v>
      </c>
      <c r="BX11" s="21" t="s">
        <v>502</v>
      </c>
      <c r="BY11" s="31">
        <v>545883</v>
      </c>
      <c r="BZ11" s="31">
        <v>545883</v>
      </c>
      <c r="CA11" t="s">
        <v>1432</v>
      </c>
      <c r="CF11" s="31"/>
      <c r="CG11" s="31"/>
      <c r="CM11" s="31"/>
      <c r="CN11" s="31"/>
      <c r="CT11" s="31"/>
      <c r="CU11" s="31"/>
      <c r="CV11" s="31"/>
      <c r="DA11" s="31"/>
      <c r="DB11" s="31"/>
      <c r="DC11" s="31"/>
      <c r="DH11" s="31"/>
      <c r="DI11" s="31"/>
      <c r="DO11" s="31"/>
      <c r="DP11" s="31"/>
      <c r="DR11" t="s">
        <v>1850</v>
      </c>
      <c r="DS11" t="s">
        <v>479</v>
      </c>
      <c r="DT11" t="s">
        <v>583</v>
      </c>
      <c r="DU11" s="29" t="s">
        <v>1869</v>
      </c>
      <c r="DV11" t="s">
        <v>172</v>
      </c>
      <c r="DW11" t="s">
        <v>327</v>
      </c>
      <c r="DX11" t="s">
        <v>170</v>
      </c>
      <c r="DY11" t="s">
        <v>167</v>
      </c>
      <c r="DZ11" t="s">
        <v>168</v>
      </c>
      <c r="EA11" s="22">
        <v>43083.486793981479</v>
      </c>
      <c r="EB11" t="s">
        <v>1560</v>
      </c>
      <c r="EC11" t="s">
        <v>1908</v>
      </c>
    </row>
    <row r="12" spans="1:133" x14ac:dyDescent="0.4">
      <c r="A12" s="30"/>
      <c r="B12" s="22">
        <v>42935.620138888888</v>
      </c>
      <c r="C12" s="22" t="s">
        <v>1430</v>
      </c>
      <c r="D12" s="30" t="s">
        <v>477</v>
      </c>
      <c r="E12" s="30" t="s">
        <v>582</v>
      </c>
      <c r="F12" s="30" t="s">
        <v>169</v>
      </c>
      <c r="G12" s="30" t="s">
        <v>171</v>
      </c>
      <c r="H12" t="s">
        <v>94</v>
      </c>
      <c r="I12" t="s">
        <v>1431</v>
      </c>
      <c r="J12" t="s">
        <v>654</v>
      </c>
      <c r="L12">
        <v>1</v>
      </c>
      <c r="M12" s="26">
        <v>1.02</v>
      </c>
      <c r="N12" t="s">
        <v>544</v>
      </c>
      <c r="Q12" s="29" t="s">
        <v>13</v>
      </c>
      <c r="R12" s="29" t="str">
        <f>IFERROR(MID(RADataTable[[#This Row],[RAtemplate]],1,LEN(RADataTable[[#This Row],[RAtemplate]])-8),"RA") &amp; " " &amp; RADataTable[[#This Row],[prop_id0]] &amp; " " &amp; RADataTable[[#This Row],[last0]]</f>
        <v>RA 1750716 Nguyen</v>
      </c>
      <c r="U12" s="21" t="str">
        <f>IF(signer1="PD",IF(ISBLANK(RADataTable[[#This Row],[sign_blck_name]]),"",RADataTable[[#This Row],[sign_blck_name]]),IF(ISBLANK(signer1),"",signer1))</f>
        <v>Rahul Shah</v>
      </c>
      <c r="V12" s="29" t="str">
        <f t="shared" si="0"/>
        <v>Cognizant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hu.nguyen@neu.edu</v>
      </c>
      <c r="Y12" s="15" t="str">
        <f>HYPERLINK("mailto:"&amp;RADataTable[[#This Row],[allPIemail]]&amp;"&amp;subject=NSF Proposal:  "&amp;RADataTable[[#This Row],[Div]]&amp;" "&amp;RADataTable[[#This Row],[prop_id0]], "PIs@")</f>
        <v>PIs@</v>
      </c>
      <c r="Z12" t="s">
        <v>478</v>
      </c>
      <c r="AA12" t="s">
        <v>961</v>
      </c>
      <c r="AB12">
        <v>4</v>
      </c>
      <c r="AC12">
        <v>4</v>
      </c>
      <c r="AD12"/>
      <c r="AE12" s="21" t="str">
        <f>IF(RADataTable[[#This Row],[maxScore]]-RADataTable[[#This Row],[minScore]]&gt;4,"Y","")</f>
        <v/>
      </c>
      <c r="AF12" s="21">
        <v>6</v>
      </c>
      <c r="AG12" s="26">
        <v>7.5</v>
      </c>
      <c r="AH12">
        <v>9</v>
      </c>
      <c r="AI12" t="s">
        <v>1567</v>
      </c>
      <c r="AJ12" s="30">
        <v>43059.929166666669</v>
      </c>
      <c r="AK12" s="13">
        <v>551453</v>
      </c>
      <c r="AL12" s="13">
        <v>551453</v>
      </c>
      <c r="AM12">
        <v>0</v>
      </c>
      <c r="AN12" s="30">
        <v>43252</v>
      </c>
      <c r="AO12" s="21">
        <v>60</v>
      </c>
      <c r="AP12" s="21" t="s">
        <v>1568</v>
      </c>
      <c r="AS12" s="30"/>
      <c r="AT12" t="s">
        <v>714</v>
      </c>
      <c r="AU12" s="21" t="s">
        <v>543</v>
      </c>
      <c r="AV12" s="21">
        <v>2</v>
      </c>
      <c r="AW12" s="21" t="s">
        <v>1866</v>
      </c>
      <c r="AX12" s="30">
        <v>43060</v>
      </c>
      <c r="AY12" s="21" t="s">
        <v>1911</v>
      </c>
      <c r="AZ12" s="21" t="s">
        <v>1868</v>
      </c>
      <c r="BA12" s="21">
        <v>12</v>
      </c>
      <c r="BG12" s="30"/>
      <c r="BP12" s="30"/>
      <c r="BU12" t="s">
        <v>961</v>
      </c>
      <c r="BV12" s="21" t="s">
        <v>489</v>
      </c>
      <c r="BW12" s="21" t="s">
        <v>1566</v>
      </c>
      <c r="BX12" s="21" t="s">
        <v>502</v>
      </c>
      <c r="BY12" s="31">
        <v>551453</v>
      </c>
      <c r="BZ12" s="31">
        <v>551453</v>
      </c>
      <c r="CA12" t="s">
        <v>1432</v>
      </c>
      <c r="CF12" s="31"/>
      <c r="CG12" s="31"/>
      <c r="CM12" s="31"/>
      <c r="CN12" s="31"/>
      <c r="CT12" s="31"/>
      <c r="CU12" s="31"/>
      <c r="CV12" s="31"/>
      <c r="DA12" s="31"/>
      <c r="DB12" s="31"/>
      <c r="DC12" s="31"/>
      <c r="DH12" s="31"/>
      <c r="DI12" s="31"/>
      <c r="DO12" s="31"/>
      <c r="DP12" s="31"/>
      <c r="DR12" t="s">
        <v>1850</v>
      </c>
      <c r="DS12" t="s">
        <v>479</v>
      </c>
      <c r="DT12" t="s">
        <v>583</v>
      </c>
      <c r="DU12" s="29" t="s">
        <v>1856</v>
      </c>
      <c r="DV12" t="s">
        <v>172</v>
      </c>
      <c r="DW12" t="s">
        <v>327</v>
      </c>
      <c r="DX12" t="s">
        <v>170</v>
      </c>
      <c r="DY12" t="s">
        <v>167</v>
      </c>
      <c r="DZ12" t="s">
        <v>168</v>
      </c>
      <c r="EA12" s="22">
        <v>43083.486793981479</v>
      </c>
      <c r="EB12" t="s">
        <v>1569</v>
      </c>
      <c r="EC12" t="s">
        <v>1912</v>
      </c>
    </row>
    <row r="13" spans="1:133" x14ac:dyDescent="0.4">
      <c r="A13" s="30"/>
      <c r="B13" s="22">
        <v>42955.700694444444</v>
      </c>
      <c r="C13" s="22" t="s">
        <v>1621</v>
      </c>
      <c r="D13" s="30" t="s">
        <v>477</v>
      </c>
      <c r="E13" s="30" t="s">
        <v>578</v>
      </c>
      <c r="F13" s="30" t="s">
        <v>169</v>
      </c>
      <c r="G13" s="30" t="s">
        <v>171</v>
      </c>
      <c r="H13" t="s">
        <v>94</v>
      </c>
      <c r="I13" t="s">
        <v>1630</v>
      </c>
      <c r="J13" t="s">
        <v>611</v>
      </c>
      <c r="L13">
        <v>1</v>
      </c>
      <c r="M13" s="26">
        <v>1.02</v>
      </c>
      <c r="N13" t="s">
        <v>544</v>
      </c>
      <c r="Q13" s="29" t="s">
        <v>13</v>
      </c>
      <c r="R13" s="29" t="str">
        <f>IFERROR(MID(RADataTable[[#This Row],[RAtemplate]],1,LEN(RADataTable[[#This Row],[RAtemplate]])-8),"RA") &amp; " " &amp; RADataTable[[#This Row],[prop_id0]] &amp; " " &amp; RADataTable[[#This Row],[last0]]</f>
        <v>RA 1755619 Garg</v>
      </c>
      <c r="U13" s="21" t="str">
        <f>IF(signer1="PD",IF(ISBLANK(RADataTable[[#This Row],[sign_blck_name]]),"",RADataTable[[#This Row],[sign_blck_name]]),IF(ISBLANK(signer1),"",signer1))</f>
        <v>Tracy J. Kimbrel</v>
      </c>
      <c r="V13" s="29" t="str">
        <f t="shared" si="0"/>
        <v>Cognizant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jugal@illinois.edu</v>
      </c>
      <c r="Y13" s="15" t="str">
        <f>HYPERLINK("mailto:"&amp;RADataTable[[#This Row],[allPIemail]]&amp;"&amp;subject=NSF Proposal:  "&amp;RADataTable[[#This Row],[Div]]&amp;" "&amp;RADataTable[[#This Row],[prop_id0]], "PIs@")</f>
        <v>PIs@</v>
      </c>
      <c r="Z13" t="s">
        <v>478</v>
      </c>
      <c r="AA13" t="s">
        <v>1141</v>
      </c>
      <c r="AB13">
        <v>3</v>
      </c>
      <c r="AC13">
        <v>3</v>
      </c>
      <c r="AD13"/>
      <c r="AE13" s="21" t="str">
        <f>IF(RADataTable[[#This Row],[maxScore]]-RADataTable[[#This Row],[minScore]]&gt;4,"Y","")</f>
        <v/>
      </c>
      <c r="AF13" s="21">
        <v>7</v>
      </c>
      <c r="AG13" s="26">
        <v>7.333333333333333</v>
      </c>
      <c r="AH13">
        <v>8</v>
      </c>
      <c r="AI13" t="s">
        <v>1648</v>
      </c>
      <c r="AJ13" s="30">
        <v>43059.534722222219</v>
      </c>
      <c r="AK13" s="13">
        <v>175000</v>
      </c>
      <c r="AL13" s="13">
        <v>175000</v>
      </c>
      <c r="AM13">
        <v>0</v>
      </c>
      <c r="AN13" s="30">
        <v>43146</v>
      </c>
      <c r="AO13" s="21">
        <v>24</v>
      </c>
      <c r="AP13" s="21" t="s">
        <v>1649</v>
      </c>
      <c r="AS13" s="30"/>
      <c r="AT13" t="s">
        <v>714</v>
      </c>
      <c r="AU13" s="21" t="s">
        <v>543</v>
      </c>
      <c r="AV13" s="21">
        <v>2</v>
      </c>
      <c r="AW13" s="21" t="s">
        <v>1866</v>
      </c>
      <c r="AX13" s="30">
        <v>43060</v>
      </c>
      <c r="AY13" s="21" t="s">
        <v>1945</v>
      </c>
      <c r="AZ13" s="21" t="s">
        <v>1868</v>
      </c>
      <c r="BA13" s="21">
        <v>12</v>
      </c>
      <c r="BG13" s="30"/>
      <c r="BP13" s="30"/>
      <c r="BU13" t="s">
        <v>1141</v>
      </c>
      <c r="BV13" s="21" t="s">
        <v>965</v>
      </c>
      <c r="BW13" s="21" t="s">
        <v>1647</v>
      </c>
      <c r="BX13" s="21" t="s">
        <v>1477</v>
      </c>
      <c r="BY13" s="31">
        <v>175000</v>
      </c>
      <c r="BZ13" s="31">
        <v>175000</v>
      </c>
      <c r="CA13" t="s">
        <v>1646</v>
      </c>
      <c r="CF13" s="31"/>
      <c r="CG13" s="31"/>
      <c r="CM13" s="31"/>
      <c r="CN13" s="31"/>
      <c r="CT13" s="31"/>
      <c r="CU13" s="31"/>
      <c r="CV13" s="31"/>
      <c r="DA13" s="31"/>
      <c r="DB13" s="31"/>
      <c r="DC13" s="31"/>
      <c r="DH13" s="31"/>
      <c r="DI13" s="31"/>
      <c r="DO13" s="31"/>
      <c r="DP13" s="31"/>
      <c r="DR13" t="s">
        <v>1936</v>
      </c>
      <c r="DS13" t="s">
        <v>479</v>
      </c>
      <c r="DT13" t="s">
        <v>579</v>
      </c>
      <c r="DU13" s="29" t="s">
        <v>1869</v>
      </c>
      <c r="DV13" t="s">
        <v>172</v>
      </c>
      <c r="DW13" t="s">
        <v>327</v>
      </c>
      <c r="DX13" t="s">
        <v>170</v>
      </c>
      <c r="DY13" t="s">
        <v>167</v>
      </c>
      <c r="DZ13" t="s">
        <v>168</v>
      </c>
      <c r="EA13" s="22">
        <v>43083.486793981479</v>
      </c>
      <c r="EB13" t="s">
        <v>1650</v>
      </c>
      <c r="EC13" t="s">
        <v>1946</v>
      </c>
    </row>
    <row r="14" spans="1:133" x14ac:dyDescent="0.4">
      <c r="A14" s="30"/>
      <c r="B14" s="22">
        <v>43004.490972222222</v>
      </c>
      <c r="C14" s="22" t="s">
        <v>524</v>
      </c>
      <c r="D14" s="30" t="s">
        <v>477</v>
      </c>
      <c r="E14" s="30" t="s">
        <v>582</v>
      </c>
      <c r="F14" s="30" t="s">
        <v>169</v>
      </c>
      <c r="G14" s="30" t="s">
        <v>171</v>
      </c>
      <c r="H14" t="s">
        <v>94</v>
      </c>
      <c r="I14" t="s">
        <v>525</v>
      </c>
      <c r="J14" t="s">
        <v>611</v>
      </c>
      <c r="L14">
        <v>1</v>
      </c>
      <c r="M14" s="26">
        <v>1.02</v>
      </c>
      <c r="N14" t="s">
        <v>544</v>
      </c>
      <c r="Q14" s="29" t="s">
        <v>13</v>
      </c>
      <c r="R14" s="29" t="str">
        <f>IFERROR(MID(RADataTable[[#This Row],[RAtemplate]],1,LEN(RADataTable[[#This Row],[RAtemplate]])-8),"RA") &amp; " " &amp; RADataTable[[#This Row],[prop_id0]] &amp; " " &amp; RADataTable[[#This Row],[last0]]</f>
        <v>RA 1763311 Reingold</v>
      </c>
      <c r="U14" s="21" t="str">
        <f>IF(signer1="PD",IF(ISBLANK(RADataTable[[#This Row],[sign_blck_name]]),"",RADataTable[[#This Row],[sign_blck_name]]),IF(ISBLANK(signer1),"",signer1))</f>
        <v>Tracy J. Kimbrel</v>
      </c>
      <c r="V14" s="29" t="str">
        <f t="shared" si="0"/>
        <v>Cognizant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omreing@stanford.edu</v>
      </c>
      <c r="Y14" s="15" t="str">
        <f>HYPERLINK("mailto:"&amp;RADataTable[[#This Row],[allPIemail]]&amp;"&amp;subject=NSF Proposal:  "&amp;RADataTable[[#This Row],[Div]]&amp;" "&amp;RADataTable[[#This Row],[prop_id0]], "PIs@")</f>
        <v>PIs@</v>
      </c>
      <c r="Z14" t="s">
        <v>478</v>
      </c>
      <c r="AA14" t="s">
        <v>1305</v>
      </c>
      <c r="AB14">
        <v>4</v>
      </c>
      <c r="AC14">
        <v>4</v>
      </c>
      <c r="AD14"/>
      <c r="AE14" s="21" t="str">
        <f>IF(RADataTable[[#This Row],[maxScore]]-RADataTable[[#This Row],[minScore]]&gt;4,"Y","")</f>
        <v/>
      </c>
      <c r="AF14" s="21">
        <v>7</v>
      </c>
      <c r="AG14" s="26">
        <v>8</v>
      </c>
      <c r="AH14">
        <v>9</v>
      </c>
      <c r="AI14" t="s">
        <v>1483</v>
      </c>
      <c r="AJ14" s="30">
        <v>43080.47152777778</v>
      </c>
      <c r="AK14" s="13">
        <v>1200000</v>
      </c>
      <c r="AL14" s="13">
        <v>1200000</v>
      </c>
      <c r="AM14">
        <v>0</v>
      </c>
      <c r="AN14" s="30">
        <v>43344</v>
      </c>
      <c r="AO14" s="21">
        <v>48</v>
      </c>
      <c r="AP14" s="21" t="s">
        <v>1723</v>
      </c>
      <c r="AS14" s="30"/>
      <c r="AT14" t="s">
        <v>1262</v>
      </c>
      <c r="AU14" s="21" t="s">
        <v>543</v>
      </c>
      <c r="AV14" s="21">
        <v>2</v>
      </c>
      <c r="AW14" s="21" t="s">
        <v>1971</v>
      </c>
      <c r="AX14" s="30">
        <v>43081</v>
      </c>
      <c r="AY14" s="21" t="s">
        <v>1873</v>
      </c>
      <c r="AZ14" s="21" t="s">
        <v>1973</v>
      </c>
      <c r="BA14" s="21">
        <v>9</v>
      </c>
      <c r="BG14" s="30"/>
      <c r="BP14" s="30"/>
      <c r="BU14" t="s">
        <v>1305</v>
      </c>
      <c r="BV14" s="21" t="s">
        <v>1306</v>
      </c>
      <c r="BW14" s="21" t="s">
        <v>1671</v>
      </c>
      <c r="BX14" s="21" t="s">
        <v>1465</v>
      </c>
      <c r="BY14" s="31">
        <v>650000</v>
      </c>
      <c r="BZ14" s="31">
        <v>650000</v>
      </c>
      <c r="CA14" t="s">
        <v>1722</v>
      </c>
      <c r="CB14" s="21" t="s">
        <v>1725</v>
      </c>
      <c r="CC14" s="21" t="s">
        <v>1726</v>
      </c>
      <c r="CD14" s="21" t="s">
        <v>1727</v>
      </c>
      <c r="CE14" s="21" t="s">
        <v>1728</v>
      </c>
      <c r="CF14" s="31">
        <v>550000</v>
      </c>
      <c r="CG14" s="31">
        <v>550000</v>
      </c>
      <c r="CH14" t="s">
        <v>1722</v>
      </c>
      <c r="CM14" s="31"/>
      <c r="CN14" s="31"/>
      <c r="CT14" s="31"/>
      <c r="CU14" s="31"/>
      <c r="CV14" s="31"/>
      <c r="DA14" s="31"/>
      <c r="DB14" s="31"/>
      <c r="DC14" s="31"/>
      <c r="DH14" s="31"/>
      <c r="DI14" s="31"/>
      <c r="DO14" s="31"/>
      <c r="DP14" s="31"/>
      <c r="DR14" t="s">
        <v>529</v>
      </c>
      <c r="DS14" t="s">
        <v>479</v>
      </c>
      <c r="DT14" t="s">
        <v>583</v>
      </c>
      <c r="DU14" s="29" t="s">
        <v>1869</v>
      </c>
      <c r="DV14" t="s">
        <v>172</v>
      </c>
      <c r="DW14" t="s">
        <v>327</v>
      </c>
      <c r="DX14" t="s">
        <v>170</v>
      </c>
      <c r="DY14" t="s">
        <v>167</v>
      </c>
      <c r="DZ14" t="s">
        <v>168</v>
      </c>
      <c r="EA14" s="22">
        <v>43083.486793981479</v>
      </c>
      <c r="EB14" t="s">
        <v>1724</v>
      </c>
      <c r="EC14" t="s">
        <v>1978</v>
      </c>
    </row>
    <row r="15" spans="1:133" x14ac:dyDescent="0.4">
      <c r="A15" s="30"/>
      <c r="B15" s="22">
        <v>42956.588888888888</v>
      </c>
      <c r="C15" s="22" t="s">
        <v>1621</v>
      </c>
      <c r="D15" s="30" t="s">
        <v>1622</v>
      </c>
      <c r="E15" s="30" t="s">
        <v>580</v>
      </c>
      <c r="F15" s="30" t="s">
        <v>169</v>
      </c>
      <c r="G15" s="30" t="s">
        <v>171</v>
      </c>
      <c r="H15" t="s">
        <v>94</v>
      </c>
      <c r="I15" t="s">
        <v>1623</v>
      </c>
      <c r="J15" t="s">
        <v>1166</v>
      </c>
      <c r="L15">
        <v>2</v>
      </c>
      <c r="M15" s="26">
        <v>2.02</v>
      </c>
      <c r="N15" t="s">
        <v>540</v>
      </c>
      <c r="O15" t="s">
        <v>542</v>
      </c>
      <c r="Q15" s="29" t="s">
        <v>13</v>
      </c>
      <c r="R15" s="29" t="str">
        <f>IFERROR(MID(RADataTable[[#This Row],[RAtemplate]],1,LEN(RADataTable[[#This Row],[RAtemplate]])-8),"RA") &amp; " " &amp; RADataTable[[#This Row],[prop_id0]] &amp; " " &amp; RADataTable[[#This Row],[last0]]</f>
        <v>RA 1755801 Zhao</v>
      </c>
      <c r="U15" s="21" t="str">
        <f>IF(signer1="PD",IF(ISBLANK(RADataTable[[#This Row],[sign_blck_name]]),"",RADataTable[[#This Row],[sign_blck_name]]),IF(ISBLANK(signer1),"",signer1))</f>
        <v>Weng-keen Wong</v>
      </c>
      <c r="V15" s="29" t="str">
        <f t="shared" si="0"/>
        <v>Cognizant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tzhao80@gatech.edu</v>
      </c>
      <c r="Y15" s="15" t="str">
        <f>HYPERLINK("mailto:"&amp;RADataTable[[#This Row],[allPIemail]]&amp;"&amp;subject=NSF Proposal:  "&amp;RADataTable[[#This Row],[Div]]&amp;" "&amp;RADataTable[[#This Row],[prop_id0]], "PIs@")</f>
        <v>PIs@</v>
      </c>
      <c r="Z15" t="s">
        <v>1625</v>
      </c>
      <c r="AA15" t="s">
        <v>1164</v>
      </c>
      <c r="AB15">
        <v>7</v>
      </c>
      <c r="AC15">
        <v>7</v>
      </c>
      <c r="AD15"/>
      <c r="AE15" s="21" t="str">
        <f>IF(RADataTable[[#This Row],[maxScore]]-RADataTable[[#This Row],[minScore]]&gt;4,"Y","")</f>
        <v/>
      </c>
      <c r="AF15" s="21">
        <v>3</v>
      </c>
      <c r="AG15" s="26">
        <v>5</v>
      </c>
      <c r="AH15">
        <v>7</v>
      </c>
      <c r="AI15" t="s">
        <v>1662</v>
      </c>
      <c r="AJ15" s="30">
        <v>43058.96597222222</v>
      </c>
      <c r="AK15" s="13">
        <v>175000</v>
      </c>
      <c r="AL15" s="13">
        <v>175000</v>
      </c>
      <c r="AM15">
        <v>0</v>
      </c>
      <c r="AN15" s="30">
        <v>43235</v>
      </c>
      <c r="AO15" s="21">
        <v>24</v>
      </c>
      <c r="AP15" s="21" t="s">
        <v>1663</v>
      </c>
      <c r="AQ15">
        <v>1</v>
      </c>
      <c r="AR15" t="s">
        <v>504</v>
      </c>
      <c r="AS15" s="30">
        <v>43054.411805555559</v>
      </c>
      <c r="AT15" t="s">
        <v>1168</v>
      </c>
      <c r="AU15" s="21" t="s">
        <v>539</v>
      </c>
      <c r="AV15" s="21">
        <v>2</v>
      </c>
      <c r="AW15" s="21" t="s">
        <v>1951</v>
      </c>
      <c r="AX15" s="30">
        <v>43056</v>
      </c>
      <c r="AY15" s="21" t="s">
        <v>1952</v>
      </c>
      <c r="AZ15" s="21" t="s">
        <v>1953</v>
      </c>
      <c r="BA15" s="21">
        <v>11</v>
      </c>
      <c r="BB15" s="21">
        <v>1</v>
      </c>
      <c r="BC15" s="21" t="s">
        <v>714</v>
      </c>
      <c r="BD15" s="21" t="s">
        <v>541</v>
      </c>
      <c r="BE15" s="21">
        <v>5</v>
      </c>
      <c r="BF15" s="21" t="s">
        <v>1866</v>
      </c>
      <c r="BG15" s="30">
        <v>43060</v>
      </c>
      <c r="BH15" s="21" t="s">
        <v>1954</v>
      </c>
      <c r="BI15" s="21" t="s">
        <v>1868</v>
      </c>
      <c r="BJ15" s="21">
        <v>12</v>
      </c>
      <c r="BK15" s="21">
        <v>1</v>
      </c>
      <c r="BP15" s="30"/>
      <c r="BU15" t="s">
        <v>1164</v>
      </c>
      <c r="BV15" s="21" t="s">
        <v>1165</v>
      </c>
      <c r="BW15" s="21" t="s">
        <v>1660</v>
      </c>
      <c r="BX15" s="21" t="s">
        <v>1661</v>
      </c>
      <c r="BY15" s="31">
        <v>175000</v>
      </c>
      <c r="BZ15" s="31">
        <v>175000</v>
      </c>
      <c r="CA15" t="s">
        <v>1624</v>
      </c>
      <c r="CF15" s="31"/>
      <c r="CG15" s="31"/>
      <c r="CM15" s="31"/>
      <c r="CN15" s="31"/>
      <c r="CT15" s="31"/>
      <c r="CU15" s="31"/>
      <c r="CV15" s="31"/>
      <c r="DA15" s="31"/>
      <c r="DB15" s="31"/>
      <c r="DC15" s="31"/>
      <c r="DH15" s="31"/>
      <c r="DI15" s="31"/>
      <c r="DO15" s="31"/>
      <c r="DP15" s="31"/>
      <c r="DR15" t="s">
        <v>1936</v>
      </c>
      <c r="DS15" t="s">
        <v>1937</v>
      </c>
      <c r="DT15" t="s">
        <v>581</v>
      </c>
      <c r="DU15" s="29" t="s">
        <v>1955</v>
      </c>
      <c r="DV15" t="s">
        <v>172</v>
      </c>
      <c r="DW15" t="s">
        <v>327</v>
      </c>
      <c r="DX15" t="s">
        <v>170</v>
      </c>
      <c r="DY15" t="s">
        <v>167</v>
      </c>
      <c r="DZ15" t="s">
        <v>168</v>
      </c>
      <c r="EA15" s="22">
        <v>43083.486793981479</v>
      </c>
      <c r="EB15" t="s">
        <v>1664</v>
      </c>
      <c r="EC15" t="s">
        <v>1956</v>
      </c>
    </row>
    <row r="16" spans="1:133" x14ac:dyDescent="0.4">
      <c r="A16" s="30"/>
      <c r="B16" s="22">
        <v>42956.621527777781</v>
      </c>
      <c r="C16" s="22" t="s">
        <v>1621</v>
      </c>
      <c r="D16" s="30" t="s">
        <v>477</v>
      </c>
      <c r="E16" s="30" t="s">
        <v>578</v>
      </c>
      <c r="F16" s="30" t="s">
        <v>169</v>
      </c>
      <c r="G16" s="30" t="s">
        <v>171</v>
      </c>
      <c r="H16" t="s">
        <v>94</v>
      </c>
      <c r="I16" t="s">
        <v>1630</v>
      </c>
      <c r="J16" t="s">
        <v>611</v>
      </c>
      <c r="L16">
        <v>1</v>
      </c>
      <c r="M16" s="26">
        <v>2.02</v>
      </c>
      <c r="N16" t="s">
        <v>540</v>
      </c>
      <c r="Q16" s="29" t="s">
        <v>13</v>
      </c>
      <c r="R16" s="29" t="str">
        <f>IFERROR(MID(RADataTable[[#This Row],[RAtemplate]],1,LEN(RADataTable[[#This Row],[RAtemplate]])-8),"RA") &amp; " " &amp; RADataTable[[#This Row],[prop_id0]] &amp; " " &amp; RADataTable[[#This Row],[last0]]</f>
        <v>RA 1755847 Sun</v>
      </c>
      <c r="U16" s="21" t="str">
        <f>IF(signer1="PD",IF(ISBLANK(RADataTable[[#This Row],[sign_blck_name]]),"",RADataTable[[#This Row],[sign_blck_name]]),IF(ISBLANK(signer1),"",signer1))</f>
        <v>Tracy J. Kimbrel</v>
      </c>
      <c r="V16" s="29" t="str">
        <f t="shared" si="0"/>
        <v>Cognizant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ruoyus@illinois.edu</v>
      </c>
      <c r="Y16" s="15" t="str">
        <f>HYPERLINK("mailto:"&amp;RADataTable[[#This Row],[allPIemail]]&amp;"&amp;subject=NSF Proposal:  "&amp;RADataTable[[#This Row],[Div]]&amp;" "&amp;RADataTable[[#This Row],[prop_id0]], "PIs@")</f>
        <v>PIs@</v>
      </c>
      <c r="Z16" t="s">
        <v>478</v>
      </c>
      <c r="AA16" t="s">
        <v>1194</v>
      </c>
      <c r="AB16">
        <v>3</v>
      </c>
      <c r="AC16">
        <v>3</v>
      </c>
      <c r="AD16"/>
      <c r="AE16" s="21" t="str">
        <f>IF(RADataTable[[#This Row],[maxScore]]-RADataTable[[#This Row],[minScore]]&gt;4,"Y","")</f>
        <v/>
      </c>
      <c r="AF16" s="21">
        <v>6</v>
      </c>
      <c r="AG16" s="26">
        <v>6.333333333333333</v>
      </c>
      <c r="AH16">
        <v>7</v>
      </c>
      <c r="AI16" t="s">
        <v>1667</v>
      </c>
      <c r="AJ16" s="30">
        <v>43031.767361111109</v>
      </c>
      <c r="AK16" s="13">
        <v>175000</v>
      </c>
      <c r="AL16" s="13">
        <v>175000</v>
      </c>
      <c r="AM16">
        <v>0</v>
      </c>
      <c r="AN16" s="30">
        <v>43282</v>
      </c>
      <c r="AO16" s="21">
        <v>24</v>
      </c>
      <c r="AP16" s="21" t="s">
        <v>1668</v>
      </c>
      <c r="AS16" s="30"/>
      <c r="AT16" t="s">
        <v>605</v>
      </c>
      <c r="AU16" s="21" t="s">
        <v>539</v>
      </c>
      <c r="AV16" s="21">
        <v>2</v>
      </c>
      <c r="AW16" s="21" t="s">
        <v>1847</v>
      </c>
      <c r="AX16" s="30">
        <v>43032</v>
      </c>
      <c r="AY16" s="21" t="s">
        <v>1957</v>
      </c>
      <c r="AZ16" s="21" t="s">
        <v>1849</v>
      </c>
      <c r="BA16" s="21">
        <v>14</v>
      </c>
      <c r="BB16" s="21">
        <v>2</v>
      </c>
      <c r="BG16" s="30"/>
      <c r="BP16" s="30"/>
      <c r="BU16" t="s">
        <v>1194</v>
      </c>
      <c r="BV16" s="21" t="s">
        <v>1195</v>
      </c>
      <c r="BW16" s="21" t="s">
        <v>1666</v>
      </c>
      <c r="BX16" s="21" t="s">
        <v>1477</v>
      </c>
      <c r="BY16" s="31">
        <v>175000</v>
      </c>
      <c r="BZ16" s="31">
        <v>175000</v>
      </c>
      <c r="CA16" t="s">
        <v>1665</v>
      </c>
      <c r="CF16" s="31"/>
      <c r="CG16" s="31"/>
      <c r="CM16" s="31"/>
      <c r="CN16" s="31"/>
      <c r="CT16" s="31"/>
      <c r="CU16" s="31"/>
      <c r="CV16" s="31"/>
      <c r="DA16" s="31"/>
      <c r="DB16" s="31"/>
      <c r="DC16" s="31"/>
      <c r="DH16" s="31"/>
      <c r="DI16" s="31"/>
      <c r="DO16" s="31"/>
      <c r="DP16" s="31"/>
      <c r="DR16" t="s">
        <v>1936</v>
      </c>
      <c r="DS16" t="s">
        <v>479</v>
      </c>
      <c r="DT16" t="s">
        <v>579</v>
      </c>
      <c r="DU16" s="29" t="s">
        <v>1869</v>
      </c>
      <c r="DV16" t="s">
        <v>172</v>
      </c>
      <c r="DW16" t="s">
        <v>327</v>
      </c>
      <c r="DX16" t="s">
        <v>170</v>
      </c>
      <c r="DY16" t="s">
        <v>167</v>
      </c>
      <c r="DZ16" t="s">
        <v>168</v>
      </c>
      <c r="EA16" s="22">
        <v>43083.486793981479</v>
      </c>
      <c r="EB16" t="s">
        <v>1669</v>
      </c>
      <c r="EC16" t="s">
        <v>1958</v>
      </c>
    </row>
    <row r="17" spans="1:133" x14ac:dyDescent="0.4">
      <c r="A17" s="30"/>
      <c r="B17" s="22">
        <v>42933.713888888888</v>
      </c>
      <c r="C17" s="22" t="s">
        <v>1430</v>
      </c>
      <c r="D17" s="30" t="s">
        <v>477</v>
      </c>
      <c r="E17" s="30" t="s">
        <v>582</v>
      </c>
      <c r="F17" s="30" t="s">
        <v>169</v>
      </c>
      <c r="G17" s="30" t="s">
        <v>171</v>
      </c>
      <c r="H17" t="s">
        <v>94</v>
      </c>
      <c r="I17" t="s">
        <v>1431</v>
      </c>
      <c r="J17" t="s">
        <v>604</v>
      </c>
      <c r="L17">
        <v>1</v>
      </c>
      <c r="M17" s="26">
        <v>2.0299999999999998</v>
      </c>
      <c r="N17" t="s">
        <v>540</v>
      </c>
      <c r="Q17" s="29" t="s">
        <v>13</v>
      </c>
      <c r="R17" s="29" t="str">
        <f>IFERROR(MID(RADataTable[[#This Row],[RAtemplate]],1,LEN(RADataTable[[#This Row],[RAtemplate]])-8),"RA") &amp; " " &amp; RADataTable[[#This Row],[prop_id0]] &amp; " " &amp; RADataTable[[#This Row],[last0]]</f>
        <v>RA 1749563 Del Pia</v>
      </c>
      <c r="U17" s="21" t="str">
        <f>IF(signer1="PD",IF(ISBLANK(RADataTable[[#This Row],[sign_blck_name]]),"",RADataTable[[#This Row],[sign_blck_name]]),IF(ISBLANK(signer1),"",signer1))</f>
        <v>Jack Snoeyink</v>
      </c>
      <c r="V17" s="29" t="str">
        <f t="shared" si="0"/>
        <v>Cognizant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delpia@wisc.edu</v>
      </c>
      <c r="Y17" s="15" t="str">
        <f>HYPERLINK("mailto:"&amp;RADataTable[[#This Row],[allPIemail]]&amp;"&amp;subject=NSF Proposal:  "&amp;RADataTable[[#This Row],[Div]]&amp;" "&amp;RADataTable[[#This Row],[prop_id0]], "PIs@")</f>
        <v>PIs@</v>
      </c>
      <c r="Z17" t="s">
        <v>478</v>
      </c>
      <c r="AA17" t="s">
        <v>669</v>
      </c>
      <c r="AB17">
        <v>4</v>
      </c>
      <c r="AC17">
        <v>4</v>
      </c>
      <c r="AD17"/>
      <c r="AE17" s="21" t="str">
        <f>IF(RADataTable[[#This Row],[maxScore]]-RADataTable[[#This Row],[minScore]]&gt;4,"Y","")</f>
        <v/>
      </c>
      <c r="AF17" s="21">
        <v>6</v>
      </c>
      <c r="AG17" s="26">
        <v>7</v>
      </c>
      <c r="AH17">
        <v>8</v>
      </c>
      <c r="AI17" t="s">
        <v>1450</v>
      </c>
      <c r="AJ17" s="30">
        <v>43031.584027777775</v>
      </c>
      <c r="AK17" s="13">
        <v>500000</v>
      </c>
      <c r="AL17" s="13">
        <v>500000</v>
      </c>
      <c r="AM17">
        <v>0</v>
      </c>
      <c r="AN17" s="30">
        <v>43344</v>
      </c>
      <c r="AO17" s="21">
        <v>60</v>
      </c>
      <c r="AP17" s="21" t="s">
        <v>1451</v>
      </c>
      <c r="AS17" s="30"/>
      <c r="AT17" t="s">
        <v>605</v>
      </c>
      <c r="AU17" s="21" t="s">
        <v>539</v>
      </c>
      <c r="AV17" s="21">
        <v>3</v>
      </c>
      <c r="AW17" s="21" t="s">
        <v>1847</v>
      </c>
      <c r="AX17" s="30">
        <v>43032</v>
      </c>
      <c r="AY17" s="21" t="s">
        <v>1858</v>
      </c>
      <c r="AZ17" s="21" t="s">
        <v>1849</v>
      </c>
      <c r="BA17" s="21">
        <v>14</v>
      </c>
      <c r="BG17" s="30"/>
      <c r="BP17" s="30"/>
      <c r="BU17" t="s">
        <v>669</v>
      </c>
      <c r="BV17" s="21" t="s">
        <v>670</v>
      </c>
      <c r="BW17" s="21" t="s">
        <v>1449</v>
      </c>
      <c r="BX17" s="21" t="s">
        <v>554</v>
      </c>
      <c r="BY17" s="31">
        <v>500000</v>
      </c>
      <c r="BZ17" s="31">
        <v>500000</v>
      </c>
      <c r="CA17" t="s">
        <v>1432</v>
      </c>
      <c r="CF17" s="31"/>
      <c r="CG17" s="31"/>
      <c r="CM17" s="31"/>
      <c r="CN17" s="31"/>
      <c r="CT17" s="31"/>
      <c r="CU17" s="31"/>
      <c r="CV17" s="31"/>
      <c r="DA17" s="31"/>
      <c r="DB17" s="31"/>
      <c r="DC17" s="31"/>
      <c r="DH17" s="31"/>
      <c r="DI17" s="31"/>
      <c r="DO17" s="31"/>
      <c r="DP17" s="31"/>
      <c r="DR17" t="s">
        <v>1850</v>
      </c>
      <c r="DS17" t="s">
        <v>479</v>
      </c>
      <c r="DT17" t="s">
        <v>583</v>
      </c>
      <c r="DU17" s="29" t="s">
        <v>1851</v>
      </c>
      <c r="DV17" t="s">
        <v>172</v>
      </c>
      <c r="DW17" t="s">
        <v>327</v>
      </c>
      <c r="DX17" t="s">
        <v>170</v>
      </c>
      <c r="DY17" t="s">
        <v>167</v>
      </c>
      <c r="DZ17" t="s">
        <v>168</v>
      </c>
      <c r="EA17" s="22">
        <v>43083.486793981479</v>
      </c>
      <c r="EB17" t="s">
        <v>1452</v>
      </c>
      <c r="EC17" t="s">
        <v>1859</v>
      </c>
    </row>
    <row r="18" spans="1:133" x14ac:dyDescent="0.4">
      <c r="A18" s="30"/>
      <c r="B18" s="22">
        <v>42935.387499999997</v>
      </c>
      <c r="C18" s="22" t="s">
        <v>1430</v>
      </c>
      <c r="D18" s="30" t="s">
        <v>477</v>
      </c>
      <c r="E18" s="30" t="s">
        <v>582</v>
      </c>
      <c r="F18" s="30" t="s">
        <v>169</v>
      </c>
      <c r="G18" s="30" t="s">
        <v>171</v>
      </c>
      <c r="H18" t="s">
        <v>94</v>
      </c>
      <c r="I18" t="s">
        <v>1431</v>
      </c>
      <c r="J18" t="s">
        <v>654</v>
      </c>
      <c r="L18">
        <v>1</v>
      </c>
      <c r="M18" s="26">
        <v>2.0299999999999998</v>
      </c>
      <c r="N18" t="s">
        <v>540</v>
      </c>
      <c r="Q18" s="29" t="s">
        <v>13</v>
      </c>
      <c r="R18" s="29" t="str">
        <f>IFERROR(MID(RADataTable[[#This Row],[RAtemplate]],1,LEN(RADataTable[[#This Row],[RAtemplate]])-8),"RA") &amp; " " &amp; RADataTable[[#This Row],[prop_id0]] &amp; " " &amp; RADataTable[[#This Row],[last0]]</f>
        <v>RA 1750140 Panigrahi</v>
      </c>
      <c r="U18" s="21" t="str">
        <f>IF(signer1="PD",IF(ISBLANK(RADataTable[[#This Row],[sign_blck_name]]),"",RADataTable[[#This Row],[sign_blck_name]]),IF(ISBLANK(signer1),"",signer1))</f>
        <v>Rahul Shah</v>
      </c>
      <c r="V18" s="29" t="str">
        <f t="shared" si="0"/>
        <v>Cognizant Program Director</v>
      </c>
      <c r="W18" s="15" t="str">
        <f>HYPERLINK("https://www.ejacket.nsf.gov/ej/showProposal.do?Continue=Y&amp;ID="&amp;RADataTable[[#This Row],[prop_id0]],"eJ")</f>
        <v>eJ</v>
      </c>
      <c r="X18" s="15" t="str">
        <f>HYPERLINK("mailto:"&amp;RADataTable[[#This Row],[email]]&amp;"&amp;subject=Your NSF Proposal:  "&amp;RADataTable[[#This Row],[Div]]&amp;" "&amp;RADataTable[[#This Row],[prop_id0]], RADataTable[[#This Row],[email]])</f>
        <v>debmalya.panigrahi@gmail.com</v>
      </c>
      <c r="Y18" s="15" t="str">
        <f>HYPERLINK("mailto:"&amp;RADataTable[[#This Row],[allPIemail]]&amp;"&amp;subject=NSF Proposal:  "&amp;RADataTable[[#This Row],[Div]]&amp;" "&amp;RADataTable[[#This Row],[prop_id0]], "PIs@")</f>
        <v>PIs@</v>
      </c>
      <c r="Z18" t="s">
        <v>478</v>
      </c>
      <c r="AA18" t="s">
        <v>851</v>
      </c>
      <c r="AB18">
        <v>4</v>
      </c>
      <c r="AC18">
        <v>4</v>
      </c>
      <c r="AD18"/>
      <c r="AE18" s="21" t="str">
        <f>IF(RADataTable[[#This Row],[maxScore]]-RADataTable[[#This Row],[minScore]]&gt;4,"Y","")</f>
        <v/>
      </c>
      <c r="AF18" s="21">
        <v>7</v>
      </c>
      <c r="AG18" s="26">
        <v>7.75</v>
      </c>
      <c r="AH18">
        <v>9</v>
      </c>
      <c r="AI18" t="s">
        <v>1521</v>
      </c>
      <c r="AJ18" s="30">
        <v>43032.520138888889</v>
      </c>
      <c r="AK18" s="13">
        <v>602288</v>
      </c>
      <c r="AL18" s="13">
        <v>602288</v>
      </c>
      <c r="AM18">
        <v>0</v>
      </c>
      <c r="AN18" s="30">
        <v>43160</v>
      </c>
      <c r="AO18" s="21">
        <v>60</v>
      </c>
      <c r="AP18" s="21" t="s">
        <v>1522</v>
      </c>
      <c r="AS18" s="30"/>
      <c r="AT18" t="s">
        <v>605</v>
      </c>
      <c r="AU18" s="21" t="s">
        <v>539</v>
      </c>
      <c r="AV18" s="21">
        <v>3</v>
      </c>
      <c r="AW18" s="21" t="s">
        <v>1847</v>
      </c>
      <c r="AX18" s="30">
        <v>43032</v>
      </c>
      <c r="AY18" s="21" t="s">
        <v>1891</v>
      </c>
      <c r="AZ18" s="21" t="s">
        <v>1849</v>
      </c>
      <c r="BA18" s="21">
        <v>14</v>
      </c>
      <c r="BB18" s="21">
        <v>2</v>
      </c>
      <c r="BG18" s="30"/>
      <c r="BP18" s="30"/>
      <c r="BU18" t="s">
        <v>851</v>
      </c>
      <c r="BV18" s="21" t="s">
        <v>852</v>
      </c>
      <c r="BW18" s="21" t="s">
        <v>1519</v>
      </c>
      <c r="BX18" s="21" t="s">
        <v>1520</v>
      </c>
      <c r="BY18" s="31">
        <v>602288</v>
      </c>
      <c r="BZ18" s="31">
        <v>602288</v>
      </c>
      <c r="CA18" t="s">
        <v>1432</v>
      </c>
      <c r="CF18" s="31"/>
      <c r="CG18" s="31"/>
      <c r="CM18" s="31"/>
      <c r="CN18" s="31"/>
      <c r="CT18" s="31"/>
      <c r="CU18" s="31"/>
      <c r="CV18" s="31"/>
      <c r="DA18" s="31"/>
      <c r="DB18" s="31"/>
      <c r="DC18" s="31"/>
      <c r="DH18" s="31"/>
      <c r="DI18" s="31"/>
      <c r="DO18" s="31"/>
      <c r="DP18" s="31"/>
      <c r="DR18" t="s">
        <v>1850</v>
      </c>
      <c r="DS18" t="s">
        <v>479</v>
      </c>
      <c r="DT18" t="s">
        <v>583</v>
      </c>
      <c r="DU18" s="29" t="s">
        <v>1856</v>
      </c>
      <c r="DV18" t="s">
        <v>172</v>
      </c>
      <c r="DW18" t="s">
        <v>327</v>
      </c>
      <c r="DX18" t="s">
        <v>170</v>
      </c>
      <c r="DY18" t="s">
        <v>167</v>
      </c>
      <c r="DZ18" t="s">
        <v>168</v>
      </c>
      <c r="EA18" s="22">
        <v>43083.486793981479</v>
      </c>
      <c r="EB18" t="s">
        <v>1523</v>
      </c>
      <c r="EC18" t="s">
        <v>1892</v>
      </c>
    </row>
    <row r="19" spans="1:133" x14ac:dyDescent="0.4">
      <c r="A19" s="30"/>
      <c r="B19" s="22">
        <v>42956.697916666664</v>
      </c>
      <c r="C19" s="22" t="s">
        <v>1621</v>
      </c>
      <c r="D19" s="30" t="s">
        <v>477</v>
      </c>
      <c r="E19" s="30" t="s">
        <v>578</v>
      </c>
      <c r="F19" s="30" t="s">
        <v>169</v>
      </c>
      <c r="G19" s="30" t="s">
        <v>171</v>
      </c>
      <c r="H19" t="s">
        <v>94</v>
      </c>
      <c r="I19" t="s">
        <v>1630</v>
      </c>
      <c r="J19" t="s">
        <v>611</v>
      </c>
      <c r="L19">
        <v>1</v>
      </c>
      <c r="M19" s="26">
        <v>2.0299999999999998</v>
      </c>
      <c r="N19" t="s">
        <v>540</v>
      </c>
      <c r="Q19" s="29" t="s">
        <v>13</v>
      </c>
      <c r="R19" s="29" t="str">
        <f>IFERROR(MID(RADataTable[[#This Row],[RAtemplate]],1,LEN(RADataTable[[#This Row],[RAtemplate]])-8),"RA") &amp; " " &amp; RADataTable[[#This Row],[prop_id0]] &amp; " " &amp; RADataTable[[#This Row],[last0]]</f>
        <v>RA 1755955 Gkatzelis</v>
      </c>
      <c r="U19" s="21" t="str">
        <f>IF(signer1="PD",IF(ISBLANK(RADataTable[[#This Row],[sign_blck_name]]),"",RADataTable[[#This Row],[sign_blck_name]]),IF(ISBLANK(signer1),"",signer1))</f>
        <v>Tracy J. Kimbrel</v>
      </c>
      <c r="V19" s="29" t="str">
        <f t="shared" si="0"/>
        <v>Cognizant Program Director</v>
      </c>
      <c r="W19" s="15" t="str">
        <f>HYPERLINK("https://www.ejacket.nsf.gov/ej/showProposal.do?Continue=Y&amp;ID="&amp;RADataTable[[#This Row],[prop_id0]],"eJ")</f>
        <v>eJ</v>
      </c>
      <c r="X19" s="15" t="str">
        <f>HYPERLINK("mailto:"&amp;RADataTable[[#This Row],[email]]&amp;"&amp;subject=Your NSF Proposal:  "&amp;RADataTable[[#This Row],[Div]]&amp;" "&amp;RADataTable[[#This Row],[prop_id0]], RADataTable[[#This Row],[email]])</f>
        <v>gkatz@drexel.edu</v>
      </c>
      <c r="Y19" s="15" t="str">
        <f>HYPERLINK("mailto:"&amp;RADataTable[[#This Row],[allPIemail]]&amp;"&amp;subject=NSF Proposal:  "&amp;RADataTable[[#This Row],[Div]]&amp;" "&amp;RADataTable[[#This Row],[prop_id0]], "PIs@")</f>
        <v>PIs@</v>
      </c>
      <c r="Z19" t="s">
        <v>478</v>
      </c>
      <c r="AA19" t="s">
        <v>1241</v>
      </c>
      <c r="AB19">
        <v>3</v>
      </c>
      <c r="AC19">
        <v>3</v>
      </c>
      <c r="AD19"/>
      <c r="AE19" s="21" t="str">
        <f>IF(RADataTable[[#This Row],[maxScore]]-RADataTable[[#This Row],[minScore]]&gt;4,"Y","")</f>
        <v/>
      </c>
      <c r="AF19" s="21">
        <v>7</v>
      </c>
      <c r="AG19" s="26">
        <v>7</v>
      </c>
      <c r="AH19">
        <v>7</v>
      </c>
      <c r="AI19" t="s">
        <v>1657</v>
      </c>
      <c r="AJ19" s="30">
        <v>43060.397916666669</v>
      </c>
      <c r="AK19" s="13">
        <v>174930</v>
      </c>
      <c r="AL19" s="13">
        <v>174930</v>
      </c>
      <c r="AM19">
        <v>0</v>
      </c>
      <c r="AN19" s="30">
        <v>43132</v>
      </c>
      <c r="AO19" s="21">
        <v>24</v>
      </c>
      <c r="AP19" s="21" t="s">
        <v>1694</v>
      </c>
      <c r="AS19" s="30"/>
      <c r="AT19" t="s">
        <v>714</v>
      </c>
      <c r="AU19" s="21" t="s">
        <v>539</v>
      </c>
      <c r="AV19" s="21">
        <v>3</v>
      </c>
      <c r="AW19" s="21" t="s">
        <v>1866</v>
      </c>
      <c r="AX19" s="30">
        <v>43060</v>
      </c>
      <c r="AY19" s="21" t="s">
        <v>1949</v>
      </c>
      <c r="AZ19" s="21" t="s">
        <v>1868</v>
      </c>
      <c r="BA19" s="21">
        <v>12</v>
      </c>
      <c r="BG19" s="30"/>
      <c r="BP19" s="30"/>
      <c r="BU19" t="s">
        <v>1241</v>
      </c>
      <c r="BV19" s="21" t="s">
        <v>1031</v>
      </c>
      <c r="BW19" s="21" t="s">
        <v>1593</v>
      </c>
      <c r="BX19" s="21" t="s">
        <v>1594</v>
      </c>
      <c r="BY19" s="31">
        <v>174930</v>
      </c>
      <c r="BZ19" s="31">
        <v>174930</v>
      </c>
      <c r="CA19" t="s">
        <v>1646</v>
      </c>
      <c r="CF19" s="31"/>
      <c r="CG19" s="31"/>
      <c r="CM19" s="31"/>
      <c r="CN19" s="31"/>
      <c r="CT19" s="31"/>
      <c r="CU19" s="31"/>
      <c r="CV19" s="31"/>
      <c r="DA19" s="31"/>
      <c r="DB19" s="31"/>
      <c r="DC19" s="31"/>
      <c r="DH19" s="31"/>
      <c r="DI19" s="31"/>
      <c r="DO19" s="31"/>
      <c r="DP19" s="31"/>
      <c r="DR19" t="s">
        <v>1936</v>
      </c>
      <c r="DS19" t="s">
        <v>479</v>
      </c>
      <c r="DT19" t="s">
        <v>579</v>
      </c>
      <c r="DU19" s="29" t="s">
        <v>1869</v>
      </c>
      <c r="DV19" t="s">
        <v>172</v>
      </c>
      <c r="DW19" t="s">
        <v>327</v>
      </c>
      <c r="DX19" t="s">
        <v>170</v>
      </c>
      <c r="DY19" t="s">
        <v>167</v>
      </c>
      <c r="DZ19" t="s">
        <v>168</v>
      </c>
      <c r="EA19" s="22">
        <v>43083.486793981479</v>
      </c>
      <c r="EB19" t="s">
        <v>1288</v>
      </c>
      <c r="EC19" t="s">
        <v>1924</v>
      </c>
    </row>
    <row r="20" spans="1:133" x14ac:dyDescent="0.4">
      <c r="A20" s="30"/>
      <c r="B20" s="22">
        <v>42956.746527777781</v>
      </c>
      <c r="C20" s="22" t="s">
        <v>1621</v>
      </c>
      <c r="D20" s="30" t="s">
        <v>477</v>
      </c>
      <c r="E20" s="30" t="s">
        <v>578</v>
      </c>
      <c r="F20" s="30" t="s">
        <v>169</v>
      </c>
      <c r="G20" s="30" t="s">
        <v>171</v>
      </c>
      <c r="H20" t="s">
        <v>94</v>
      </c>
      <c r="I20" t="s">
        <v>1630</v>
      </c>
      <c r="J20" t="s">
        <v>654</v>
      </c>
      <c r="L20">
        <v>1</v>
      </c>
      <c r="M20" s="26">
        <v>2.0299999999999998</v>
      </c>
      <c r="N20" t="s">
        <v>540</v>
      </c>
      <c r="Q20" s="29" t="s">
        <v>13</v>
      </c>
      <c r="R20" s="29" t="str">
        <f>IFERROR(MID(RADataTable[[#This Row],[RAtemplate]],1,LEN(RADataTable[[#This Row],[RAtemplate]])-8),"RA") &amp; " " &amp; RADataTable[[#This Row],[prop_id0]] &amp; " " &amp; RADataTable[[#This Row],[last0]]</f>
        <v>RA 1756014 Chen</v>
      </c>
      <c r="U20" s="21" t="str">
        <f>IF(signer1="PD",IF(ISBLANK(RADataTable[[#This Row],[sign_blck_name]]),"",RADataTable[[#This Row],[sign_blck_name]]),IF(ISBLANK(signer1),"",signer1))</f>
        <v>Rahul Shah</v>
      </c>
      <c r="V20" s="29" t="str">
        <f t="shared" si="0"/>
        <v>Cognizant Program Director</v>
      </c>
      <c r="W20" s="15" t="str">
        <f>HYPERLINK("https://www.ejacket.nsf.gov/ej/showProposal.do?Continue=Y&amp;ID="&amp;RADataTable[[#This Row],[prop_id0]],"eJ")</f>
        <v>eJ</v>
      </c>
      <c r="X20" s="15" t="str">
        <f>HYPERLINK("mailto:"&amp;RADataTable[[#This Row],[email]]&amp;"&amp;subject=Your NSF Proposal:  "&amp;RADataTable[[#This Row],[Div]]&amp;" "&amp;RADataTable[[#This Row],[prop_id0]], RADataTable[[#This Row],[email]])</f>
        <v>lchen49@central.uh.edu</v>
      </c>
      <c r="Y20" s="15" t="str">
        <f>HYPERLINK("mailto:"&amp;RADataTable[[#This Row],[allPIemail]]&amp;"&amp;subject=NSF Proposal:  "&amp;RADataTable[[#This Row],[Div]]&amp;" "&amp;RADataTable[[#This Row],[prop_id0]], "PIs@")</f>
        <v>PIs@</v>
      </c>
      <c r="Z20" t="s">
        <v>478</v>
      </c>
      <c r="AA20" t="s">
        <v>1255</v>
      </c>
      <c r="AB20">
        <v>3</v>
      </c>
      <c r="AC20">
        <v>3</v>
      </c>
      <c r="AD20"/>
      <c r="AE20" s="21" t="str">
        <f>IF(RADataTable[[#This Row],[maxScore]]-RADataTable[[#This Row],[minScore]]&gt;4,"Y","")</f>
        <v/>
      </c>
      <c r="AF20" s="21">
        <v>5</v>
      </c>
      <c r="AG20" s="26">
        <v>6</v>
      </c>
      <c r="AH20">
        <v>7</v>
      </c>
      <c r="AI20" t="s">
        <v>1643</v>
      </c>
      <c r="AJ20" s="30">
        <v>43031.734027777777</v>
      </c>
      <c r="AK20" s="13">
        <v>148477</v>
      </c>
      <c r="AL20" s="13">
        <v>148477</v>
      </c>
      <c r="AM20">
        <v>0</v>
      </c>
      <c r="AN20" s="30">
        <v>43252</v>
      </c>
      <c r="AO20" s="21">
        <v>24</v>
      </c>
      <c r="AP20" s="21" t="s">
        <v>1702</v>
      </c>
      <c r="AS20" s="30"/>
      <c r="AT20" t="s">
        <v>605</v>
      </c>
      <c r="AU20" s="21" t="s">
        <v>539</v>
      </c>
      <c r="AV20" s="21">
        <v>3</v>
      </c>
      <c r="AW20" s="21" t="s">
        <v>1847</v>
      </c>
      <c r="AX20" s="30">
        <v>43032</v>
      </c>
      <c r="AY20" s="21" t="s">
        <v>1943</v>
      </c>
      <c r="AZ20" s="21" t="s">
        <v>1849</v>
      </c>
      <c r="BA20" s="21">
        <v>14</v>
      </c>
      <c r="BG20" s="30"/>
      <c r="BP20" s="30"/>
      <c r="BU20" t="s">
        <v>1255</v>
      </c>
      <c r="BV20" s="21" t="s">
        <v>750</v>
      </c>
      <c r="BW20" s="21" t="s">
        <v>1700</v>
      </c>
      <c r="BX20" s="21" t="s">
        <v>1701</v>
      </c>
      <c r="BY20" s="31">
        <v>148477</v>
      </c>
      <c r="BZ20" s="31">
        <v>148477</v>
      </c>
      <c r="CA20" t="s">
        <v>1631</v>
      </c>
      <c r="CF20" s="31"/>
      <c r="CG20" s="31"/>
      <c r="CM20" s="31"/>
      <c r="CN20" s="31"/>
      <c r="CT20" s="31"/>
      <c r="CU20" s="31"/>
      <c r="CV20" s="31"/>
      <c r="DA20" s="31"/>
      <c r="DB20" s="31"/>
      <c r="DC20" s="31"/>
      <c r="DH20" s="31"/>
      <c r="DI20" s="31"/>
      <c r="DO20" s="31"/>
      <c r="DP20" s="31"/>
      <c r="DR20" t="s">
        <v>1936</v>
      </c>
      <c r="DS20" t="s">
        <v>479</v>
      </c>
      <c r="DT20" t="s">
        <v>579</v>
      </c>
      <c r="DU20" s="29" t="s">
        <v>1856</v>
      </c>
      <c r="DV20" t="s">
        <v>172</v>
      </c>
      <c r="DW20" t="s">
        <v>327</v>
      </c>
      <c r="DX20" t="s">
        <v>170</v>
      </c>
      <c r="DY20" t="s">
        <v>167</v>
      </c>
      <c r="DZ20" t="s">
        <v>168</v>
      </c>
      <c r="EA20" s="22">
        <v>43083.486793981479</v>
      </c>
      <c r="EB20" t="s">
        <v>1703</v>
      </c>
      <c r="EC20" t="s">
        <v>1970</v>
      </c>
    </row>
    <row r="21" spans="1:133" x14ac:dyDescent="0.4">
      <c r="A21" s="30"/>
      <c r="B21" s="22">
        <v>43004.497916666667</v>
      </c>
      <c r="C21" s="22" t="s">
        <v>524</v>
      </c>
      <c r="D21" s="30" t="s">
        <v>477</v>
      </c>
      <c r="E21" s="30" t="s">
        <v>582</v>
      </c>
      <c r="F21" s="30" t="s">
        <v>169</v>
      </c>
      <c r="G21" s="30" t="s">
        <v>171</v>
      </c>
      <c r="H21" t="s">
        <v>94</v>
      </c>
      <c r="I21" t="s">
        <v>525</v>
      </c>
      <c r="J21" t="s">
        <v>611</v>
      </c>
      <c r="L21">
        <v>1</v>
      </c>
      <c r="M21" s="26">
        <v>2.0299999999999998</v>
      </c>
      <c r="N21" t="s">
        <v>540</v>
      </c>
      <c r="Q21" s="29" t="s">
        <v>13</v>
      </c>
      <c r="R21" s="29" t="str">
        <f>IFERROR(MID(RADataTable[[#This Row],[RAtemplate]],1,LEN(RADataTable[[#This Row],[RAtemplate]])-8),"RA") &amp; " " &amp; RADataTable[[#This Row],[prop_id0]] &amp; " " &amp; RADataTable[[#This Row],[last0]]</f>
        <v>RA 1763314 ROTH</v>
      </c>
      <c r="U21" s="21" t="str">
        <f>IF(signer1="PD",IF(ISBLANK(RADataTable[[#This Row],[sign_blck_name]]),"",RADataTable[[#This Row],[sign_blck_name]]),IF(ISBLANK(signer1),"",signer1))</f>
        <v>Tracy J. Kimbrel</v>
      </c>
      <c r="V21" s="29" t="str">
        <f t="shared" si="0"/>
        <v>Cognizant Program Director</v>
      </c>
      <c r="W21" s="15" t="str">
        <f>HYPERLINK("https://www.ejacket.nsf.gov/ej/showProposal.do?Continue=Y&amp;ID="&amp;RADataTable[[#This Row],[prop_id0]],"eJ")</f>
        <v>eJ</v>
      </c>
      <c r="X21" s="15" t="str">
        <f>HYPERLINK("mailto:"&amp;RADataTable[[#This Row],[email]]&amp;"&amp;subject=Your NSF Proposal:  "&amp;RADataTable[[#This Row],[Div]]&amp;" "&amp;RADataTable[[#This Row],[prop_id0]], RADataTable[[#This Row],[email]])</f>
        <v>aaroth@cis.upenn.edu</v>
      </c>
      <c r="Y21" s="15" t="str">
        <f>HYPERLINK("mailto:"&amp;RADataTable[[#This Row],[allPIemail]]&amp;"&amp;subject=NSF Proposal:  "&amp;RADataTable[[#This Row],[Div]]&amp;" "&amp;RADataTable[[#This Row],[prop_id0]], "PIs@")</f>
        <v>PIs@</v>
      </c>
      <c r="Z21" t="s">
        <v>478</v>
      </c>
      <c r="AA21" t="s">
        <v>1315</v>
      </c>
      <c r="AB21">
        <v>4</v>
      </c>
      <c r="AC21">
        <v>4</v>
      </c>
      <c r="AD21"/>
      <c r="AE21" s="21" t="str">
        <f>IF(RADataTable[[#This Row],[maxScore]]-RADataTable[[#This Row],[minScore]]&gt;4,"Y","")</f>
        <v/>
      </c>
      <c r="AF21" s="21">
        <v>7</v>
      </c>
      <c r="AG21" s="26">
        <v>8</v>
      </c>
      <c r="AH21">
        <v>9</v>
      </c>
      <c r="AI21" t="s">
        <v>1731</v>
      </c>
      <c r="AJ21" s="30">
        <v>43081.365972222222</v>
      </c>
      <c r="AK21" s="13">
        <v>1200000</v>
      </c>
      <c r="AL21" s="13">
        <v>1200000</v>
      </c>
      <c r="AM21">
        <v>0</v>
      </c>
      <c r="AN21" s="30">
        <v>43313</v>
      </c>
      <c r="AO21" s="21">
        <v>36</v>
      </c>
      <c r="AP21" s="21" t="s">
        <v>1732</v>
      </c>
      <c r="AS21" s="30"/>
      <c r="AT21" t="s">
        <v>1262</v>
      </c>
      <c r="AU21" s="21" t="s">
        <v>539</v>
      </c>
      <c r="AV21" s="21">
        <v>3</v>
      </c>
      <c r="AW21" s="21" t="s">
        <v>1971</v>
      </c>
      <c r="AX21" s="30">
        <v>43081</v>
      </c>
      <c r="AY21" s="21" t="s">
        <v>1979</v>
      </c>
      <c r="AZ21" s="21" t="s">
        <v>1973</v>
      </c>
      <c r="BA21" s="21">
        <v>9</v>
      </c>
      <c r="BG21" s="30"/>
      <c r="BP21" s="30"/>
      <c r="BU21" t="s">
        <v>1315</v>
      </c>
      <c r="BV21" s="21" t="s">
        <v>1296</v>
      </c>
      <c r="BW21" s="21" t="s">
        <v>1713</v>
      </c>
      <c r="BX21" s="21" t="s">
        <v>527</v>
      </c>
      <c r="BY21" s="31">
        <v>378000</v>
      </c>
      <c r="BZ21" s="31">
        <v>378000</v>
      </c>
      <c r="CA21" t="s">
        <v>1704</v>
      </c>
      <c r="CB21" s="21" t="s">
        <v>1733</v>
      </c>
      <c r="CC21" s="21" t="s">
        <v>1734</v>
      </c>
      <c r="CD21" s="21" t="s">
        <v>1735</v>
      </c>
      <c r="CE21" s="21" t="s">
        <v>1465</v>
      </c>
      <c r="CF21" s="31">
        <v>276000</v>
      </c>
      <c r="CG21" s="31">
        <v>276000</v>
      </c>
      <c r="CH21" t="s">
        <v>1704</v>
      </c>
      <c r="CI21" s="21" t="s">
        <v>1737</v>
      </c>
      <c r="CJ21" s="21" t="s">
        <v>1738</v>
      </c>
      <c r="CK21" s="21" t="s">
        <v>1739</v>
      </c>
      <c r="CL21" s="21" t="s">
        <v>1728</v>
      </c>
      <c r="CM21" s="31">
        <v>286000</v>
      </c>
      <c r="CN21" s="31">
        <v>286000</v>
      </c>
      <c r="CO21" t="s">
        <v>1704</v>
      </c>
      <c r="CP21" s="21" t="s">
        <v>1742</v>
      </c>
      <c r="CQ21" s="21" t="s">
        <v>1743</v>
      </c>
      <c r="CR21" s="21" t="s">
        <v>1744</v>
      </c>
      <c r="CS21" s="21" t="s">
        <v>1529</v>
      </c>
      <c r="CT21" s="31">
        <v>260000</v>
      </c>
      <c r="CU21" s="31">
        <v>260000</v>
      </c>
      <c r="CV21" s="31" t="s">
        <v>1704</v>
      </c>
      <c r="DA21" s="31"/>
      <c r="DB21" s="31"/>
      <c r="DC21" s="31"/>
      <c r="DH21" s="31"/>
      <c r="DI21" s="31"/>
      <c r="DO21" s="31"/>
      <c r="DP21" s="31"/>
      <c r="DR21" t="s">
        <v>529</v>
      </c>
      <c r="DS21" t="s">
        <v>479</v>
      </c>
      <c r="DT21" t="s">
        <v>583</v>
      </c>
      <c r="DU21" s="29" t="s">
        <v>1869</v>
      </c>
      <c r="DV21" t="s">
        <v>172</v>
      </c>
      <c r="DW21" t="s">
        <v>327</v>
      </c>
      <c r="DX21" t="s">
        <v>170</v>
      </c>
      <c r="DY21" t="s">
        <v>167</v>
      </c>
      <c r="DZ21" t="s">
        <v>168</v>
      </c>
      <c r="EA21" s="22">
        <v>43083.486793981479</v>
      </c>
      <c r="EB21" t="s">
        <v>1716</v>
      </c>
      <c r="EC21" t="s">
        <v>1980</v>
      </c>
    </row>
    <row r="22" spans="1:133" x14ac:dyDescent="0.4">
      <c r="A22" s="30"/>
      <c r="B22" s="22">
        <v>42934.625694444447</v>
      </c>
      <c r="C22" s="22" t="s">
        <v>1430</v>
      </c>
      <c r="D22" s="30" t="s">
        <v>477</v>
      </c>
      <c r="E22" s="30" t="s">
        <v>582</v>
      </c>
      <c r="F22" s="30" t="s">
        <v>169</v>
      </c>
      <c r="G22" s="30" t="s">
        <v>171</v>
      </c>
      <c r="H22" t="s">
        <v>94</v>
      </c>
      <c r="I22" t="s">
        <v>1431</v>
      </c>
      <c r="J22" t="s">
        <v>604</v>
      </c>
      <c r="L22">
        <v>1</v>
      </c>
      <c r="M22" s="26">
        <v>2.04</v>
      </c>
      <c r="N22" t="s">
        <v>540</v>
      </c>
      <c r="Q22" s="29" t="s">
        <v>13</v>
      </c>
      <c r="R22" s="29" t="str">
        <f>IFERROR(MID(RADataTable[[#This Row],[RAtemplate]],1,LEN(RADataTable[[#This Row],[RAtemplate]])-8),"RA") &amp; " " &amp; RADataTable[[#This Row],[prop_id0]] &amp; " " &amp; RADataTable[[#This Row],[last0]]</f>
        <v>RA 1749855 Orabona</v>
      </c>
      <c r="U22" s="21" t="str">
        <f>IF(signer1="PD",IF(ISBLANK(RADataTable[[#This Row],[sign_blck_name]]),"",RADataTable[[#This Row],[sign_blck_name]]),IF(ISBLANK(signer1),"",signer1))</f>
        <v>Jack Snoeyink</v>
      </c>
      <c r="V22" s="29" t="str">
        <f t="shared" si="0"/>
        <v>Cognizant Program Director</v>
      </c>
      <c r="W22" s="15" t="str">
        <f>HYPERLINK("https://www.ejacket.nsf.gov/ej/showProposal.do?Continue=Y&amp;ID="&amp;RADataTable[[#This Row],[prop_id0]],"eJ")</f>
        <v>eJ</v>
      </c>
      <c r="X22" s="15" t="str">
        <f>HYPERLINK("mailto:"&amp;RADataTable[[#This Row],[email]]&amp;"&amp;subject=Your NSF Proposal:  "&amp;RADataTable[[#This Row],[Div]]&amp;" "&amp;RADataTable[[#This Row],[prop_id0]], RADataTable[[#This Row],[email]])</f>
        <v>francesco@cs.stonybrook.edu</v>
      </c>
      <c r="Y22" s="15" t="str">
        <f>HYPERLINK("mailto:"&amp;RADataTable[[#This Row],[allPIemail]]&amp;"&amp;subject=NSF Proposal:  "&amp;RADataTable[[#This Row],[Div]]&amp;" "&amp;RADataTable[[#This Row],[prop_id0]], "PIs@")</f>
        <v>PIs@</v>
      </c>
      <c r="Z22" t="s">
        <v>478</v>
      </c>
      <c r="AA22" t="s">
        <v>742</v>
      </c>
      <c r="AB22">
        <v>4</v>
      </c>
      <c r="AC22">
        <v>4</v>
      </c>
      <c r="AD22"/>
      <c r="AE22" s="21" t="str">
        <f>IF(RADataTable[[#This Row],[maxScore]]-RADataTable[[#This Row],[minScore]]&gt;4,"Y","")</f>
        <v/>
      </c>
      <c r="AF22" s="21">
        <v>7</v>
      </c>
      <c r="AG22" s="26">
        <v>8</v>
      </c>
      <c r="AH22">
        <v>9</v>
      </c>
      <c r="AI22" t="s">
        <v>1483</v>
      </c>
      <c r="AJ22" s="30">
        <v>43059.663888888892</v>
      </c>
      <c r="AK22" s="13">
        <v>516750</v>
      </c>
      <c r="AL22" s="13">
        <v>516750</v>
      </c>
      <c r="AM22">
        <v>0</v>
      </c>
      <c r="AN22" s="30">
        <v>43101</v>
      </c>
      <c r="AO22" s="21">
        <v>60</v>
      </c>
      <c r="AP22" s="21" t="s">
        <v>1484</v>
      </c>
      <c r="AS22" s="30"/>
      <c r="AT22" t="s">
        <v>714</v>
      </c>
      <c r="AU22" s="21" t="s">
        <v>539</v>
      </c>
      <c r="AV22" s="21">
        <v>4</v>
      </c>
      <c r="AW22" s="21" t="s">
        <v>1866</v>
      </c>
      <c r="AX22" s="30">
        <v>43060</v>
      </c>
      <c r="AY22" s="21" t="s">
        <v>1873</v>
      </c>
      <c r="AZ22" s="21" t="s">
        <v>1868</v>
      </c>
      <c r="BA22" s="21">
        <v>12</v>
      </c>
      <c r="BG22" s="30"/>
      <c r="BP22" s="30"/>
      <c r="BU22" t="s">
        <v>742</v>
      </c>
      <c r="BV22" s="21" t="s">
        <v>743</v>
      </c>
      <c r="BW22" s="21" t="s">
        <v>1481</v>
      </c>
      <c r="BX22" s="21" t="s">
        <v>1482</v>
      </c>
      <c r="BY22" s="31">
        <v>516750</v>
      </c>
      <c r="BZ22" s="31">
        <v>516750</v>
      </c>
      <c r="CA22" t="s">
        <v>1432</v>
      </c>
      <c r="CF22" s="31"/>
      <c r="CG22" s="31"/>
      <c r="CM22" s="31"/>
      <c r="CN22" s="31"/>
      <c r="CT22" s="31"/>
      <c r="CU22" s="31"/>
      <c r="CV22" s="31"/>
      <c r="DA22" s="31"/>
      <c r="DB22" s="31"/>
      <c r="DC22" s="31"/>
      <c r="DH22" s="31"/>
      <c r="DI22" s="31"/>
      <c r="DO22" s="31"/>
      <c r="DP22" s="31"/>
      <c r="DR22" t="s">
        <v>1850</v>
      </c>
      <c r="DS22" t="s">
        <v>479</v>
      </c>
      <c r="DT22" t="s">
        <v>583</v>
      </c>
      <c r="DU22" s="29" t="s">
        <v>1851</v>
      </c>
      <c r="DV22" t="s">
        <v>172</v>
      </c>
      <c r="DW22" t="s">
        <v>327</v>
      </c>
      <c r="DX22" t="s">
        <v>170</v>
      </c>
      <c r="DY22" t="s">
        <v>167</v>
      </c>
      <c r="DZ22" t="s">
        <v>168</v>
      </c>
      <c r="EA22" s="22">
        <v>43083.486793981479</v>
      </c>
      <c r="EB22" t="s">
        <v>1485</v>
      </c>
      <c r="EC22" t="s">
        <v>1874</v>
      </c>
    </row>
    <row r="23" spans="1:133" x14ac:dyDescent="0.4">
      <c r="A23" s="30"/>
      <c r="B23" s="22">
        <v>42935.536805555559</v>
      </c>
      <c r="C23" s="22" t="s">
        <v>1430</v>
      </c>
      <c r="D23" s="30" t="s">
        <v>477</v>
      </c>
      <c r="E23" s="30" t="s">
        <v>582</v>
      </c>
      <c r="F23" s="30" t="s">
        <v>169</v>
      </c>
      <c r="G23" s="30" t="s">
        <v>171</v>
      </c>
      <c r="H23" t="s">
        <v>94</v>
      </c>
      <c r="I23" t="s">
        <v>1431</v>
      </c>
      <c r="J23" t="s">
        <v>611</v>
      </c>
      <c r="L23">
        <v>2</v>
      </c>
      <c r="M23" s="26">
        <v>2.04</v>
      </c>
      <c r="N23" t="s">
        <v>542</v>
      </c>
      <c r="O23" t="s">
        <v>540</v>
      </c>
      <c r="Q23" s="29" t="s">
        <v>13</v>
      </c>
      <c r="R23" s="29" t="str">
        <f>IFERROR(MID(RADataTable[[#This Row],[RAtemplate]],1,LEN(RADataTable[[#This Row],[RAtemplate]])-8),"RA") &amp; " " &amp; RADataTable[[#This Row],[prop_id0]] &amp; " " &amp; RADataTable[[#This Row],[last0]]</f>
        <v>RA 1750443 Kol</v>
      </c>
      <c r="U23" s="21" t="str">
        <f>IF(signer1="PD",IF(ISBLANK(RADataTable[[#This Row],[sign_blck_name]]),"",RADataTable[[#This Row],[sign_blck_name]]),IF(ISBLANK(signer1),"",signer1))</f>
        <v>Tracy J. Kimbrel</v>
      </c>
      <c r="V23" s="29" t="str">
        <f t="shared" si="0"/>
        <v>Cognizant Program Director</v>
      </c>
      <c r="W23" s="15" t="str">
        <f>HYPERLINK("https://www.ejacket.nsf.gov/ej/showProposal.do?Continue=Y&amp;ID="&amp;RADataTable[[#This Row],[prop_id0]],"eJ")</f>
        <v>eJ</v>
      </c>
      <c r="X23" s="15" t="str">
        <f>HYPERLINK("mailto:"&amp;RADataTable[[#This Row],[email]]&amp;"&amp;subject=Your NSF Proposal:  "&amp;RADataTable[[#This Row],[Div]]&amp;" "&amp;RADataTable[[#This Row],[prop_id0]], RADataTable[[#This Row],[email]])</f>
        <v>gillat.kol@gmail.com</v>
      </c>
      <c r="Y23" s="15" t="str">
        <f>HYPERLINK("mailto:"&amp;RADataTable[[#This Row],[allPIemail]]&amp;"&amp;subject=NSF Proposal:  "&amp;RADataTable[[#This Row],[Div]]&amp;" "&amp;RADataTable[[#This Row],[prop_id0]], "PIs@")</f>
        <v>PIs@</v>
      </c>
      <c r="Z23" t="s">
        <v>478</v>
      </c>
      <c r="AA23" t="s">
        <v>896</v>
      </c>
      <c r="AB23">
        <v>9</v>
      </c>
      <c r="AC23">
        <v>9</v>
      </c>
      <c r="AD23"/>
      <c r="AE23" s="21" t="str">
        <f>IF(RADataTable[[#This Row],[maxScore]]-RADataTable[[#This Row],[minScore]]&gt;4,"Y","")</f>
        <v/>
      </c>
      <c r="AF23" s="21">
        <v>5</v>
      </c>
      <c r="AG23" s="26">
        <v>6.2222222222222223</v>
      </c>
      <c r="AH23">
        <v>9</v>
      </c>
      <c r="AI23" t="s">
        <v>1545</v>
      </c>
      <c r="AJ23" s="30">
        <v>43059.575694444444</v>
      </c>
      <c r="AK23" s="13">
        <v>550000</v>
      </c>
      <c r="AL23" s="13">
        <v>550000</v>
      </c>
      <c r="AM23">
        <v>0</v>
      </c>
      <c r="AN23" s="30">
        <v>43132</v>
      </c>
      <c r="AO23" s="21">
        <v>60</v>
      </c>
      <c r="AP23" s="21" t="s">
        <v>1546</v>
      </c>
      <c r="AS23" s="30"/>
      <c r="AT23" t="s">
        <v>899</v>
      </c>
      <c r="AU23" s="21" t="s">
        <v>541</v>
      </c>
      <c r="AV23" s="21">
        <v>10</v>
      </c>
      <c r="AW23" s="21" t="s">
        <v>1900</v>
      </c>
      <c r="AX23" s="30">
        <v>43046</v>
      </c>
      <c r="AY23" s="21" t="s">
        <v>1901</v>
      </c>
      <c r="AZ23" s="21" t="s">
        <v>1902</v>
      </c>
      <c r="BA23" s="21">
        <v>9</v>
      </c>
      <c r="BC23" s="21" t="s">
        <v>714</v>
      </c>
      <c r="BD23" s="21" t="s">
        <v>539</v>
      </c>
      <c r="BE23" s="21">
        <v>4</v>
      </c>
      <c r="BF23" s="21" t="s">
        <v>1866</v>
      </c>
      <c r="BG23" s="30">
        <v>43060</v>
      </c>
      <c r="BH23" s="21" t="s">
        <v>1864</v>
      </c>
      <c r="BI23" s="21" t="s">
        <v>1868</v>
      </c>
      <c r="BJ23" s="21">
        <v>12</v>
      </c>
      <c r="BP23" s="30"/>
      <c r="BU23" t="s">
        <v>896</v>
      </c>
      <c r="BV23" s="21" t="s">
        <v>897</v>
      </c>
      <c r="BW23" s="21" t="s">
        <v>1544</v>
      </c>
      <c r="BX23" s="21" t="s">
        <v>552</v>
      </c>
      <c r="BY23" s="31">
        <v>550000</v>
      </c>
      <c r="BZ23" s="31">
        <v>550000</v>
      </c>
      <c r="CA23" t="s">
        <v>1469</v>
      </c>
      <c r="CF23" s="31"/>
      <c r="CG23" s="31"/>
      <c r="CM23" s="31"/>
      <c r="CN23" s="31"/>
      <c r="CT23" s="31"/>
      <c r="CU23" s="31"/>
      <c r="CV23" s="31"/>
      <c r="DA23" s="31"/>
      <c r="DB23" s="31"/>
      <c r="DC23" s="31"/>
      <c r="DH23" s="31"/>
      <c r="DI23" s="31"/>
      <c r="DO23" s="31"/>
      <c r="DP23" s="31"/>
      <c r="DR23" t="s">
        <v>1850</v>
      </c>
      <c r="DS23" t="s">
        <v>479</v>
      </c>
      <c r="DT23" t="s">
        <v>583</v>
      </c>
      <c r="DU23" s="29" t="s">
        <v>1869</v>
      </c>
      <c r="DV23" t="s">
        <v>172</v>
      </c>
      <c r="DW23" t="s">
        <v>327</v>
      </c>
      <c r="DX23" t="s">
        <v>170</v>
      </c>
      <c r="DY23" t="s">
        <v>167</v>
      </c>
      <c r="DZ23" t="s">
        <v>168</v>
      </c>
      <c r="EA23" s="22">
        <v>43083.486793981479</v>
      </c>
      <c r="EB23" t="s">
        <v>1547</v>
      </c>
      <c r="EC23" t="s">
        <v>1903</v>
      </c>
    </row>
    <row r="24" spans="1:133" x14ac:dyDescent="0.4">
      <c r="A24" s="30"/>
      <c r="B24" s="22">
        <v>42955.429861111108</v>
      </c>
      <c r="C24" s="22" t="s">
        <v>1621</v>
      </c>
      <c r="D24" s="30" t="s">
        <v>477</v>
      </c>
      <c r="E24" s="30" t="s">
        <v>578</v>
      </c>
      <c r="F24" s="30" t="s">
        <v>169</v>
      </c>
      <c r="G24" s="30" t="s">
        <v>171</v>
      </c>
      <c r="H24" t="s">
        <v>94</v>
      </c>
      <c r="I24" t="s">
        <v>1630</v>
      </c>
      <c r="J24" t="s">
        <v>654</v>
      </c>
      <c r="L24">
        <v>1</v>
      </c>
      <c r="M24" s="26">
        <v>2.04</v>
      </c>
      <c r="N24" t="s">
        <v>540</v>
      </c>
      <c r="Q24" s="29" t="s">
        <v>13</v>
      </c>
      <c r="R24" s="29" t="str">
        <f>IFERROR(MID(RADataTable[[#This Row],[RAtemplate]],1,LEN(RADataTable[[#This Row],[RAtemplate]])-8),"RA") &amp; " " &amp; RADataTable[[#This Row],[prop_id0]] &amp; " " &amp; RADataTable[[#This Row],[last0]]</f>
        <v>RA 1755548 Zhou</v>
      </c>
      <c r="U24" s="21" t="str">
        <f>IF(signer1="PD",IF(ISBLANK(RADataTable[[#This Row],[sign_blck_name]]),"",RADataTable[[#This Row],[sign_blck_name]]),IF(ISBLANK(signer1),"",signer1))</f>
        <v>Rahul Shah</v>
      </c>
      <c r="V24" s="29" t="str">
        <f t="shared" si="0"/>
        <v>Cognizant Program Director</v>
      </c>
      <c r="W24" s="15" t="str">
        <f>HYPERLINK("https://www.ejacket.nsf.gov/ej/showProposal.do?Continue=Y&amp;ID="&amp;RADataTable[[#This Row],[prop_id0]],"eJ")</f>
        <v>eJ</v>
      </c>
      <c r="X24" s="15" t="str">
        <f>HYPERLINK("mailto:"&amp;RADataTable[[#This Row],[email]]&amp;"&amp;subject=Your NSF Proposal:  "&amp;RADataTable[[#This Row],[Div]]&amp;" "&amp;RADataTable[[#This Row],[prop_id0]], RADataTable[[#This Row],[email]])</f>
        <v>yzhoucs@indiana.edu</v>
      </c>
      <c r="Y24" s="15" t="str">
        <f>HYPERLINK("mailto:"&amp;RADataTable[[#This Row],[allPIemail]]&amp;"&amp;subject=NSF Proposal:  "&amp;RADataTable[[#This Row],[Div]]&amp;" "&amp;RADataTable[[#This Row],[prop_id0]], "PIs@")</f>
        <v>PIs@</v>
      </c>
      <c r="Z24" t="s">
        <v>478</v>
      </c>
      <c r="AA24" t="s">
        <v>1133</v>
      </c>
      <c r="AB24">
        <v>3</v>
      </c>
      <c r="AC24">
        <v>3</v>
      </c>
      <c r="AD24"/>
      <c r="AE24" s="21" t="str">
        <f>IF(RADataTable[[#This Row],[maxScore]]-RADataTable[[#This Row],[minScore]]&gt;4,"Y","")</f>
        <v/>
      </c>
      <c r="AF24" s="21">
        <v>5</v>
      </c>
      <c r="AG24" s="26">
        <v>6</v>
      </c>
      <c r="AH24">
        <v>7</v>
      </c>
      <c r="AI24" t="s">
        <v>1643</v>
      </c>
      <c r="AJ24" s="30">
        <v>43060.397916666669</v>
      </c>
      <c r="AK24" s="13">
        <v>174974</v>
      </c>
      <c r="AL24" s="13">
        <v>174974</v>
      </c>
      <c r="AM24">
        <v>0</v>
      </c>
      <c r="AN24" s="30">
        <v>43101</v>
      </c>
      <c r="AO24" s="21">
        <v>24</v>
      </c>
      <c r="AP24" s="21" t="s">
        <v>1644</v>
      </c>
      <c r="AS24" s="30"/>
      <c r="AT24" t="s">
        <v>714</v>
      </c>
      <c r="AU24" s="21" t="s">
        <v>539</v>
      </c>
      <c r="AV24" s="21">
        <v>4</v>
      </c>
      <c r="AW24" s="21" t="s">
        <v>1866</v>
      </c>
      <c r="AX24" s="30">
        <v>43060</v>
      </c>
      <c r="AY24" s="21" t="s">
        <v>1943</v>
      </c>
      <c r="AZ24" s="21" t="s">
        <v>1868</v>
      </c>
      <c r="BA24" s="21">
        <v>12</v>
      </c>
      <c r="BG24" s="30"/>
      <c r="BP24" s="30"/>
      <c r="BU24" t="s">
        <v>1133</v>
      </c>
      <c r="BV24" s="21" t="s">
        <v>1134</v>
      </c>
      <c r="BW24" s="21" t="s">
        <v>1642</v>
      </c>
      <c r="BX24" s="21" t="s">
        <v>566</v>
      </c>
      <c r="BY24" s="31">
        <v>174974</v>
      </c>
      <c r="BZ24" s="31">
        <v>174974</v>
      </c>
      <c r="CA24" t="s">
        <v>1631</v>
      </c>
      <c r="CF24" s="31"/>
      <c r="CG24" s="31"/>
      <c r="CM24" s="31"/>
      <c r="CN24" s="31"/>
      <c r="CT24" s="31"/>
      <c r="CU24" s="31"/>
      <c r="CV24" s="31"/>
      <c r="DA24" s="31"/>
      <c r="DB24" s="31"/>
      <c r="DC24" s="31"/>
      <c r="DH24" s="31"/>
      <c r="DI24" s="31"/>
      <c r="DO24" s="31"/>
      <c r="DP24" s="31"/>
      <c r="DR24" t="s">
        <v>1936</v>
      </c>
      <c r="DS24" t="s">
        <v>479</v>
      </c>
      <c r="DT24" t="s">
        <v>579</v>
      </c>
      <c r="DU24" s="29" t="s">
        <v>1856</v>
      </c>
      <c r="DV24" t="s">
        <v>172</v>
      </c>
      <c r="DW24" t="s">
        <v>327</v>
      </c>
      <c r="DX24" t="s">
        <v>170</v>
      </c>
      <c r="DY24" t="s">
        <v>167</v>
      </c>
      <c r="DZ24" t="s">
        <v>168</v>
      </c>
      <c r="EA24" s="22">
        <v>43083.486793981479</v>
      </c>
      <c r="EB24" t="s">
        <v>1645</v>
      </c>
      <c r="EC24" t="s">
        <v>1944</v>
      </c>
    </row>
    <row r="25" spans="1:133" x14ac:dyDescent="0.4">
      <c r="A25" s="30"/>
      <c r="B25" s="22">
        <v>43005.713194444441</v>
      </c>
      <c r="C25" s="22" t="s">
        <v>524</v>
      </c>
      <c r="D25" s="30" t="s">
        <v>477</v>
      </c>
      <c r="E25" s="30" t="s">
        <v>582</v>
      </c>
      <c r="F25" s="30" t="s">
        <v>169</v>
      </c>
      <c r="G25" s="30" t="s">
        <v>171</v>
      </c>
      <c r="H25" t="s">
        <v>94</v>
      </c>
      <c r="I25" t="s">
        <v>525</v>
      </c>
      <c r="J25" t="s">
        <v>654</v>
      </c>
      <c r="L25">
        <v>1</v>
      </c>
      <c r="M25" s="26">
        <v>2.04</v>
      </c>
      <c r="N25" t="s">
        <v>540</v>
      </c>
      <c r="Q25" s="29" t="s">
        <v>13</v>
      </c>
      <c r="R25" s="29" t="str">
        <f>IFERROR(MID(RADataTable[[#This Row],[RAtemplate]],1,LEN(RADataTable[[#This Row],[RAtemplate]])-8),"RA") &amp; " " &amp; RADataTable[[#This Row],[prop_id0]] &amp; " " &amp; RADataTable[[#This Row],[last0]]</f>
        <v>RA 1764032 Srebro</v>
      </c>
      <c r="U25" s="21" t="str">
        <f>IF(signer1="PD",IF(ISBLANK(RADataTable[[#This Row],[sign_blck_name]]),"",RADataTable[[#This Row],[sign_blck_name]]),IF(ISBLANK(signer1),"",signer1))</f>
        <v>Rahul Shah</v>
      </c>
      <c r="V25" s="29" t="str">
        <f t="shared" si="0"/>
        <v>Cognizant Program Director</v>
      </c>
      <c r="W25" s="15" t="str">
        <f>HYPERLINK("https://www.ejacket.nsf.gov/ej/showProposal.do?Continue=Y&amp;ID="&amp;RADataTable[[#This Row],[prop_id0]],"eJ")</f>
        <v>eJ</v>
      </c>
      <c r="X25" s="15" t="str">
        <f>HYPERLINK("mailto:"&amp;RADataTable[[#This Row],[email]]&amp;"&amp;subject=Your NSF Proposal:  "&amp;RADataTable[[#This Row],[Div]]&amp;" "&amp;RADataTable[[#This Row],[prop_id0]], RADataTable[[#This Row],[email]])</f>
        <v>nati@ttic.edu</v>
      </c>
      <c r="Y25" s="15" t="str">
        <f>HYPERLINK("mailto:"&amp;RADataTable[[#This Row],[allPIemail]]&amp;"&amp;subject=NSF Proposal:  "&amp;RADataTable[[#This Row],[Div]]&amp;" "&amp;RADataTable[[#This Row],[prop_id0]], "PIs@")</f>
        <v>PIs@</v>
      </c>
      <c r="Z25" t="s">
        <v>478</v>
      </c>
      <c r="AA25" t="s">
        <v>1403</v>
      </c>
      <c r="AB25">
        <v>4</v>
      </c>
      <c r="AC25">
        <v>4</v>
      </c>
      <c r="AD25"/>
      <c r="AE25" s="21" t="str">
        <f>IF(RADataTable[[#This Row],[maxScore]]-RADataTable[[#This Row],[minScore]]&gt;4,"Y","")</f>
        <v/>
      </c>
      <c r="AF25" s="21">
        <v>7</v>
      </c>
      <c r="AG25" s="26">
        <v>8</v>
      </c>
      <c r="AH25">
        <v>9</v>
      </c>
      <c r="AI25" t="s">
        <v>1731</v>
      </c>
      <c r="AJ25" s="30">
        <v>43080.379861111112</v>
      </c>
      <c r="AK25" s="13">
        <v>1198379</v>
      </c>
      <c r="AL25" s="13">
        <v>1198379</v>
      </c>
      <c r="AM25">
        <v>0</v>
      </c>
      <c r="AN25" s="30">
        <v>43313</v>
      </c>
      <c r="AO25" s="21">
        <v>36</v>
      </c>
      <c r="AP25" s="21" t="s">
        <v>1824</v>
      </c>
      <c r="AS25" s="30"/>
      <c r="AT25" t="s">
        <v>1262</v>
      </c>
      <c r="AU25" s="21" t="s">
        <v>539</v>
      </c>
      <c r="AV25" s="21">
        <v>4</v>
      </c>
      <c r="AW25" s="21" t="s">
        <v>1971</v>
      </c>
      <c r="AX25" s="30">
        <v>43081</v>
      </c>
      <c r="AY25" s="21" t="s">
        <v>1979</v>
      </c>
      <c r="AZ25" s="21" t="s">
        <v>1973</v>
      </c>
      <c r="BA25" s="21">
        <v>9</v>
      </c>
      <c r="BB25" s="21">
        <v>1</v>
      </c>
      <c r="BG25" s="30"/>
      <c r="BP25" s="30"/>
      <c r="BU25" t="s">
        <v>1403</v>
      </c>
      <c r="BV25" s="21" t="s">
        <v>1404</v>
      </c>
      <c r="BW25" s="21" t="s">
        <v>1822</v>
      </c>
      <c r="BX25" s="21" t="s">
        <v>1823</v>
      </c>
      <c r="BY25" s="31">
        <v>541101</v>
      </c>
      <c r="BZ25" s="31">
        <v>541101</v>
      </c>
      <c r="CA25" t="s">
        <v>1704</v>
      </c>
      <c r="CB25" s="21" t="s">
        <v>1826</v>
      </c>
      <c r="CC25" s="21" t="s">
        <v>1827</v>
      </c>
      <c r="CD25" s="21" t="s">
        <v>1828</v>
      </c>
      <c r="CE25" s="21" t="s">
        <v>497</v>
      </c>
      <c r="CF25" s="31">
        <v>329074</v>
      </c>
      <c r="CG25" s="31">
        <v>329074</v>
      </c>
      <c r="CH25" t="s">
        <v>1704</v>
      </c>
      <c r="CI25" s="21" t="s">
        <v>1830</v>
      </c>
      <c r="CJ25" s="21" t="s">
        <v>937</v>
      </c>
      <c r="CK25" s="21" t="s">
        <v>1554</v>
      </c>
      <c r="CL25" s="21" t="s">
        <v>501</v>
      </c>
      <c r="CM25" s="31">
        <v>328204</v>
      </c>
      <c r="CN25" s="31">
        <v>328204</v>
      </c>
      <c r="CO25" t="s">
        <v>1704</v>
      </c>
      <c r="CT25" s="31"/>
      <c r="CU25" s="31"/>
      <c r="CV25" s="31"/>
      <c r="DA25" s="31"/>
      <c r="DB25" s="31"/>
      <c r="DC25" s="31"/>
      <c r="DH25" s="31"/>
      <c r="DI25" s="31"/>
      <c r="DO25" s="31"/>
      <c r="DP25" s="31"/>
      <c r="DR25" t="s">
        <v>529</v>
      </c>
      <c r="DS25" t="s">
        <v>479</v>
      </c>
      <c r="DT25" t="s">
        <v>583</v>
      </c>
      <c r="DU25" s="29" t="s">
        <v>1856</v>
      </c>
      <c r="DV25" t="s">
        <v>172</v>
      </c>
      <c r="DW25" t="s">
        <v>327</v>
      </c>
      <c r="DX25" t="s">
        <v>170</v>
      </c>
      <c r="DY25" t="s">
        <v>167</v>
      </c>
      <c r="DZ25" t="s">
        <v>168</v>
      </c>
      <c r="EA25" s="22">
        <v>43083.486793981479</v>
      </c>
      <c r="EB25" t="s">
        <v>1825</v>
      </c>
      <c r="EC25" t="s">
        <v>1998</v>
      </c>
    </row>
    <row r="26" spans="1:133" x14ac:dyDescent="0.4">
      <c r="A26" s="30"/>
      <c r="B26" s="22">
        <v>42935.374305555553</v>
      </c>
      <c r="C26" s="22" t="s">
        <v>1430</v>
      </c>
      <c r="D26" s="30" t="s">
        <v>477</v>
      </c>
      <c r="E26" s="30" t="s">
        <v>582</v>
      </c>
      <c r="F26" s="30" t="s">
        <v>169</v>
      </c>
      <c r="G26" s="30" t="s">
        <v>171</v>
      </c>
      <c r="H26" t="s">
        <v>94</v>
      </c>
      <c r="I26" t="s">
        <v>1431</v>
      </c>
      <c r="J26" t="s">
        <v>654</v>
      </c>
      <c r="L26">
        <v>1</v>
      </c>
      <c r="M26" s="26">
        <v>2.0499999999999998</v>
      </c>
      <c r="N26" t="s">
        <v>540</v>
      </c>
      <c r="Q26" s="29" t="s">
        <v>13</v>
      </c>
      <c r="R26" s="29" t="str">
        <f>IFERROR(MID(RADataTable[[#This Row],[RAtemplate]],1,LEN(RADataTable[[#This Row],[RAtemplate]])-8),"RA") &amp; " " &amp; RADataTable[[#This Row],[prop_id0]] &amp; " " &amp; RADataTable[[#This Row],[last0]]</f>
        <v>RA 1750127 Nagarajan</v>
      </c>
      <c r="U26" s="21" t="str">
        <f>IF(signer1="PD",IF(ISBLANK(RADataTable[[#This Row],[sign_blck_name]]),"",RADataTable[[#This Row],[sign_blck_name]]),IF(ISBLANK(signer1),"",signer1))</f>
        <v>Rahul Shah</v>
      </c>
      <c r="V26" s="29" t="str">
        <f t="shared" si="0"/>
        <v>Cognizant Program Director</v>
      </c>
      <c r="W26" s="15" t="str">
        <f>HYPERLINK("https://www.ejacket.nsf.gov/ej/showProposal.do?Continue=Y&amp;ID="&amp;RADataTable[[#This Row],[prop_id0]],"eJ")</f>
        <v>eJ</v>
      </c>
      <c r="X26" s="15" t="str">
        <f>HYPERLINK("mailto:"&amp;RADataTable[[#This Row],[email]]&amp;"&amp;subject=Your NSF Proposal:  "&amp;RADataTable[[#This Row],[Div]]&amp;" "&amp;RADataTable[[#This Row],[prop_id0]], RADataTable[[#This Row],[email]])</f>
        <v>viswa@umich.edu</v>
      </c>
      <c r="Y26" s="15" t="str">
        <f>HYPERLINK("mailto:"&amp;RADataTable[[#This Row],[allPIemail]]&amp;"&amp;subject=NSF Proposal:  "&amp;RADataTable[[#This Row],[Div]]&amp;" "&amp;RADataTable[[#This Row],[prop_id0]], "PIs@")</f>
        <v>PIs@</v>
      </c>
      <c r="Z26" t="s">
        <v>478</v>
      </c>
      <c r="AA26" t="s">
        <v>843</v>
      </c>
      <c r="AB26">
        <v>4</v>
      </c>
      <c r="AC26">
        <v>4</v>
      </c>
      <c r="AD26"/>
      <c r="AE26" s="21" t="str">
        <f>IF(RADataTable[[#This Row],[maxScore]]-RADataTable[[#This Row],[minScore]]&gt;4,"Y","")</f>
        <v/>
      </c>
      <c r="AF26" s="21">
        <v>5</v>
      </c>
      <c r="AG26" s="26">
        <v>7</v>
      </c>
      <c r="AH26">
        <v>9</v>
      </c>
      <c r="AI26" t="s">
        <v>1473</v>
      </c>
      <c r="AJ26" s="30">
        <v>43032.519444444442</v>
      </c>
      <c r="AK26" s="13">
        <v>524840</v>
      </c>
      <c r="AL26" s="13">
        <v>524840</v>
      </c>
      <c r="AM26">
        <v>0</v>
      </c>
      <c r="AN26" s="30">
        <v>43221</v>
      </c>
      <c r="AO26" s="21">
        <v>60</v>
      </c>
      <c r="AP26" s="21" t="s">
        <v>1517</v>
      </c>
      <c r="AS26" s="30"/>
      <c r="AT26" t="s">
        <v>605</v>
      </c>
      <c r="AU26" s="21" t="s">
        <v>539</v>
      </c>
      <c r="AV26" s="21">
        <v>5</v>
      </c>
      <c r="AW26" s="21" t="s">
        <v>1847</v>
      </c>
      <c r="AX26" s="30">
        <v>43032</v>
      </c>
      <c r="AY26" s="21" t="s">
        <v>1867</v>
      </c>
      <c r="AZ26" s="21" t="s">
        <v>1849</v>
      </c>
      <c r="BA26" s="21">
        <v>14</v>
      </c>
      <c r="BG26" s="30"/>
      <c r="BP26" s="30"/>
      <c r="BU26" t="s">
        <v>843</v>
      </c>
      <c r="BV26" s="21" t="s">
        <v>844</v>
      </c>
      <c r="BW26" s="21" t="s">
        <v>1516</v>
      </c>
      <c r="BX26" s="21" t="s">
        <v>307</v>
      </c>
      <c r="BY26" s="31">
        <v>524840</v>
      </c>
      <c r="BZ26" s="31">
        <v>524840</v>
      </c>
      <c r="CA26" t="s">
        <v>584</v>
      </c>
      <c r="CF26" s="31"/>
      <c r="CG26" s="31"/>
      <c r="CM26" s="31"/>
      <c r="CN26" s="31"/>
      <c r="CT26" s="31"/>
      <c r="CU26" s="31"/>
      <c r="CV26" s="31"/>
      <c r="DA26" s="31"/>
      <c r="DB26" s="31"/>
      <c r="DC26" s="31"/>
      <c r="DH26" s="31"/>
      <c r="DI26" s="31"/>
      <c r="DO26" s="31"/>
      <c r="DP26" s="31"/>
      <c r="DR26" t="s">
        <v>1850</v>
      </c>
      <c r="DS26" t="s">
        <v>479</v>
      </c>
      <c r="DT26" t="s">
        <v>583</v>
      </c>
      <c r="DU26" s="29" t="s">
        <v>1856</v>
      </c>
      <c r="DV26" t="s">
        <v>172</v>
      </c>
      <c r="DW26" t="s">
        <v>327</v>
      </c>
      <c r="DX26" t="s">
        <v>170</v>
      </c>
      <c r="DY26" t="s">
        <v>167</v>
      </c>
      <c r="DZ26" t="s">
        <v>168</v>
      </c>
      <c r="EA26" s="22">
        <v>43083.486793981479</v>
      </c>
      <c r="EB26" t="s">
        <v>1518</v>
      </c>
      <c r="EC26" t="s">
        <v>1890</v>
      </c>
    </row>
    <row r="27" spans="1:133" x14ac:dyDescent="0.4">
      <c r="A27" s="30"/>
      <c r="B27" s="22">
        <v>43004.474999999999</v>
      </c>
      <c r="C27" s="22" t="s">
        <v>524</v>
      </c>
      <c r="D27" s="30" t="s">
        <v>477</v>
      </c>
      <c r="E27" s="30" t="s">
        <v>582</v>
      </c>
      <c r="F27" s="30" t="s">
        <v>169</v>
      </c>
      <c r="G27" s="30" t="s">
        <v>171</v>
      </c>
      <c r="H27" t="s">
        <v>94</v>
      </c>
      <c r="I27" t="s">
        <v>525</v>
      </c>
      <c r="J27" t="s">
        <v>611</v>
      </c>
      <c r="L27">
        <v>1</v>
      </c>
      <c r="M27" s="26">
        <v>2.0499999999999998</v>
      </c>
      <c r="N27" t="s">
        <v>540</v>
      </c>
      <c r="Q27" s="29" t="s">
        <v>13</v>
      </c>
      <c r="R27" s="29" t="str">
        <f>IFERROR(MID(RADataTable[[#This Row],[RAtemplate]],1,LEN(RADataTable[[#This Row],[RAtemplate]])-8),"RA") &amp; " " &amp; RADataTable[[#This Row],[prop_id0]] &amp; " " &amp; RADataTable[[#This Row],[last0]]</f>
        <v>RA 1763307 ROTH</v>
      </c>
      <c r="U27" s="21" t="str">
        <f>IF(signer1="PD",IF(ISBLANK(RADataTable[[#This Row],[sign_blck_name]]),"",RADataTable[[#This Row],[sign_blck_name]]),IF(ISBLANK(signer1),"",signer1))</f>
        <v>Tracy J. Kimbrel</v>
      </c>
      <c r="V27" s="29" t="str">
        <f t="shared" si="0"/>
        <v>Cognizant Program Director</v>
      </c>
      <c r="W27" s="15" t="str">
        <f>HYPERLINK("https://www.ejacket.nsf.gov/ej/showProposal.do?Continue=Y&amp;ID="&amp;RADataTable[[#This Row],[prop_id0]],"eJ")</f>
        <v>eJ</v>
      </c>
      <c r="X27" s="15" t="str">
        <f>HYPERLINK("mailto:"&amp;RADataTable[[#This Row],[email]]&amp;"&amp;subject=Your NSF Proposal:  "&amp;RADataTable[[#This Row],[Div]]&amp;" "&amp;RADataTable[[#This Row],[prop_id0]], RADataTable[[#This Row],[email]])</f>
        <v>aaroth@cis.upenn.edu</v>
      </c>
      <c r="Y27" s="15" t="str">
        <f>HYPERLINK("mailto:"&amp;RADataTable[[#This Row],[allPIemail]]&amp;"&amp;subject=NSF Proposal:  "&amp;RADataTable[[#This Row],[Div]]&amp;" "&amp;RADataTable[[#This Row],[prop_id0]], "PIs@")</f>
        <v>PIs@</v>
      </c>
      <c r="Z27" t="s">
        <v>478</v>
      </c>
      <c r="AA27" t="s">
        <v>1295</v>
      </c>
      <c r="AB27">
        <v>4</v>
      </c>
      <c r="AC27">
        <v>4</v>
      </c>
      <c r="AD27"/>
      <c r="AE27" s="21" t="str">
        <f>IF(RADataTable[[#This Row],[maxScore]]-RADataTable[[#This Row],[minScore]]&gt;4,"Y","")</f>
        <v/>
      </c>
      <c r="AF27" s="21">
        <v>5</v>
      </c>
      <c r="AG27" s="26">
        <v>7</v>
      </c>
      <c r="AH27">
        <v>8</v>
      </c>
      <c r="AI27" t="s">
        <v>1714</v>
      </c>
      <c r="AJ27" s="30">
        <v>43080.712500000001</v>
      </c>
      <c r="AK27" s="13">
        <v>1200000</v>
      </c>
      <c r="AL27" s="13">
        <v>1200000</v>
      </c>
      <c r="AM27">
        <v>0</v>
      </c>
      <c r="AN27" s="30">
        <v>43313</v>
      </c>
      <c r="AO27" s="21">
        <v>48</v>
      </c>
      <c r="AP27" s="21" t="s">
        <v>1715</v>
      </c>
      <c r="AS27" s="30"/>
      <c r="AT27" t="s">
        <v>1262</v>
      </c>
      <c r="AU27" s="21" t="s">
        <v>539</v>
      </c>
      <c r="AV27" s="21">
        <v>5</v>
      </c>
      <c r="AW27" s="21" t="s">
        <v>1971</v>
      </c>
      <c r="AX27" s="30">
        <v>43081</v>
      </c>
      <c r="AY27" s="21" t="s">
        <v>1976</v>
      </c>
      <c r="AZ27" s="21" t="s">
        <v>1973</v>
      </c>
      <c r="BA27" s="21">
        <v>9</v>
      </c>
      <c r="BG27" s="30"/>
      <c r="BP27" s="30"/>
      <c r="BU27" t="s">
        <v>1295</v>
      </c>
      <c r="BV27" s="21" t="s">
        <v>1296</v>
      </c>
      <c r="BW27" s="21" t="s">
        <v>1713</v>
      </c>
      <c r="BX27" s="21" t="s">
        <v>527</v>
      </c>
      <c r="BY27" s="31">
        <v>950000</v>
      </c>
      <c r="BZ27" s="31">
        <v>950000</v>
      </c>
      <c r="CA27" t="s">
        <v>1712</v>
      </c>
      <c r="CB27" s="21" t="s">
        <v>1717</v>
      </c>
      <c r="CC27" s="21" t="s">
        <v>1718</v>
      </c>
      <c r="CD27" s="21" t="s">
        <v>1719</v>
      </c>
      <c r="CE27" s="21" t="s">
        <v>499</v>
      </c>
      <c r="CF27" s="31">
        <v>250000</v>
      </c>
      <c r="CG27" s="31">
        <v>250000</v>
      </c>
      <c r="CH27" t="s">
        <v>1712</v>
      </c>
      <c r="CM27" s="31"/>
      <c r="CN27" s="31"/>
      <c r="CT27" s="31"/>
      <c r="CU27" s="31"/>
      <c r="CV27" s="31"/>
      <c r="DA27" s="31"/>
      <c r="DB27" s="31"/>
      <c r="DC27" s="31"/>
      <c r="DH27" s="31"/>
      <c r="DI27" s="31"/>
      <c r="DO27" s="31"/>
      <c r="DP27" s="31"/>
      <c r="DR27" t="s">
        <v>529</v>
      </c>
      <c r="DS27" t="s">
        <v>479</v>
      </c>
      <c r="DT27" t="s">
        <v>583</v>
      </c>
      <c r="DU27" s="29" t="s">
        <v>1869</v>
      </c>
      <c r="DV27" t="s">
        <v>172</v>
      </c>
      <c r="DW27" t="s">
        <v>327</v>
      </c>
      <c r="DX27" t="s">
        <v>170</v>
      </c>
      <c r="DY27" t="s">
        <v>167</v>
      </c>
      <c r="DZ27" t="s">
        <v>168</v>
      </c>
      <c r="EA27" s="22">
        <v>43083.486793981479</v>
      </c>
      <c r="EB27" t="s">
        <v>1716</v>
      </c>
      <c r="EC27" t="s">
        <v>1977</v>
      </c>
    </row>
    <row r="28" spans="1:133" x14ac:dyDescent="0.4">
      <c r="A28" s="30"/>
      <c r="B28" s="22">
        <v>42934.524305555555</v>
      </c>
      <c r="C28" s="22" t="s">
        <v>1430</v>
      </c>
      <c r="D28" s="30" t="s">
        <v>477</v>
      </c>
      <c r="E28" s="30" t="s">
        <v>582</v>
      </c>
      <c r="F28" s="30" t="s">
        <v>169</v>
      </c>
      <c r="G28" s="30" t="s">
        <v>171</v>
      </c>
      <c r="H28" t="s">
        <v>94</v>
      </c>
      <c r="I28" t="s">
        <v>1431</v>
      </c>
      <c r="J28" t="s">
        <v>611</v>
      </c>
      <c r="L28">
        <v>1</v>
      </c>
      <c r="M28" s="26">
        <v>2.06</v>
      </c>
      <c r="N28" t="s">
        <v>540</v>
      </c>
      <c r="Q28" s="29" t="s">
        <v>13</v>
      </c>
      <c r="R28" s="29" t="str">
        <f>IFERROR(MID(RADataTable[[#This Row],[RAtemplate]],1,LEN(RADataTable[[#This Row],[RAtemplate]])-8),"RA") &amp; " " &amp; RADataTable[[#This Row],[prop_id0]] &amp; " " &amp; RADataTable[[#This Row],[last0]]</f>
        <v>RA 1749748 Chandrasekaran</v>
      </c>
      <c r="U28" s="21" t="str">
        <f>IF(signer1="PD",IF(ISBLANK(RADataTable[[#This Row],[sign_blck_name]]),"",RADataTable[[#This Row],[sign_blck_name]]),IF(ISBLANK(signer1),"",signer1))</f>
        <v>Tracy J. Kimbrel</v>
      </c>
      <c r="V28" s="29" t="str">
        <f t="shared" si="0"/>
        <v>Cognizant Program Director</v>
      </c>
      <c r="W28" s="15" t="str">
        <f>HYPERLINK("https://www.ejacket.nsf.gov/ej/showProposal.do?Continue=Y&amp;ID="&amp;RADataTable[[#This Row],[prop_id0]],"eJ")</f>
        <v>eJ</v>
      </c>
      <c r="X28" s="15" t="str">
        <f>HYPERLINK("mailto:"&amp;RADataTable[[#This Row],[email]]&amp;"&amp;subject=Your NSF Proposal:  "&amp;RADataTable[[#This Row],[Div]]&amp;" "&amp;RADataTable[[#This Row],[prop_id0]], RADataTable[[#This Row],[email]])</f>
        <v>karthe@illinois.edu</v>
      </c>
      <c r="Y28" s="15" t="str">
        <f>HYPERLINK("mailto:"&amp;RADataTable[[#This Row],[allPIemail]]&amp;"&amp;subject=NSF Proposal:  "&amp;RADataTable[[#This Row],[Div]]&amp;" "&amp;RADataTable[[#This Row],[prop_id0]], "PIs@")</f>
        <v>PIs@</v>
      </c>
      <c r="Z28" t="s">
        <v>478</v>
      </c>
      <c r="AA28" t="s">
        <v>733</v>
      </c>
      <c r="AB28">
        <v>4</v>
      </c>
      <c r="AC28">
        <v>4</v>
      </c>
      <c r="AD28"/>
      <c r="AE28" s="21" t="str">
        <f>IF(RADataTable[[#This Row],[maxScore]]-RADataTable[[#This Row],[minScore]]&gt;4,"Y","")</f>
        <v/>
      </c>
      <c r="AF28" s="21">
        <v>5</v>
      </c>
      <c r="AG28" s="26">
        <v>6.75</v>
      </c>
      <c r="AH28">
        <v>8</v>
      </c>
      <c r="AI28" t="s">
        <v>1478</v>
      </c>
      <c r="AJ28" s="30">
        <v>43030.722916666666</v>
      </c>
      <c r="AK28" s="13">
        <v>446040</v>
      </c>
      <c r="AL28" s="13">
        <v>446040</v>
      </c>
      <c r="AM28">
        <v>0</v>
      </c>
      <c r="AN28" s="30">
        <v>43115</v>
      </c>
      <c r="AO28" s="21">
        <v>60</v>
      </c>
      <c r="AP28" s="21" t="s">
        <v>1479</v>
      </c>
      <c r="AS28" s="30"/>
      <c r="AT28" t="s">
        <v>605</v>
      </c>
      <c r="AU28" s="21" t="s">
        <v>539</v>
      </c>
      <c r="AV28" s="21">
        <v>6</v>
      </c>
      <c r="AW28" s="21" t="s">
        <v>1847</v>
      </c>
      <c r="AX28" s="30">
        <v>43032</v>
      </c>
      <c r="AY28" s="21" t="s">
        <v>1871</v>
      </c>
      <c r="AZ28" s="21" t="s">
        <v>1849</v>
      </c>
      <c r="BA28" s="21">
        <v>14</v>
      </c>
      <c r="BB28" s="21">
        <v>2</v>
      </c>
      <c r="BG28" s="30"/>
      <c r="BP28" s="30"/>
      <c r="BU28" t="s">
        <v>733</v>
      </c>
      <c r="BV28" s="21" t="s">
        <v>734</v>
      </c>
      <c r="BW28" s="21" t="s">
        <v>1476</v>
      </c>
      <c r="BX28" s="21" t="s">
        <v>1477</v>
      </c>
      <c r="BY28" s="31">
        <v>446040</v>
      </c>
      <c r="BZ28" s="31">
        <v>446040</v>
      </c>
      <c r="CA28" t="s">
        <v>1432</v>
      </c>
      <c r="CF28" s="31"/>
      <c r="CG28" s="31"/>
      <c r="CM28" s="31"/>
      <c r="CN28" s="31"/>
      <c r="CT28" s="31"/>
      <c r="CU28" s="31"/>
      <c r="CV28" s="31"/>
      <c r="DA28" s="31"/>
      <c r="DB28" s="31"/>
      <c r="DC28" s="31"/>
      <c r="DH28" s="31"/>
      <c r="DI28" s="31"/>
      <c r="DO28" s="31"/>
      <c r="DP28" s="31"/>
      <c r="DR28" t="s">
        <v>1850</v>
      </c>
      <c r="DS28" t="s">
        <v>479</v>
      </c>
      <c r="DT28" t="s">
        <v>583</v>
      </c>
      <c r="DU28" s="29" t="s">
        <v>1869</v>
      </c>
      <c r="DV28" t="s">
        <v>172</v>
      </c>
      <c r="DW28" t="s">
        <v>327</v>
      </c>
      <c r="DX28" t="s">
        <v>170</v>
      </c>
      <c r="DY28" t="s">
        <v>167</v>
      </c>
      <c r="DZ28" t="s">
        <v>168</v>
      </c>
      <c r="EA28" s="22">
        <v>43083.486793981479</v>
      </c>
      <c r="EB28" t="s">
        <v>1480</v>
      </c>
      <c r="EC28" t="s">
        <v>1872</v>
      </c>
    </row>
    <row r="29" spans="1:133" x14ac:dyDescent="0.4">
      <c r="A29" s="30"/>
      <c r="B29" s="22">
        <v>42935.679166666669</v>
      </c>
      <c r="C29" s="22" t="s">
        <v>1430</v>
      </c>
      <c r="D29" s="30" t="s">
        <v>477</v>
      </c>
      <c r="E29" s="30" t="s">
        <v>582</v>
      </c>
      <c r="F29" s="30" t="s">
        <v>169</v>
      </c>
      <c r="G29" s="30" t="s">
        <v>171</v>
      </c>
      <c r="H29" t="s">
        <v>94</v>
      </c>
      <c r="I29" t="s">
        <v>1431</v>
      </c>
      <c r="J29" t="s">
        <v>611</v>
      </c>
      <c r="L29">
        <v>1</v>
      </c>
      <c r="M29" s="26">
        <v>2.06</v>
      </c>
      <c r="N29" t="s">
        <v>540</v>
      </c>
      <c r="Q29" s="29" t="s">
        <v>13</v>
      </c>
      <c r="R29" s="29" t="str">
        <f>IFERROR(MID(RADataTable[[#This Row],[RAtemplate]],1,LEN(RADataTable[[#This Row],[RAtemplate]])-8),"RA") &amp; " " &amp; RADataTable[[#This Row],[prop_id0]] &amp; " " &amp; RADataTable[[#This Row],[last0]]</f>
        <v>RA 1751040 Price</v>
      </c>
      <c r="U29" s="21" t="str">
        <f>IF(signer1="PD",IF(ISBLANK(RADataTable[[#This Row],[sign_blck_name]]),"",RADataTable[[#This Row],[sign_blck_name]]),IF(ISBLANK(signer1),"",signer1))</f>
        <v>Tracy J. Kimbrel</v>
      </c>
      <c r="V29" s="29" t="str">
        <f t="shared" si="0"/>
        <v>Cognizant Program Director</v>
      </c>
      <c r="W29" s="15" t="str">
        <f>HYPERLINK("https://www.ejacket.nsf.gov/ej/showProposal.do?Continue=Y&amp;ID="&amp;RADataTable[[#This Row],[prop_id0]],"eJ")</f>
        <v>eJ</v>
      </c>
      <c r="X29" s="15" t="str">
        <f>HYPERLINK("mailto:"&amp;RADataTable[[#This Row],[email]]&amp;"&amp;subject=Your NSF Proposal:  "&amp;RADataTable[[#This Row],[Div]]&amp;" "&amp;RADataTable[[#This Row],[prop_id0]], RADataTable[[#This Row],[email]])</f>
        <v>ecprice@cs.utexas.edu</v>
      </c>
      <c r="Y29" s="15" t="str">
        <f>HYPERLINK("mailto:"&amp;RADataTable[[#This Row],[allPIemail]]&amp;"&amp;subject=NSF Proposal:  "&amp;RADataTable[[#This Row],[Div]]&amp;" "&amp;RADataTable[[#This Row],[prop_id0]], "PIs@")</f>
        <v>PIs@</v>
      </c>
      <c r="Z29" t="s">
        <v>478</v>
      </c>
      <c r="AA29" t="s">
        <v>1004</v>
      </c>
      <c r="AB29">
        <v>4</v>
      </c>
      <c r="AC29">
        <v>4</v>
      </c>
      <c r="AD29"/>
      <c r="AE29" s="21" t="str">
        <f>IF(RADataTable[[#This Row],[maxScore]]-RADataTable[[#This Row],[minScore]]&gt;4,"Y","")</f>
        <v/>
      </c>
      <c r="AF29" s="21">
        <v>7</v>
      </c>
      <c r="AG29" s="26">
        <v>7.5</v>
      </c>
      <c r="AH29">
        <v>9</v>
      </c>
      <c r="AI29" t="s">
        <v>1466</v>
      </c>
      <c r="AJ29" s="30">
        <v>43060.310416666667</v>
      </c>
      <c r="AK29" s="13">
        <v>499575</v>
      </c>
      <c r="AL29" s="13">
        <v>499575</v>
      </c>
      <c r="AM29">
        <v>0</v>
      </c>
      <c r="AN29" s="30">
        <v>43344</v>
      </c>
      <c r="AO29" s="21">
        <v>60</v>
      </c>
      <c r="AP29" s="21" t="s">
        <v>1583</v>
      </c>
      <c r="AS29" s="30"/>
      <c r="AT29" t="s">
        <v>714</v>
      </c>
      <c r="AU29" s="21" t="s">
        <v>539</v>
      </c>
      <c r="AV29" s="21">
        <v>6</v>
      </c>
      <c r="AW29" s="21" t="s">
        <v>1866</v>
      </c>
      <c r="AX29" s="30">
        <v>43060</v>
      </c>
      <c r="AY29" s="21" t="s">
        <v>1864</v>
      </c>
      <c r="AZ29" s="21" t="s">
        <v>1868</v>
      </c>
      <c r="BA29" s="21">
        <v>12</v>
      </c>
      <c r="BB29" s="21">
        <v>2</v>
      </c>
      <c r="BG29" s="30"/>
      <c r="BP29" s="30"/>
      <c r="BU29" t="s">
        <v>1004</v>
      </c>
      <c r="BV29" s="21" t="s">
        <v>1005</v>
      </c>
      <c r="BW29" s="21" t="s">
        <v>1582</v>
      </c>
      <c r="BX29" s="21" t="s">
        <v>550</v>
      </c>
      <c r="BY29" s="31">
        <v>499575</v>
      </c>
      <c r="BZ29" s="31">
        <v>499575</v>
      </c>
      <c r="CA29" t="s">
        <v>1432</v>
      </c>
      <c r="CF29" s="31"/>
      <c r="CG29" s="31"/>
      <c r="CM29" s="31"/>
      <c r="CN29" s="31"/>
      <c r="CT29" s="31"/>
      <c r="CU29" s="31"/>
      <c r="CV29" s="31"/>
      <c r="DA29" s="31"/>
      <c r="DB29" s="31"/>
      <c r="DC29" s="31"/>
      <c r="DH29" s="31"/>
      <c r="DI29" s="31"/>
      <c r="DO29" s="31"/>
      <c r="DP29" s="31"/>
      <c r="DR29" t="s">
        <v>1850</v>
      </c>
      <c r="DS29" t="s">
        <v>479</v>
      </c>
      <c r="DT29" t="s">
        <v>583</v>
      </c>
      <c r="DU29" s="29" t="s">
        <v>1869</v>
      </c>
      <c r="DV29" t="s">
        <v>172</v>
      </c>
      <c r="DW29" t="s">
        <v>327</v>
      </c>
      <c r="DX29" t="s">
        <v>170</v>
      </c>
      <c r="DY29" t="s">
        <v>167</v>
      </c>
      <c r="DZ29" t="s">
        <v>168</v>
      </c>
      <c r="EA29" s="22">
        <v>43083.486793981479</v>
      </c>
      <c r="EB29" t="s">
        <v>1584</v>
      </c>
      <c r="EC29" t="s">
        <v>1920</v>
      </c>
    </row>
    <row r="30" spans="1:133" x14ac:dyDescent="0.4">
      <c r="A30" s="30"/>
      <c r="B30" s="22">
        <v>43003.681944444441</v>
      </c>
      <c r="C30" s="22" t="s">
        <v>524</v>
      </c>
      <c r="D30" s="30" t="s">
        <v>477</v>
      </c>
      <c r="E30" s="30" t="s">
        <v>582</v>
      </c>
      <c r="F30" s="30" t="s">
        <v>169</v>
      </c>
      <c r="G30" s="30" t="s">
        <v>171</v>
      </c>
      <c r="H30" t="s">
        <v>94</v>
      </c>
      <c r="I30" t="s">
        <v>525</v>
      </c>
      <c r="J30" t="s">
        <v>611</v>
      </c>
      <c r="L30">
        <v>1</v>
      </c>
      <c r="M30" s="26">
        <v>2.06</v>
      </c>
      <c r="N30" t="s">
        <v>540</v>
      </c>
      <c r="Q30" s="29" t="s">
        <v>13</v>
      </c>
      <c r="R30" s="29" t="str">
        <f>IFERROR(MID(RADataTable[[#This Row],[RAtemplate]],1,LEN(RADataTable[[#This Row],[RAtemplate]])-8),"RA") &amp; " " &amp; RADataTable[[#This Row],[prop_id0]] &amp; " " &amp; RADataTable[[#This Row],[last0]]</f>
        <v>RA 1763240 Gupta</v>
      </c>
      <c r="U30" s="21" t="str">
        <f>IF(signer1="PD",IF(ISBLANK(RADataTable[[#This Row],[sign_blck_name]]),"",RADataTable[[#This Row],[sign_blck_name]]),IF(ISBLANK(signer1),"",signer1))</f>
        <v>Tracy J. Kimbrel</v>
      </c>
      <c r="V30" s="29" t="str">
        <f t="shared" si="0"/>
        <v>Cognizant Program Director</v>
      </c>
      <c r="W30" s="15" t="str">
        <f>HYPERLINK("https://www.ejacket.nsf.gov/ej/showProposal.do?Continue=Y&amp;ID="&amp;RADataTable[[#This Row],[prop_id0]],"eJ")</f>
        <v>eJ</v>
      </c>
      <c r="X30" s="15" t="str">
        <f>HYPERLINK("mailto:"&amp;RADataTable[[#This Row],[email]]&amp;"&amp;subject=Your NSF Proposal:  "&amp;RADataTable[[#This Row],[Div]]&amp;" "&amp;RADataTable[[#This Row],[prop_id0]], RADataTable[[#This Row],[email]])</f>
        <v>anupamg@cs.cmu.edu</v>
      </c>
      <c r="Y30" s="15" t="str">
        <f>HYPERLINK("mailto:"&amp;RADataTable[[#This Row],[allPIemail]]&amp;"&amp;subject=NSF Proposal:  "&amp;RADataTable[[#This Row],[Div]]&amp;" "&amp;RADataTable[[#This Row],[prop_id0]], "PIs@")</f>
        <v>PIs@</v>
      </c>
      <c r="Z30" t="s">
        <v>478</v>
      </c>
      <c r="AA30" t="s">
        <v>1260</v>
      </c>
      <c r="AB30">
        <v>4</v>
      </c>
      <c r="AC30">
        <v>4</v>
      </c>
      <c r="AD30"/>
      <c r="AE30" s="21" t="str">
        <f>IF(RADataTable[[#This Row],[maxScore]]-RADataTable[[#This Row],[minScore]]&gt;4,"Y","")</f>
        <v>Y</v>
      </c>
      <c r="AF30" s="21">
        <v>3</v>
      </c>
      <c r="AG30" s="26">
        <v>6.25</v>
      </c>
      <c r="AH30">
        <v>8</v>
      </c>
      <c r="AI30" t="s">
        <v>526</v>
      </c>
      <c r="AJ30" s="30">
        <v>43080.080555555556</v>
      </c>
      <c r="AK30" s="13">
        <v>1199999</v>
      </c>
      <c r="AL30" s="13">
        <v>1199999</v>
      </c>
      <c r="AM30">
        <v>0</v>
      </c>
      <c r="AN30" s="30">
        <v>43344</v>
      </c>
      <c r="AO30" s="21">
        <v>48</v>
      </c>
      <c r="AP30" s="21" t="s">
        <v>1706</v>
      </c>
      <c r="AS30" s="30"/>
      <c r="AT30" t="s">
        <v>1262</v>
      </c>
      <c r="AU30" s="21" t="s">
        <v>539</v>
      </c>
      <c r="AV30" s="21">
        <v>6</v>
      </c>
      <c r="AW30" s="21" t="s">
        <v>1971</v>
      </c>
      <c r="AX30" s="30">
        <v>43081</v>
      </c>
      <c r="AY30" s="21" t="s">
        <v>1972</v>
      </c>
      <c r="AZ30" s="21" t="s">
        <v>1973</v>
      </c>
      <c r="BA30" s="21">
        <v>9</v>
      </c>
      <c r="BG30" s="30"/>
      <c r="BP30" s="30"/>
      <c r="BU30" t="s">
        <v>1260</v>
      </c>
      <c r="BV30" s="21" t="s">
        <v>1261</v>
      </c>
      <c r="BW30" s="21" t="s">
        <v>1705</v>
      </c>
      <c r="BX30" s="21" t="s">
        <v>497</v>
      </c>
      <c r="BY30" s="31">
        <v>600000</v>
      </c>
      <c r="BZ30" s="31">
        <v>600000</v>
      </c>
      <c r="CA30" t="s">
        <v>1704</v>
      </c>
      <c r="CB30" s="21" t="s">
        <v>1708</v>
      </c>
      <c r="CC30" s="21" t="s">
        <v>844</v>
      </c>
      <c r="CD30" s="21" t="s">
        <v>1516</v>
      </c>
      <c r="CE30" s="21" t="s">
        <v>307</v>
      </c>
      <c r="CF30" s="31">
        <v>599999</v>
      </c>
      <c r="CG30" s="31">
        <v>599999</v>
      </c>
      <c r="CH30" t="s">
        <v>1704</v>
      </c>
      <c r="CM30" s="31"/>
      <c r="CN30" s="31"/>
      <c r="CT30" s="31"/>
      <c r="CU30" s="31"/>
      <c r="CV30" s="31"/>
      <c r="DA30" s="31"/>
      <c r="DB30" s="31"/>
      <c r="DC30" s="31"/>
      <c r="DH30" s="31"/>
      <c r="DI30" s="31"/>
      <c r="DO30" s="31"/>
      <c r="DP30" s="31"/>
      <c r="DR30" t="s">
        <v>529</v>
      </c>
      <c r="DS30" t="s">
        <v>479</v>
      </c>
      <c r="DT30" t="s">
        <v>583</v>
      </c>
      <c r="DU30" s="29" t="s">
        <v>1869</v>
      </c>
      <c r="DV30" t="s">
        <v>172</v>
      </c>
      <c r="DW30" t="s">
        <v>327</v>
      </c>
      <c r="DX30" t="s">
        <v>170</v>
      </c>
      <c r="DY30" t="s">
        <v>167</v>
      </c>
      <c r="DZ30" t="s">
        <v>168</v>
      </c>
      <c r="EA30" s="22">
        <v>43083.486793981479</v>
      </c>
      <c r="EB30" t="s">
        <v>1707</v>
      </c>
      <c r="EC30" t="s">
        <v>1974</v>
      </c>
    </row>
    <row r="31" spans="1:133" x14ac:dyDescent="0.4">
      <c r="A31" s="30"/>
      <c r="B31" s="22">
        <v>42934.507638888892</v>
      </c>
      <c r="C31" s="22" t="s">
        <v>1430</v>
      </c>
      <c r="D31" s="30" t="s">
        <v>477</v>
      </c>
      <c r="E31" s="30" t="s">
        <v>582</v>
      </c>
      <c r="F31" s="30" t="s">
        <v>169</v>
      </c>
      <c r="G31" s="30" t="s">
        <v>171</v>
      </c>
      <c r="H31" t="s">
        <v>94</v>
      </c>
      <c r="I31" t="s">
        <v>1431</v>
      </c>
      <c r="J31" t="s">
        <v>654</v>
      </c>
      <c r="L31">
        <v>1</v>
      </c>
      <c r="M31" s="26">
        <v>2.0699999999999998</v>
      </c>
      <c r="N31" t="s">
        <v>540</v>
      </c>
      <c r="Q31" s="29" t="s">
        <v>13</v>
      </c>
      <c r="R31" s="29" t="str">
        <f>IFERROR(MID(RADataTable[[#This Row],[RAtemplate]],1,LEN(RADataTable[[#This Row],[RAtemplate]])-8),"RA") &amp; " " &amp; RADataTable[[#This Row],[prop_id0]] &amp; " " &amp; RADataTable[[#This Row],[last0]]</f>
        <v>RA 1749734 Sidford</v>
      </c>
      <c r="U31" s="21" t="str">
        <f>IF(signer1="PD",IF(ISBLANK(RADataTable[[#This Row],[sign_blck_name]]),"",RADataTable[[#This Row],[sign_blck_name]]),IF(ISBLANK(signer1),"",signer1))</f>
        <v>Rahul Shah</v>
      </c>
      <c r="V31" s="29" t="str">
        <f t="shared" si="0"/>
        <v>Cognizant Program Director</v>
      </c>
      <c r="W31" s="15" t="str">
        <f>HYPERLINK("https://www.ejacket.nsf.gov/ej/showProposal.do?Continue=Y&amp;ID="&amp;RADataTable[[#This Row],[prop_id0]],"eJ")</f>
        <v>eJ</v>
      </c>
      <c r="X31" s="15" t="str">
        <f>HYPERLINK("mailto:"&amp;RADataTable[[#This Row],[email]]&amp;"&amp;subject=Your NSF Proposal:  "&amp;RADataTable[[#This Row],[Div]]&amp;" "&amp;RADataTable[[#This Row],[prop_id0]], RADataTable[[#This Row],[email]])</f>
        <v>sidford@stanford.edu</v>
      </c>
      <c r="Y31" s="15" t="str">
        <f>HYPERLINK("mailto:"&amp;RADataTable[[#This Row],[allPIemail]]&amp;"&amp;subject=NSF Proposal:  "&amp;RADataTable[[#This Row],[Div]]&amp;" "&amp;RADataTable[[#This Row],[prop_id0]], "PIs@")</f>
        <v>PIs@</v>
      </c>
      <c r="Z31" t="s">
        <v>478</v>
      </c>
      <c r="AA31" t="s">
        <v>702</v>
      </c>
      <c r="AB31">
        <v>4</v>
      </c>
      <c r="AC31">
        <v>4</v>
      </c>
      <c r="AD31"/>
      <c r="AE31" s="21" t="str">
        <f>IF(RADataTable[[#This Row],[maxScore]]-RADataTable[[#This Row],[minScore]]&gt;4,"Y","")</f>
        <v/>
      </c>
      <c r="AF31" s="21">
        <v>7</v>
      </c>
      <c r="AG31" s="26">
        <v>7.5</v>
      </c>
      <c r="AH31">
        <v>9</v>
      </c>
      <c r="AI31" t="s">
        <v>1466</v>
      </c>
      <c r="AJ31" s="30">
        <v>43032.515277777777</v>
      </c>
      <c r="AK31" s="13">
        <v>500000</v>
      </c>
      <c r="AL31" s="13">
        <v>500000</v>
      </c>
      <c r="AM31">
        <v>0</v>
      </c>
      <c r="AN31" s="30">
        <v>43009</v>
      </c>
      <c r="AO31" s="21">
        <v>60</v>
      </c>
      <c r="AP31" s="21" t="s">
        <v>1467</v>
      </c>
      <c r="AS31" s="30"/>
      <c r="AT31" t="s">
        <v>605</v>
      </c>
      <c r="AU31" s="21" t="s">
        <v>539</v>
      </c>
      <c r="AV31" s="21">
        <v>7</v>
      </c>
      <c r="AW31" s="21" t="s">
        <v>1847</v>
      </c>
      <c r="AX31" s="30">
        <v>43032</v>
      </c>
      <c r="AY31" s="21" t="s">
        <v>1864</v>
      </c>
      <c r="AZ31" s="21" t="s">
        <v>1849</v>
      </c>
      <c r="BA31" s="21">
        <v>14</v>
      </c>
      <c r="BB31" s="21">
        <v>1</v>
      </c>
      <c r="BG31" s="30"/>
      <c r="BP31" s="30"/>
      <c r="BU31" t="s">
        <v>702</v>
      </c>
      <c r="BV31" s="21" t="s">
        <v>703</v>
      </c>
      <c r="BW31" s="21" t="s">
        <v>1464</v>
      </c>
      <c r="BX31" s="21" t="s">
        <v>1465</v>
      </c>
      <c r="BY31" s="31">
        <v>500000</v>
      </c>
      <c r="BZ31" s="31">
        <v>500000</v>
      </c>
      <c r="CA31" t="s">
        <v>584</v>
      </c>
      <c r="CF31" s="31"/>
      <c r="CG31" s="31"/>
      <c r="CM31" s="31"/>
      <c r="CN31" s="31"/>
      <c r="CT31" s="31"/>
      <c r="CU31" s="31"/>
      <c r="CV31" s="31"/>
      <c r="DA31" s="31"/>
      <c r="DB31" s="31"/>
      <c r="DC31" s="31"/>
      <c r="DH31" s="31"/>
      <c r="DI31" s="31"/>
      <c r="DO31" s="31"/>
      <c r="DP31" s="31"/>
      <c r="DR31" t="s">
        <v>1850</v>
      </c>
      <c r="DS31" t="s">
        <v>479</v>
      </c>
      <c r="DT31" t="s">
        <v>583</v>
      </c>
      <c r="DU31" s="29" t="s">
        <v>1856</v>
      </c>
      <c r="DV31" t="s">
        <v>172</v>
      </c>
      <c r="DW31" t="s">
        <v>327</v>
      </c>
      <c r="DX31" t="s">
        <v>170</v>
      </c>
      <c r="DY31" t="s">
        <v>167</v>
      </c>
      <c r="DZ31" t="s">
        <v>168</v>
      </c>
      <c r="EA31" s="22">
        <v>43083.486793981479</v>
      </c>
      <c r="EB31" t="s">
        <v>1468</v>
      </c>
      <c r="EC31" t="s">
        <v>1865</v>
      </c>
    </row>
    <row r="32" spans="1:133" x14ac:dyDescent="0.4">
      <c r="A32" s="30"/>
      <c r="B32" s="22">
        <v>42934.524305555555</v>
      </c>
      <c r="C32" s="22" t="s">
        <v>1430</v>
      </c>
      <c r="D32" s="30" t="s">
        <v>477</v>
      </c>
      <c r="E32" s="30" t="s">
        <v>582</v>
      </c>
      <c r="F32" s="30" t="s">
        <v>169</v>
      </c>
      <c r="G32" s="30" t="s">
        <v>171</v>
      </c>
      <c r="H32" t="s">
        <v>94</v>
      </c>
      <c r="I32" t="s">
        <v>1431</v>
      </c>
      <c r="J32" t="s">
        <v>611</v>
      </c>
      <c r="L32">
        <v>1</v>
      </c>
      <c r="M32" s="26">
        <v>2.0699999999999998</v>
      </c>
      <c r="N32" t="s">
        <v>540</v>
      </c>
      <c r="Q32" s="29" t="s">
        <v>13</v>
      </c>
      <c r="R32" s="29" t="str">
        <f>IFERROR(MID(RADataTable[[#This Row],[RAtemplate]],1,LEN(RADataTable[[#This Row],[RAtemplate]])-8),"RA") &amp; " " &amp; RADataTable[[#This Row],[prop_id0]] &amp; " " &amp; RADataTable[[#This Row],[last0]]</f>
        <v>RA 1749747 Weinstein</v>
      </c>
      <c r="U32" s="21" t="str">
        <f>IF(signer1="PD",IF(ISBLANK(RADataTable[[#This Row],[sign_blck_name]]),"",RADataTable[[#This Row],[sign_blck_name]]),IF(ISBLANK(signer1),"",signer1))</f>
        <v>Tracy J. Kimbrel</v>
      </c>
      <c r="V32" s="29" t="str">
        <f t="shared" si="0"/>
        <v>Cognizant Program Director</v>
      </c>
      <c r="W32" s="15" t="str">
        <f>HYPERLINK("https://www.ejacket.nsf.gov/ej/showProposal.do?Continue=Y&amp;ID="&amp;RADataTable[[#This Row],[prop_id0]],"eJ")</f>
        <v>eJ</v>
      </c>
      <c r="X32" s="15" t="str">
        <f>HYPERLINK("mailto:"&amp;RADataTable[[#This Row],[email]]&amp;"&amp;subject=Your NSF Proposal:  "&amp;RADataTable[[#This Row],[Div]]&amp;" "&amp;RADataTable[[#This Row],[prop_id0]], RADataTable[[#This Row],[email]])</f>
        <v>omri@cs.columbia.edu</v>
      </c>
      <c r="Y32" s="15" t="str">
        <f>HYPERLINK("mailto:"&amp;RADataTable[[#This Row],[allPIemail]]&amp;"&amp;subject=NSF Proposal:  "&amp;RADataTable[[#This Row],[Div]]&amp;" "&amp;RADataTable[[#This Row],[prop_id0]], "PIs@")</f>
        <v>PIs@</v>
      </c>
      <c r="Z32" t="s">
        <v>478</v>
      </c>
      <c r="AA32" t="s">
        <v>712</v>
      </c>
      <c r="AB32">
        <v>4</v>
      </c>
      <c r="AC32">
        <v>4</v>
      </c>
      <c r="AD32"/>
      <c r="AE32" s="21" t="str">
        <f>IF(RADataTable[[#This Row],[maxScore]]-RADataTable[[#This Row],[minScore]]&gt;4,"Y","")</f>
        <v/>
      </c>
      <c r="AF32" s="21">
        <v>5</v>
      </c>
      <c r="AG32" s="26">
        <v>7</v>
      </c>
      <c r="AH32">
        <v>9</v>
      </c>
      <c r="AI32" t="s">
        <v>1473</v>
      </c>
      <c r="AJ32" s="30">
        <v>43059.920138888891</v>
      </c>
      <c r="AK32" s="13">
        <v>400000</v>
      </c>
      <c r="AL32" s="13">
        <v>400000</v>
      </c>
      <c r="AM32">
        <v>0</v>
      </c>
      <c r="AN32" s="30">
        <v>42979</v>
      </c>
      <c r="AO32" s="21">
        <v>60</v>
      </c>
      <c r="AP32" s="21" t="s">
        <v>1474</v>
      </c>
      <c r="AS32" s="30"/>
      <c r="AT32" t="s">
        <v>714</v>
      </c>
      <c r="AU32" s="21" t="s">
        <v>539</v>
      </c>
      <c r="AV32" s="21">
        <v>7</v>
      </c>
      <c r="AW32" s="21" t="s">
        <v>1866</v>
      </c>
      <c r="AX32" s="30">
        <v>43060</v>
      </c>
      <c r="AY32" s="21" t="s">
        <v>1867</v>
      </c>
      <c r="AZ32" s="21" t="s">
        <v>1868</v>
      </c>
      <c r="BA32" s="21">
        <v>12</v>
      </c>
      <c r="BG32" s="30"/>
      <c r="BP32" s="30"/>
      <c r="BU32" t="s">
        <v>712</v>
      </c>
      <c r="BV32" s="21" t="s">
        <v>713</v>
      </c>
      <c r="BW32" s="21" t="s">
        <v>1471</v>
      </c>
      <c r="BX32" s="21" t="s">
        <v>1472</v>
      </c>
      <c r="BY32" s="31">
        <v>400000</v>
      </c>
      <c r="BZ32" s="31">
        <v>400000</v>
      </c>
      <c r="CA32" t="s">
        <v>1469</v>
      </c>
      <c r="CF32" s="31"/>
      <c r="CG32" s="31"/>
      <c r="CM32" s="31"/>
      <c r="CN32" s="31"/>
      <c r="CT32" s="31"/>
      <c r="CU32" s="31"/>
      <c r="CV32" s="31"/>
      <c r="DA32" s="31"/>
      <c r="DB32" s="31"/>
      <c r="DC32" s="31"/>
      <c r="DH32" s="31"/>
      <c r="DI32" s="31"/>
      <c r="DO32" s="31"/>
      <c r="DP32" s="31"/>
      <c r="DR32" t="s">
        <v>1850</v>
      </c>
      <c r="DS32" t="s">
        <v>479</v>
      </c>
      <c r="DT32" t="s">
        <v>583</v>
      </c>
      <c r="DU32" s="29" t="s">
        <v>1869</v>
      </c>
      <c r="DV32" t="s">
        <v>172</v>
      </c>
      <c r="DW32" t="s">
        <v>327</v>
      </c>
      <c r="DX32" t="s">
        <v>170</v>
      </c>
      <c r="DY32" t="s">
        <v>167</v>
      </c>
      <c r="DZ32" t="s">
        <v>168</v>
      </c>
      <c r="EA32" s="22">
        <v>43083.486793981479</v>
      </c>
      <c r="EB32" t="s">
        <v>1475</v>
      </c>
      <c r="EC32" t="s">
        <v>1870</v>
      </c>
    </row>
    <row r="33" spans="1:133" x14ac:dyDescent="0.4">
      <c r="A33" s="30"/>
      <c r="B33" s="22">
        <v>42934.734722222223</v>
      </c>
      <c r="C33" s="22" t="s">
        <v>1430</v>
      </c>
      <c r="D33" s="30" t="s">
        <v>477</v>
      </c>
      <c r="E33" s="30" t="s">
        <v>582</v>
      </c>
      <c r="F33" s="30" t="s">
        <v>169</v>
      </c>
      <c r="G33" s="30" t="s">
        <v>171</v>
      </c>
      <c r="H33" t="s">
        <v>94</v>
      </c>
      <c r="I33" t="s">
        <v>1431</v>
      </c>
      <c r="J33" t="s">
        <v>611</v>
      </c>
      <c r="L33">
        <v>1</v>
      </c>
      <c r="M33" s="26">
        <v>2.0699999999999998</v>
      </c>
      <c r="N33" t="s">
        <v>540</v>
      </c>
      <c r="Q33" s="29" t="s">
        <v>13</v>
      </c>
      <c r="R33" s="29" t="str">
        <f>IFERROR(MID(RADataTable[[#This Row],[RAtemplate]],1,LEN(RADataTable[[#This Row],[RAtemplate]])-8),"RA") &amp; " " &amp; RADataTable[[#This Row],[prop_id0]] &amp; " " &amp; RADataTable[[#This Row],[last0]]</f>
        <v>RA 1750032 Thaler</v>
      </c>
      <c r="U33" s="21" t="str">
        <f>IF(signer1="PD",IF(ISBLANK(RADataTable[[#This Row],[sign_blck_name]]),"",RADataTable[[#This Row],[sign_blck_name]]),IF(ISBLANK(signer1),"",signer1))</f>
        <v>Tracy J. Kimbrel</v>
      </c>
      <c r="V33" s="29" t="str">
        <f t="shared" si="0"/>
        <v>Cognizant Program Director</v>
      </c>
      <c r="W33" s="15" t="str">
        <f>HYPERLINK("https://www.ejacket.nsf.gov/ej/showProposal.do?Continue=Y&amp;ID="&amp;RADataTable[[#This Row],[prop_id0]],"eJ")</f>
        <v>eJ</v>
      </c>
      <c r="X33" s="15" t="str">
        <f>HYPERLINK("mailto:"&amp;RADataTable[[#This Row],[email]]&amp;"&amp;subject=Your NSF Proposal:  "&amp;RADataTable[[#This Row],[Div]]&amp;" "&amp;RADataTable[[#This Row],[prop_id0]], RADataTable[[#This Row],[email]])</f>
        <v>jt1157@georgetown.edu</v>
      </c>
      <c r="Y33" s="15" t="str">
        <f>HYPERLINK("mailto:"&amp;RADataTable[[#This Row],[allPIemail]]&amp;"&amp;subject=NSF Proposal:  "&amp;RADataTable[[#This Row],[Div]]&amp;" "&amp;RADataTable[[#This Row],[prop_id0]], "PIs@")</f>
        <v>PIs@</v>
      </c>
      <c r="Z33" t="s">
        <v>478</v>
      </c>
      <c r="AA33" t="s">
        <v>771</v>
      </c>
      <c r="AB33">
        <v>4</v>
      </c>
      <c r="AC33">
        <v>4</v>
      </c>
      <c r="AD33"/>
      <c r="AE33" s="21" t="str">
        <f>IF(RADataTable[[#This Row],[maxScore]]-RADataTable[[#This Row],[minScore]]&gt;4,"Y","")</f>
        <v/>
      </c>
      <c r="AF33" s="21">
        <v>6</v>
      </c>
      <c r="AG33" s="26">
        <v>6.75</v>
      </c>
      <c r="AH33">
        <v>7</v>
      </c>
      <c r="AI33" t="s">
        <v>1493</v>
      </c>
      <c r="AJ33" s="30">
        <v>43059.936805555553</v>
      </c>
      <c r="AK33" s="13">
        <v>525636</v>
      </c>
      <c r="AL33" s="13">
        <v>525636</v>
      </c>
      <c r="AM33">
        <v>0</v>
      </c>
      <c r="AN33" s="30">
        <v>43252</v>
      </c>
      <c r="AO33" s="21">
        <v>60</v>
      </c>
      <c r="AP33" s="21" t="s">
        <v>1494</v>
      </c>
      <c r="AS33" s="30"/>
      <c r="AT33" t="s">
        <v>714</v>
      </c>
      <c r="AU33" s="21" t="s">
        <v>539</v>
      </c>
      <c r="AV33" s="21">
        <v>7</v>
      </c>
      <c r="AW33" s="21" t="s">
        <v>1866</v>
      </c>
      <c r="AX33" s="30">
        <v>43060</v>
      </c>
      <c r="AY33" s="21" t="s">
        <v>1877</v>
      </c>
      <c r="AZ33" s="21" t="s">
        <v>1868</v>
      </c>
      <c r="BA33" s="21">
        <v>12</v>
      </c>
      <c r="BG33" s="30"/>
      <c r="BP33" s="30"/>
      <c r="BU33" t="s">
        <v>771</v>
      </c>
      <c r="BV33" s="21" t="s">
        <v>772</v>
      </c>
      <c r="BW33" s="21" t="s">
        <v>1486</v>
      </c>
      <c r="BX33" s="21" t="s">
        <v>1492</v>
      </c>
      <c r="BY33" s="31">
        <v>525636</v>
      </c>
      <c r="BZ33" s="31">
        <v>525636</v>
      </c>
      <c r="CA33" t="s">
        <v>1469</v>
      </c>
      <c r="CF33" s="31"/>
      <c r="CG33" s="31"/>
      <c r="CM33" s="31"/>
      <c r="CN33" s="31"/>
      <c r="CT33" s="31"/>
      <c r="CU33" s="31"/>
      <c r="CV33" s="31"/>
      <c r="DA33" s="31"/>
      <c r="DB33" s="31"/>
      <c r="DC33" s="31"/>
      <c r="DH33" s="31"/>
      <c r="DI33" s="31"/>
      <c r="DO33" s="31"/>
      <c r="DP33" s="31"/>
      <c r="DR33" t="s">
        <v>1850</v>
      </c>
      <c r="DS33" t="s">
        <v>479</v>
      </c>
      <c r="DT33" t="s">
        <v>583</v>
      </c>
      <c r="DU33" s="29" t="s">
        <v>1869</v>
      </c>
      <c r="DV33" t="s">
        <v>172</v>
      </c>
      <c r="DW33" t="s">
        <v>327</v>
      </c>
      <c r="DX33" t="s">
        <v>170</v>
      </c>
      <c r="DY33" t="s">
        <v>167</v>
      </c>
      <c r="DZ33" t="s">
        <v>168</v>
      </c>
      <c r="EA33" s="22">
        <v>43083.486793981479</v>
      </c>
      <c r="EB33" t="s">
        <v>1495</v>
      </c>
      <c r="EC33" t="s">
        <v>1878</v>
      </c>
    </row>
    <row r="34" spans="1:133" x14ac:dyDescent="0.4">
      <c r="A34" s="30"/>
      <c r="B34" s="22">
        <v>42935.535416666666</v>
      </c>
      <c r="C34" s="22" t="s">
        <v>1430</v>
      </c>
      <c r="D34" s="30" t="s">
        <v>477</v>
      </c>
      <c r="E34" s="30" t="s">
        <v>582</v>
      </c>
      <c r="F34" s="30" t="s">
        <v>169</v>
      </c>
      <c r="G34" s="30" t="s">
        <v>171</v>
      </c>
      <c r="H34" t="s">
        <v>94</v>
      </c>
      <c r="I34" t="s">
        <v>1431</v>
      </c>
      <c r="J34" t="s">
        <v>611</v>
      </c>
      <c r="L34">
        <v>1</v>
      </c>
      <c r="M34" s="26">
        <v>2.0699999999999998</v>
      </c>
      <c r="N34" t="s">
        <v>540</v>
      </c>
      <c r="Q34" s="29" t="s">
        <v>13</v>
      </c>
      <c r="R34" s="29" t="str">
        <f>IFERROR(MID(RADataTable[[#This Row],[RAtemplate]],1,LEN(RADataTable[[#This Row],[RAtemplate]])-8),"RA") &amp; " " &amp; RADataTable[[#This Row],[prop_id0]] &amp; " " &amp; RADataTable[[#This Row],[last0]]</f>
        <v>RA 1750436 Mehta</v>
      </c>
      <c r="U34" s="21" t="str">
        <f>IF(signer1="PD",IF(ISBLANK(RADataTable[[#This Row],[sign_blck_name]]),"",RADataTable[[#This Row],[sign_blck_name]]),IF(ISBLANK(signer1),"",signer1))</f>
        <v>Tracy J. Kimbrel</v>
      </c>
      <c r="V34" s="29" t="str">
        <f t="shared" ref="V34:V65" si="1">signer2</f>
        <v>Cognizant Program Director</v>
      </c>
      <c r="W34" s="15" t="str">
        <f>HYPERLINK("https://www.ejacket.nsf.gov/ej/showProposal.do?Continue=Y&amp;ID="&amp;RADataTable[[#This Row],[prop_id0]],"eJ")</f>
        <v>eJ</v>
      </c>
      <c r="X34" s="15" t="str">
        <f>HYPERLINK("mailto:"&amp;RADataTable[[#This Row],[email]]&amp;"&amp;subject=Your NSF Proposal:  "&amp;RADataTable[[#This Row],[Div]]&amp;" "&amp;RADataTable[[#This Row],[prop_id0]], RADataTable[[#This Row],[email]])</f>
        <v>rutameht@illinois.edu</v>
      </c>
      <c r="Y34" s="15" t="str">
        <f>HYPERLINK("mailto:"&amp;RADataTable[[#This Row],[allPIemail]]&amp;"&amp;subject=NSF Proposal:  "&amp;RADataTable[[#This Row],[Div]]&amp;" "&amp;RADataTable[[#This Row],[prop_id0]], "PIs@")</f>
        <v>PIs@</v>
      </c>
      <c r="Z34" t="s">
        <v>478</v>
      </c>
      <c r="AA34" t="s">
        <v>885</v>
      </c>
      <c r="AB34">
        <v>4</v>
      </c>
      <c r="AC34">
        <v>4</v>
      </c>
      <c r="AD34"/>
      <c r="AE34" s="21" t="str">
        <f>IF(RADataTable[[#This Row],[maxScore]]-RADataTable[[#This Row],[minScore]]&gt;4,"Y","")</f>
        <v/>
      </c>
      <c r="AF34" s="21">
        <v>6</v>
      </c>
      <c r="AG34" s="26">
        <v>7.25</v>
      </c>
      <c r="AH34">
        <v>9</v>
      </c>
      <c r="AI34" t="s">
        <v>1541</v>
      </c>
      <c r="AJ34" s="30">
        <v>43060.566666666666</v>
      </c>
      <c r="AK34" s="13">
        <v>499906</v>
      </c>
      <c r="AL34" s="13">
        <v>499906</v>
      </c>
      <c r="AM34">
        <v>0</v>
      </c>
      <c r="AN34" s="30">
        <v>43132</v>
      </c>
      <c r="AO34" s="21">
        <v>60</v>
      </c>
      <c r="AP34" s="21" t="s">
        <v>1542</v>
      </c>
      <c r="AS34" s="30"/>
      <c r="AT34" t="s">
        <v>714</v>
      </c>
      <c r="AU34" s="21" t="s">
        <v>539</v>
      </c>
      <c r="AV34" s="21">
        <v>7</v>
      </c>
      <c r="AW34" s="21" t="s">
        <v>1866</v>
      </c>
      <c r="AX34" s="30">
        <v>43060</v>
      </c>
      <c r="AY34" s="21" t="s">
        <v>1898</v>
      </c>
      <c r="AZ34" s="21" t="s">
        <v>1868</v>
      </c>
      <c r="BA34" s="21">
        <v>12</v>
      </c>
      <c r="BB34" s="21">
        <v>1</v>
      </c>
      <c r="BG34" s="30"/>
      <c r="BP34" s="30"/>
      <c r="BU34" t="s">
        <v>885</v>
      </c>
      <c r="BV34" s="21" t="s">
        <v>886</v>
      </c>
      <c r="BW34" s="21" t="s">
        <v>1540</v>
      </c>
      <c r="BX34" s="21" t="s">
        <v>1477</v>
      </c>
      <c r="BY34" s="31">
        <v>499906</v>
      </c>
      <c r="BZ34" s="31">
        <v>499906</v>
      </c>
      <c r="CA34" t="s">
        <v>1539</v>
      </c>
      <c r="CF34" s="31"/>
      <c r="CG34" s="31"/>
      <c r="CM34" s="31"/>
      <c r="CN34" s="31"/>
      <c r="CT34" s="31"/>
      <c r="CU34" s="31"/>
      <c r="CV34" s="31"/>
      <c r="DA34" s="31"/>
      <c r="DB34" s="31"/>
      <c r="DC34" s="31"/>
      <c r="DH34" s="31"/>
      <c r="DI34" s="31"/>
      <c r="DO34" s="31"/>
      <c r="DP34" s="31"/>
      <c r="DR34" t="s">
        <v>1850</v>
      </c>
      <c r="DS34" t="s">
        <v>479</v>
      </c>
      <c r="DT34" t="s">
        <v>583</v>
      </c>
      <c r="DU34" s="29" t="s">
        <v>1869</v>
      </c>
      <c r="DV34" t="s">
        <v>172</v>
      </c>
      <c r="DW34" t="s">
        <v>327</v>
      </c>
      <c r="DX34" t="s">
        <v>170</v>
      </c>
      <c r="DY34" t="s">
        <v>167</v>
      </c>
      <c r="DZ34" t="s">
        <v>168</v>
      </c>
      <c r="EA34" s="22">
        <v>43083.486793981479</v>
      </c>
      <c r="EB34" t="s">
        <v>1543</v>
      </c>
      <c r="EC34" t="s">
        <v>1899</v>
      </c>
    </row>
    <row r="35" spans="1:133" x14ac:dyDescent="0.4">
      <c r="A35" s="30"/>
      <c r="B35" s="22">
        <v>42935.633333333331</v>
      </c>
      <c r="C35" s="22" t="s">
        <v>1430</v>
      </c>
      <c r="D35" s="30" t="s">
        <v>477</v>
      </c>
      <c r="E35" s="30" t="s">
        <v>582</v>
      </c>
      <c r="F35" s="30" t="s">
        <v>169</v>
      </c>
      <c r="G35" s="30" t="s">
        <v>171</v>
      </c>
      <c r="H35" t="s">
        <v>94</v>
      </c>
      <c r="I35" t="s">
        <v>1431</v>
      </c>
      <c r="J35" t="s">
        <v>604</v>
      </c>
      <c r="L35">
        <v>1</v>
      </c>
      <c r="M35" s="26">
        <v>2.0699999999999998</v>
      </c>
      <c r="N35" t="s">
        <v>540</v>
      </c>
      <c r="Q35" s="29" t="s">
        <v>13</v>
      </c>
      <c r="R35" s="29" t="str">
        <f>IFERROR(MID(RADataTable[[#This Row],[RAtemplate]],1,LEN(RADataTable[[#This Row],[RAtemplate]])-8),"RA") &amp; " " &amp; RADataTable[[#This Row],[prop_id0]] &amp; " " &amp; RADataTable[[#This Row],[last0]]</f>
        <v>RA 1750780 Raichel</v>
      </c>
      <c r="U35" s="21" t="str">
        <f>IF(signer1="PD",IF(ISBLANK(RADataTable[[#This Row],[sign_blck_name]]),"",RADataTable[[#This Row],[sign_blck_name]]),IF(ISBLANK(signer1),"",signer1))</f>
        <v>Jack Snoeyink</v>
      </c>
      <c r="V35" s="29" t="str">
        <f t="shared" si="1"/>
        <v>Cognizant Program Director</v>
      </c>
      <c r="W35" s="15" t="str">
        <f>HYPERLINK("https://www.ejacket.nsf.gov/ej/showProposal.do?Continue=Y&amp;ID="&amp;RADataTable[[#This Row],[prop_id0]],"eJ")</f>
        <v>eJ</v>
      </c>
      <c r="X35" s="15" t="str">
        <f>HYPERLINK("mailto:"&amp;RADataTable[[#This Row],[email]]&amp;"&amp;subject=Your NSF Proposal:  "&amp;RADataTable[[#This Row],[Div]]&amp;" "&amp;RADataTable[[#This Row],[prop_id0]], RADataTable[[#This Row],[email]])</f>
        <v>Benjamin.Raichel@utdallas.edu</v>
      </c>
      <c r="Y35" s="15" t="str">
        <f>HYPERLINK("mailto:"&amp;RADataTable[[#This Row],[allPIemail]]&amp;"&amp;subject=NSF Proposal:  "&amp;RADataTable[[#This Row],[Div]]&amp;" "&amp;RADataTable[[#This Row],[prop_id0]], "PIs@")</f>
        <v>PIs@</v>
      </c>
      <c r="Z35" t="s">
        <v>478</v>
      </c>
      <c r="AA35" t="s">
        <v>971</v>
      </c>
      <c r="AB35">
        <v>4</v>
      </c>
      <c r="AC35">
        <v>4</v>
      </c>
      <c r="AD35"/>
      <c r="AE35" s="21" t="str">
        <f>IF(RADataTable[[#This Row],[maxScore]]-RADataTable[[#This Row],[minScore]]&gt;4,"Y","")</f>
        <v/>
      </c>
      <c r="AF35" s="21">
        <v>7</v>
      </c>
      <c r="AG35" s="26">
        <v>7.5</v>
      </c>
      <c r="AH35">
        <v>9</v>
      </c>
      <c r="AI35" t="s">
        <v>1466</v>
      </c>
      <c r="AJ35" s="30">
        <v>43030.181250000001</v>
      </c>
      <c r="AK35" s="13">
        <v>582785</v>
      </c>
      <c r="AL35" s="13">
        <v>582785</v>
      </c>
      <c r="AM35">
        <v>0</v>
      </c>
      <c r="AN35" s="30">
        <v>43344</v>
      </c>
      <c r="AO35" s="21">
        <v>60</v>
      </c>
      <c r="AP35" s="21" t="s">
        <v>1571</v>
      </c>
      <c r="AS35" s="30"/>
      <c r="AT35" t="s">
        <v>605</v>
      </c>
      <c r="AU35" s="21" t="s">
        <v>539</v>
      </c>
      <c r="AV35" s="21">
        <v>7</v>
      </c>
      <c r="AW35" s="21" t="s">
        <v>1847</v>
      </c>
      <c r="AX35" s="30">
        <v>43032</v>
      </c>
      <c r="AY35" s="21" t="s">
        <v>1864</v>
      </c>
      <c r="AZ35" s="21" t="s">
        <v>1849</v>
      </c>
      <c r="BA35" s="21">
        <v>14</v>
      </c>
      <c r="BB35" s="21">
        <v>1</v>
      </c>
      <c r="BG35" s="30"/>
      <c r="BP35" s="30"/>
      <c r="BU35" t="s">
        <v>971</v>
      </c>
      <c r="BV35" s="21" t="s">
        <v>972</v>
      </c>
      <c r="BW35" s="21" t="s">
        <v>1445</v>
      </c>
      <c r="BX35" s="21" t="s">
        <v>1570</v>
      </c>
      <c r="BY35" s="31">
        <v>582785</v>
      </c>
      <c r="BZ35" s="31">
        <v>582785</v>
      </c>
      <c r="CA35" t="s">
        <v>1439</v>
      </c>
      <c r="CF35" s="31"/>
      <c r="CG35" s="31"/>
      <c r="CM35" s="31"/>
      <c r="CN35" s="31"/>
      <c r="CT35" s="31"/>
      <c r="CU35" s="31"/>
      <c r="CV35" s="31"/>
      <c r="DA35" s="31"/>
      <c r="DB35" s="31"/>
      <c r="DC35" s="31"/>
      <c r="DH35" s="31"/>
      <c r="DI35" s="31"/>
      <c r="DO35" s="31"/>
      <c r="DP35" s="31"/>
      <c r="DR35" t="s">
        <v>1850</v>
      </c>
      <c r="DS35" t="s">
        <v>479</v>
      </c>
      <c r="DT35" t="s">
        <v>583</v>
      </c>
      <c r="DU35" s="29" t="s">
        <v>1851</v>
      </c>
      <c r="DV35" t="s">
        <v>172</v>
      </c>
      <c r="DW35" t="s">
        <v>327</v>
      </c>
      <c r="DX35" t="s">
        <v>170</v>
      </c>
      <c r="DY35" t="s">
        <v>167</v>
      </c>
      <c r="DZ35" t="s">
        <v>168</v>
      </c>
      <c r="EA35" s="22">
        <v>43083.486793981479</v>
      </c>
      <c r="EB35" t="s">
        <v>1572</v>
      </c>
      <c r="EC35" t="s">
        <v>1913</v>
      </c>
    </row>
    <row r="36" spans="1:133" x14ac:dyDescent="0.4">
      <c r="A36" s="30"/>
      <c r="B36" s="22">
        <v>43005.654861111114</v>
      </c>
      <c r="C36" s="22" t="s">
        <v>524</v>
      </c>
      <c r="D36" s="30" t="s">
        <v>477</v>
      </c>
      <c r="E36" s="30" t="s">
        <v>582</v>
      </c>
      <c r="F36" s="30" t="s">
        <v>169</v>
      </c>
      <c r="G36" s="30" t="s">
        <v>171</v>
      </c>
      <c r="H36" t="s">
        <v>94</v>
      </c>
      <c r="I36" t="s">
        <v>525</v>
      </c>
      <c r="J36" t="s">
        <v>654</v>
      </c>
      <c r="L36">
        <v>1</v>
      </c>
      <c r="M36" s="26">
        <v>2.0699999999999998</v>
      </c>
      <c r="N36" t="s">
        <v>540</v>
      </c>
      <c r="Q36" s="29" t="s">
        <v>13</v>
      </c>
      <c r="R36" s="29" t="str">
        <f>IFERROR(MID(RADataTable[[#This Row],[RAtemplate]],1,LEN(RADataTable[[#This Row],[RAtemplate]])-8),"RA") &amp; " " &amp; RADataTable[[#This Row],[prop_id0]] &amp; " " &amp; RADataTable[[#This Row],[last0]]</f>
        <v>RA 1763887 Woodruff</v>
      </c>
      <c r="U36" s="21" t="str">
        <f>IF(signer1="PD",IF(ISBLANK(RADataTable[[#This Row],[sign_blck_name]]),"",RADataTable[[#This Row],[sign_blck_name]]),IF(ISBLANK(signer1),"",signer1))</f>
        <v>Rahul Shah</v>
      </c>
      <c r="V36" s="29" t="str">
        <f t="shared" si="1"/>
        <v>Cognizant Program Director</v>
      </c>
      <c r="W36" s="15" t="str">
        <f>HYPERLINK("https://www.ejacket.nsf.gov/ej/showProposal.do?Continue=Y&amp;ID="&amp;RADataTable[[#This Row],[prop_id0]],"eJ")</f>
        <v>eJ</v>
      </c>
      <c r="X36" s="15" t="str">
        <f>HYPERLINK("mailto:"&amp;RADataTable[[#This Row],[email]]&amp;"&amp;subject=Your NSF Proposal:  "&amp;RADataTable[[#This Row],[Div]]&amp;" "&amp;RADataTable[[#This Row],[prop_id0]], RADataTable[[#This Row],[email]])</f>
        <v>dwoodruf@andrew.cmu.edu</v>
      </c>
      <c r="Y36" s="15" t="str">
        <f>HYPERLINK("mailto:"&amp;RADataTable[[#This Row],[allPIemail]]&amp;"&amp;subject=NSF Proposal:  "&amp;RADataTable[[#This Row],[Div]]&amp;" "&amp;RADataTable[[#This Row],[prop_id0]], "PIs@")</f>
        <v>PIs@</v>
      </c>
      <c r="Z36" t="s">
        <v>478</v>
      </c>
      <c r="AA36" t="s">
        <v>1379</v>
      </c>
      <c r="AB36">
        <v>4</v>
      </c>
      <c r="AC36">
        <v>4</v>
      </c>
      <c r="AD36"/>
      <c r="AE36" s="21" t="str">
        <f>IF(RADataTable[[#This Row],[maxScore]]-RADataTable[[#This Row],[minScore]]&gt;4,"Y","")</f>
        <v/>
      </c>
      <c r="AF36" s="21">
        <v>6</v>
      </c>
      <c r="AG36" s="26">
        <v>7</v>
      </c>
      <c r="AH36">
        <v>8</v>
      </c>
      <c r="AI36" t="s">
        <v>1450</v>
      </c>
      <c r="AJ36" s="30">
        <v>43081.438194444447</v>
      </c>
      <c r="AK36" s="13">
        <v>1191636</v>
      </c>
      <c r="AL36" s="13">
        <v>1191636</v>
      </c>
      <c r="AM36">
        <v>0</v>
      </c>
      <c r="AN36" s="30">
        <v>43252</v>
      </c>
      <c r="AO36" s="21">
        <v>48</v>
      </c>
      <c r="AP36" s="21" t="s">
        <v>1807</v>
      </c>
      <c r="AS36" s="30"/>
      <c r="AT36" t="s">
        <v>1262</v>
      </c>
      <c r="AU36" s="21" t="s">
        <v>539</v>
      </c>
      <c r="AV36" s="21">
        <v>7</v>
      </c>
      <c r="AW36" s="21" t="s">
        <v>1971</v>
      </c>
      <c r="AX36" s="30">
        <v>43081</v>
      </c>
      <c r="AY36" s="21" t="s">
        <v>1858</v>
      </c>
      <c r="AZ36" s="21" t="s">
        <v>1973</v>
      </c>
      <c r="BA36" s="21">
        <v>9</v>
      </c>
      <c r="BB36" s="21">
        <v>1</v>
      </c>
      <c r="BG36" s="30"/>
      <c r="BP36" s="30"/>
      <c r="BU36" t="s">
        <v>1379</v>
      </c>
      <c r="BV36" s="21" t="s">
        <v>1380</v>
      </c>
      <c r="BW36" s="21" t="s">
        <v>528</v>
      </c>
      <c r="BX36" s="21" t="s">
        <v>497</v>
      </c>
      <c r="BY36" s="31">
        <v>1191636</v>
      </c>
      <c r="BZ36" s="31">
        <v>1191636</v>
      </c>
      <c r="CA36" t="s">
        <v>1806</v>
      </c>
      <c r="CF36" s="31"/>
      <c r="CG36" s="31"/>
      <c r="CM36" s="31"/>
      <c r="CN36" s="31"/>
      <c r="CT36" s="31"/>
      <c r="CU36" s="31"/>
      <c r="CV36" s="31"/>
      <c r="DA36" s="31"/>
      <c r="DB36" s="31"/>
      <c r="DC36" s="31"/>
      <c r="DH36" s="31"/>
      <c r="DI36" s="31"/>
      <c r="DO36" s="31"/>
      <c r="DP36" s="31"/>
      <c r="DR36" t="s">
        <v>529</v>
      </c>
      <c r="DS36" t="s">
        <v>479</v>
      </c>
      <c r="DT36" t="s">
        <v>583</v>
      </c>
      <c r="DU36" s="29" t="s">
        <v>1856</v>
      </c>
      <c r="DV36" t="s">
        <v>172</v>
      </c>
      <c r="DW36" t="s">
        <v>327</v>
      </c>
      <c r="DX36" t="s">
        <v>170</v>
      </c>
      <c r="DY36" t="s">
        <v>167</v>
      </c>
      <c r="DZ36" t="s">
        <v>168</v>
      </c>
      <c r="EA36" s="22">
        <v>43083.486793981479</v>
      </c>
      <c r="EB36" t="s">
        <v>1808</v>
      </c>
      <c r="EC36" t="s">
        <v>1993</v>
      </c>
    </row>
    <row r="37" spans="1:133" x14ac:dyDescent="0.4">
      <c r="A37" s="30"/>
      <c r="B37" s="22">
        <v>43005.67291666667</v>
      </c>
      <c r="C37" s="22" t="s">
        <v>524</v>
      </c>
      <c r="D37" s="30" t="s">
        <v>477</v>
      </c>
      <c r="E37" s="30" t="s">
        <v>582</v>
      </c>
      <c r="F37" s="30" t="s">
        <v>169</v>
      </c>
      <c r="G37" s="30" t="s">
        <v>171</v>
      </c>
      <c r="H37" t="s">
        <v>94</v>
      </c>
      <c r="I37" t="s">
        <v>525</v>
      </c>
      <c r="J37" t="s">
        <v>611</v>
      </c>
      <c r="L37">
        <v>1</v>
      </c>
      <c r="M37" s="26">
        <v>2.0699999999999998</v>
      </c>
      <c r="N37" t="s">
        <v>540</v>
      </c>
      <c r="Q37" s="29" t="s">
        <v>13</v>
      </c>
      <c r="R37" s="29" t="str">
        <f>IFERROR(MID(RADataTable[[#This Row],[RAtemplate]],1,LEN(RADataTable[[#This Row],[RAtemplate]])-8),"RA") &amp; " " &amp; RADataTable[[#This Row],[prop_id0]] &amp; " " &amp; RADataTable[[#This Row],[last0]]</f>
        <v>RA 1763937 Demaine</v>
      </c>
      <c r="U37" s="21" t="str">
        <f>IF(signer1="PD",IF(ISBLANK(RADataTable[[#This Row],[sign_blck_name]]),"",RADataTable[[#This Row],[sign_blck_name]]),IF(ISBLANK(signer1),"",signer1))</f>
        <v>Tracy J. Kimbrel</v>
      </c>
      <c r="V37" s="29" t="str">
        <f t="shared" si="1"/>
        <v>Cognizant Program Director</v>
      </c>
      <c r="W37" s="15" t="str">
        <f>HYPERLINK("https://www.ejacket.nsf.gov/ej/showProposal.do?Continue=Y&amp;ID="&amp;RADataTable[[#This Row],[prop_id0]],"eJ")</f>
        <v>eJ</v>
      </c>
      <c r="X37" s="15" t="str">
        <f>HYPERLINK("mailto:"&amp;RADataTable[[#This Row],[email]]&amp;"&amp;subject=Your NSF Proposal:  "&amp;RADataTable[[#This Row],[Div]]&amp;" "&amp;RADataTable[[#This Row],[prop_id0]], RADataTable[[#This Row],[email]])</f>
        <v>edemaine@mit.edu</v>
      </c>
      <c r="Y37" s="15" t="str">
        <f>HYPERLINK("mailto:"&amp;RADataTable[[#This Row],[allPIemail]]&amp;"&amp;subject=NSF Proposal:  "&amp;RADataTable[[#This Row],[Div]]&amp;" "&amp;RADataTable[[#This Row],[prop_id0]], "PIs@")</f>
        <v>PIs@</v>
      </c>
      <c r="Z37" t="s">
        <v>478</v>
      </c>
      <c r="AA37" t="s">
        <v>1387</v>
      </c>
      <c r="AB37">
        <v>4</v>
      </c>
      <c r="AC37">
        <v>4</v>
      </c>
      <c r="AD37"/>
      <c r="AE37" s="21" t="str">
        <f>IF(RADataTable[[#This Row],[maxScore]]-RADataTable[[#This Row],[minScore]]&gt;4,"Y","")</f>
        <v/>
      </c>
      <c r="AF37" s="21">
        <v>6</v>
      </c>
      <c r="AG37" s="26">
        <v>6.75</v>
      </c>
      <c r="AH37">
        <v>7</v>
      </c>
      <c r="AI37" t="s">
        <v>1493</v>
      </c>
      <c r="AJ37" s="30">
        <v>43080.599305555559</v>
      </c>
      <c r="AK37" s="13">
        <v>1200000</v>
      </c>
      <c r="AL37" s="13">
        <v>1200000</v>
      </c>
      <c r="AM37">
        <v>0</v>
      </c>
      <c r="AN37" s="30">
        <v>43252</v>
      </c>
      <c r="AO37" s="21">
        <v>48</v>
      </c>
      <c r="AP37" s="21" t="s">
        <v>1811</v>
      </c>
      <c r="AS37" s="30"/>
      <c r="AT37" t="s">
        <v>1262</v>
      </c>
      <c r="AU37" s="21" t="s">
        <v>539</v>
      </c>
      <c r="AV37" s="21">
        <v>7</v>
      </c>
      <c r="AW37" s="21" t="s">
        <v>1971</v>
      </c>
      <c r="AX37" s="30">
        <v>43081</v>
      </c>
      <c r="AY37" s="21" t="s">
        <v>1877</v>
      </c>
      <c r="AZ37" s="21" t="s">
        <v>1973</v>
      </c>
      <c r="BA37" s="21">
        <v>9</v>
      </c>
      <c r="BG37" s="30"/>
      <c r="BP37" s="30"/>
      <c r="BU37" t="s">
        <v>1387</v>
      </c>
      <c r="BV37" s="21" t="s">
        <v>1388</v>
      </c>
      <c r="BW37" s="21" t="s">
        <v>1810</v>
      </c>
      <c r="BX37" s="21" t="s">
        <v>1487</v>
      </c>
      <c r="BY37" s="31">
        <v>600000</v>
      </c>
      <c r="BZ37" s="31">
        <v>600000</v>
      </c>
      <c r="CA37" t="s">
        <v>1809</v>
      </c>
      <c r="CB37" s="21" t="s">
        <v>1813</v>
      </c>
      <c r="CC37" s="21" t="s">
        <v>1814</v>
      </c>
      <c r="CD37" s="21" t="s">
        <v>1815</v>
      </c>
      <c r="CE37" s="21" t="s">
        <v>500</v>
      </c>
      <c r="CF37" s="31">
        <v>600000</v>
      </c>
      <c r="CG37" s="31">
        <v>600000</v>
      </c>
      <c r="CH37" t="s">
        <v>1809</v>
      </c>
      <c r="CM37" s="31"/>
      <c r="CN37" s="31"/>
      <c r="CT37" s="31"/>
      <c r="CU37" s="31"/>
      <c r="CV37" s="31"/>
      <c r="DA37" s="31"/>
      <c r="DB37" s="31"/>
      <c r="DC37" s="31"/>
      <c r="DH37" s="31"/>
      <c r="DI37" s="31"/>
      <c r="DO37" s="31"/>
      <c r="DP37" s="31"/>
      <c r="DR37" t="s">
        <v>529</v>
      </c>
      <c r="DS37" t="s">
        <v>479</v>
      </c>
      <c r="DT37" t="s">
        <v>583</v>
      </c>
      <c r="DU37" s="29" t="s">
        <v>1869</v>
      </c>
      <c r="DV37" t="s">
        <v>172</v>
      </c>
      <c r="DW37" t="s">
        <v>327</v>
      </c>
      <c r="DX37" t="s">
        <v>170</v>
      </c>
      <c r="DY37" t="s">
        <v>167</v>
      </c>
      <c r="DZ37" t="s">
        <v>168</v>
      </c>
      <c r="EA37" s="22">
        <v>43083.486793981479</v>
      </c>
      <c r="EB37" t="s">
        <v>1812</v>
      </c>
      <c r="EC37" t="s">
        <v>1994</v>
      </c>
    </row>
    <row r="38" spans="1:133" x14ac:dyDescent="0.4">
      <c r="A38" s="30"/>
      <c r="B38" s="22">
        <v>42935.723611111112</v>
      </c>
      <c r="C38" s="22" t="s">
        <v>1430</v>
      </c>
      <c r="D38" s="30" t="s">
        <v>477</v>
      </c>
      <c r="E38" s="30" t="s">
        <v>582</v>
      </c>
      <c r="F38" s="30" t="s">
        <v>169</v>
      </c>
      <c r="G38" s="30" t="s">
        <v>171</v>
      </c>
      <c r="H38" t="s">
        <v>94</v>
      </c>
      <c r="I38" t="s">
        <v>1431</v>
      </c>
      <c r="J38" t="s">
        <v>611</v>
      </c>
      <c r="L38">
        <v>1</v>
      </c>
      <c r="M38" s="26">
        <v>2.09</v>
      </c>
      <c r="N38" t="s">
        <v>540</v>
      </c>
      <c r="Q38" s="29" t="s">
        <v>13</v>
      </c>
      <c r="R38" s="29" t="str">
        <f>IFERROR(MID(RADataTable[[#This Row],[RAtemplate]],1,LEN(RADataTable[[#This Row],[RAtemplate]])-8),"RA") &amp; " " &amp; RADataTable[[#This Row],[prop_id0]] &amp; " " &amp; RADataTable[[#This Row],[last0]]</f>
        <v>RA 1751254 Fasy</v>
      </c>
      <c r="U38" s="21" t="str">
        <f>IF(signer1="PD",IF(ISBLANK(RADataTable[[#This Row],[sign_blck_name]]),"",RADataTable[[#This Row],[sign_blck_name]]),IF(ISBLANK(signer1),"",signer1))</f>
        <v>Tracy J. Kimbrel</v>
      </c>
      <c r="V38" s="29" t="str">
        <f t="shared" si="1"/>
        <v>Cognizant Program Director</v>
      </c>
      <c r="W38" s="15" t="str">
        <f>HYPERLINK("https://www.ejacket.nsf.gov/ej/showProposal.do?Continue=Y&amp;ID="&amp;RADataTable[[#This Row],[prop_id0]],"eJ")</f>
        <v>eJ</v>
      </c>
      <c r="X38" s="15" t="str">
        <f>HYPERLINK("mailto:"&amp;RADataTable[[#This Row],[email]]&amp;"&amp;subject=Your NSF Proposal:  "&amp;RADataTable[[#This Row],[Div]]&amp;" "&amp;RADataTable[[#This Row],[prop_id0]], RADataTable[[#This Row],[email]])</f>
        <v>brittany@cs.montana.edu</v>
      </c>
      <c r="Y38" s="15" t="str">
        <f>HYPERLINK("mailto:"&amp;RADataTable[[#This Row],[allPIemail]]&amp;"&amp;subject=NSF Proposal:  "&amp;RADataTable[[#This Row],[Div]]&amp;" "&amp;RADataTable[[#This Row],[prop_id0]], "PIs@")</f>
        <v>PIs@</v>
      </c>
      <c r="Z38" t="s">
        <v>478</v>
      </c>
      <c r="AA38" t="s">
        <v>1073</v>
      </c>
      <c r="AB38">
        <v>4</v>
      </c>
      <c r="AC38">
        <v>4</v>
      </c>
      <c r="AD38"/>
      <c r="AE38" s="21" t="str">
        <f>IF(RADataTable[[#This Row],[maxScore]]-RADataTable[[#This Row],[minScore]]&gt;4,"Y","")</f>
        <v/>
      </c>
      <c r="AF38" s="21">
        <v>5</v>
      </c>
      <c r="AG38" s="26">
        <v>6.5</v>
      </c>
      <c r="AH38">
        <v>7</v>
      </c>
      <c r="AI38" t="s">
        <v>1461</v>
      </c>
      <c r="AJ38" s="30">
        <v>43031.43472222222</v>
      </c>
      <c r="AK38" s="13">
        <v>552355</v>
      </c>
      <c r="AL38" s="13">
        <v>552355</v>
      </c>
      <c r="AM38">
        <v>0</v>
      </c>
      <c r="AN38" s="30">
        <v>43344</v>
      </c>
      <c r="AO38" s="21">
        <v>60</v>
      </c>
      <c r="AP38" s="21" t="s">
        <v>1615</v>
      </c>
      <c r="AS38" s="30"/>
      <c r="AT38" t="s">
        <v>605</v>
      </c>
      <c r="AU38" s="21" t="s">
        <v>539</v>
      </c>
      <c r="AV38" s="21">
        <v>9</v>
      </c>
      <c r="AW38" s="21" t="s">
        <v>1847</v>
      </c>
      <c r="AX38" s="30">
        <v>43032</v>
      </c>
      <c r="AY38" s="21" t="s">
        <v>1862</v>
      </c>
      <c r="AZ38" s="21" t="s">
        <v>1849</v>
      </c>
      <c r="BA38" s="21">
        <v>14</v>
      </c>
      <c r="BG38" s="30"/>
      <c r="BP38" s="30"/>
      <c r="BU38" t="s">
        <v>1073</v>
      </c>
      <c r="BV38" s="21" t="s">
        <v>1074</v>
      </c>
      <c r="BW38" s="21" t="s">
        <v>1613</v>
      </c>
      <c r="BX38" s="21" t="s">
        <v>1614</v>
      </c>
      <c r="BY38" s="31">
        <v>552355</v>
      </c>
      <c r="BZ38" s="31">
        <v>552355</v>
      </c>
      <c r="CA38" t="s">
        <v>1612</v>
      </c>
      <c r="CF38" s="31"/>
      <c r="CG38" s="31"/>
      <c r="CM38" s="31"/>
      <c r="CN38" s="31"/>
      <c r="CT38" s="31"/>
      <c r="CU38" s="31"/>
      <c r="CV38" s="31"/>
      <c r="DA38" s="31"/>
      <c r="DB38" s="31"/>
      <c r="DC38" s="31"/>
      <c r="DH38" s="31"/>
      <c r="DI38" s="31"/>
      <c r="DO38" s="31"/>
      <c r="DP38" s="31"/>
      <c r="DR38" t="s">
        <v>1850</v>
      </c>
      <c r="DS38" t="s">
        <v>479</v>
      </c>
      <c r="DT38" t="s">
        <v>583</v>
      </c>
      <c r="DU38" s="29" t="s">
        <v>1869</v>
      </c>
      <c r="DV38" t="s">
        <v>172</v>
      </c>
      <c r="DW38" t="s">
        <v>327</v>
      </c>
      <c r="DX38" t="s">
        <v>170</v>
      </c>
      <c r="DY38" t="s">
        <v>167</v>
      </c>
      <c r="DZ38" t="s">
        <v>168</v>
      </c>
      <c r="EA38" s="22">
        <v>43083.486793981479</v>
      </c>
      <c r="EB38" t="s">
        <v>1616</v>
      </c>
      <c r="EC38" t="s">
        <v>1930</v>
      </c>
    </row>
    <row r="39" spans="1:133" x14ac:dyDescent="0.4">
      <c r="A39" s="30"/>
      <c r="B39" s="22">
        <v>42934.453472222223</v>
      </c>
      <c r="C39" s="22" t="s">
        <v>1430</v>
      </c>
      <c r="D39" s="30" t="s">
        <v>477</v>
      </c>
      <c r="E39" s="30" t="s">
        <v>582</v>
      </c>
      <c r="F39" s="30" t="s">
        <v>169</v>
      </c>
      <c r="G39" s="30" t="s">
        <v>171</v>
      </c>
      <c r="H39" t="s">
        <v>94</v>
      </c>
      <c r="I39" t="s">
        <v>1431</v>
      </c>
      <c r="J39" t="s">
        <v>654</v>
      </c>
      <c r="L39">
        <v>1</v>
      </c>
      <c r="M39" s="26">
        <v>2.1</v>
      </c>
      <c r="N39" t="s">
        <v>540</v>
      </c>
      <c r="Q39" s="29" t="s">
        <v>13</v>
      </c>
      <c r="R39" s="29" t="str">
        <f>IFERROR(MID(RADataTable[[#This Row],[RAtemplate]],1,LEN(RADataTable[[#This Row],[RAtemplate]])-8),"RA") &amp; " " &amp; RADataTable[[#This Row],[prop_id0]] &amp; " " &amp; RADataTable[[#This Row],[last0]]</f>
        <v>RA 1749678 Im</v>
      </c>
      <c r="U39" s="21" t="str">
        <f>IF(signer1="PD",IF(ISBLANK(RADataTable[[#This Row],[sign_blck_name]]),"",RADataTable[[#This Row],[sign_blck_name]]),IF(ISBLANK(signer1),"",signer1))</f>
        <v>Rahul Shah</v>
      </c>
      <c r="V39" s="29" t="str">
        <f t="shared" si="1"/>
        <v>Cognizant Program Director</v>
      </c>
      <c r="W39" s="15" t="str">
        <f>HYPERLINK("https://www.ejacket.nsf.gov/ej/showProposal.do?Continue=Y&amp;ID="&amp;RADataTable[[#This Row],[prop_id0]],"eJ")</f>
        <v>eJ</v>
      </c>
      <c r="X39" s="15" t="str">
        <f>HYPERLINK("mailto:"&amp;RADataTable[[#This Row],[email]]&amp;"&amp;subject=Your NSF Proposal:  "&amp;RADataTable[[#This Row],[Div]]&amp;" "&amp;RADataTable[[#This Row],[prop_id0]], RADataTable[[#This Row],[email]])</f>
        <v>sim3@ucmerced.edu</v>
      </c>
      <c r="Y39" s="15" t="str">
        <f>HYPERLINK("mailto:"&amp;RADataTable[[#This Row],[allPIemail]]&amp;"&amp;subject=NSF Proposal:  "&amp;RADataTable[[#This Row],[Div]]&amp;" "&amp;RADataTable[[#This Row],[prop_id0]], "PIs@")</f>
        <v>PIs@</v>
      </c>
      <c r="Z39" t="s">
        <v>478</v>
      </c>
      <c r="AA39" t="s">
        <v>685</v>
      </c>
      <c r="AB39">
        <v>4</v>
      </c>
      <c r="AC39">
        <v>4</v>
      </c>
      <c r="AD39"/>
      <c r="AE39" s="21" t="str">
        <f>IF(RADataTable[[#This Row],[maxScore]]-RADataTable[[#This Row],[minScore]]&gt;4,"Y","")</f>
        <v/>
      </c>
      <c r="AF39" s="21">
        <v>5</v>
      </c>
      <c r="AG39" s="26">
        <v>6.5</v>
      </c>
      <c r="AH39">
        <v>7</v>
      </c>
      <c r="AI39" t="s">
        <v>1461</v>
      </c>
      <c r="AJ39" s="30">
        <v>43032.518055555556</v>
      </c>
      <c r="AK39" s="13">
        <v>514477</v>
      </c>
      <c r="AL39" s="13">
        <v>514477</v>
      </c>
      <c r="AM39">
        <v>0</v>
      </c>
      <c r="AN39" s="30">
        <v>43282</v>
      </c>
      <c r="AO39" s="21">
        <v>60</v>
      </c>
      <c r="AP39" s="21" t="s">
        <v>1462</v>
      </c>
      <c r="AS39" s="30"/>
      <c r="AT39" t="s">
        <v>605</v>
      </c>
      <c r="AU39" s="21" t="s">
        <v>539</v>
      </c>
      <c r="AV39" s="21">
        <v>10</v>
      </c>
      <c r="AW39" s="21" t="s">
        <v>1847</v>
      </c>
      <c r="AX39" s="30">
        <v>43032</v>
      </c>
      <c r="AY39" s="21" t="s">
        <v>1862</v>
      </c>
      <c r="AZ39" s="21" t="s">
        <v>1849</v>
      </c>
      <c r="BA39" s="21">
        <v>14</v>
      </c>
      <c r="BG39" s="30"/>
      <c r="BP39" s="30"/>
      <c r="BU39" t="s">
        <v>685</v>
      </c>
      <c r="BV39" s="21" t="s">
        <v>686</v>
      </c>
      <c r="BW39" s="21" t="s">
        <v>1459</v>
      </c>
      <c r="BX39" s="21" t="s">
        <v>1460</v>
      </c>
      <c r="BY39" s="31">
        <v>514477</v>
      </c>
      <c r="BZ39" s="31">
        <v>514477</v>
      </c>
      <c r="CA39" t="s">
        <v>1432</v>
      </c>
      <c r="CF39" s="31"/>
      <c r="CG39" s="31"/>
      <c r="CM39" s="31"/>
      <c r="CN39" s="31"/>
      <c r="CT39" s="31"/>
      <c r="CU39" s="31"/>
      <c r="CV39" s="31"/>
      <c r="DA39" s="31"/>
      <c r="DB39" s="31"/>
      <c r="DC39" s="31"/>
      <c r="DH39" s="31"/>
      <c r="DI39" s="31"/>
      <c r="DO39" s="31"/>
      <c r="DP39" s="31"/>
      <c r="DR39" t="s">
        <v>1850</v>
      </c>
      <c r="DS39" t="s">
        <v>479</v>
      </c>
      <c r="DT39" t="s">
        <v>583</v>
      </c>
      <c r="DU39" s="29" t="s">
        <v>1856</v>
      </c>
      <c r="DV39" t="s">
        <v>172</v>
      </c>
      <c r="DW39" t="s">
        <v>327</v>
      </c>
      <c r="DX39" t="s">
        <v>170</v>
      </c>
      <c r="DY39" t="s">
        <v>167</v>
      </c>
      <c r="DZ39" t="s">
        <v>168</v>
      </c>
      <c r="EA39" s="22">
        <v>43083.486793981479</v>
      </c>
      <c r="EB39" t="s">
        <v>1463</v>
      </c>
      <c r="EC39" t="s">
        <v>1863</v>
      </c>
    </row>
    <row r="40" spans="1:133" x14ac:dyDescent="0.4">
      <c r="A40" s="30"/>
      <c r="B40" s="22">
        <v>42935.696527777778</v>
      </c>
      <c r="C40" s="22" t="s">
        <v>1430</v>
      </c>
      <c r="D40" s="30" t="s">
        <v>477</v>
      </c>
      <c r="E40" s="30" t="s">
        <v>582</v>
      </c>
      <c r="F40" s="30" t="s">
        <v>169</v>
      </c>
      <c r="G40" s="30" t="s">
        <v>171</v>
      </c>
      <c r="H40" t="s">
        <v>94</v>
      </c>
      <c r="I40" t="s">
        <v>1431</v>
      </c>
      <c r="J40" t="s">
        <v>604</v>
      </c>
      <c r="L40">
        <v>1</v>
      </c>
      <c r="M40" s="26">
        <v>2.1</v>
      </c>
      <c r="N40" t="s">
        <v>540</v>
      </c>
      <c r="Q40" s="29" t="s">
        <v>13</v>
      </c>
      <c r="R40" s="29" t="str">
        <f>IFERROR(MID(RADataTable[[#This Row],[RAtemplate]],1,LEN(RADataTable[[#This Row],[RAtemplate]])-8),"RA") &amp; " " &amp; RADataTable[[#This Row],[prop_id0]] &amp; " " &amp; RADataTable[[#This Row],[last0]]</f>
        <v>RA 1751135 Nayyeri</v>
      </c>
      <c r="U40" s="21" t="str">
        <f>IF(signer1="PD",IF(ISBLANK(RADataTable[[#This Row],[sign_blck_name]]),"",RADataTable[[#This Row],[sign_blck_name]]),IF(ISBLANK(signer1),"",signer1))</f>
        <v>Jack Snoeyink</v>
      </c>
      <c r="V40" s="29" t="str">
        <f t="shared" si="1"/>
        <v>Cognizant Program Director</v>
      </c>
      <c r="W40" s="15" t="str">
        <f>HYPERLINK("https://www.ejacket.nsf.gov/ej/showProposal.do?Continue=Y&amp;ID="&amp;RADataTable[[#This Row],[prop_id0]],"eJ")</f>
        <v>eJ</v>
      </c>
      <c r="X40" s="15" t="str">
        <f>HYPERLINK("mailto:"&amp;RADataTable[[#This Row],[email]]&amp;"&amp;subject=Your NSF Proposal:  "&amp;RADataTable[[#This Row],[Div]]&amp;" "&amp;RADataTable[[#This Row],[prop_id0]], RADataTable[[#This Row],[email]])</f>
        <v>nayyeria@eecs.oregonstate.edu</v>
      </c>
      <c r="Y40" s="15" t="str">
        <f>HYPERLINK("mailto:"&amp;RADataTable[[#This Row],[allPIemail]]&amp;"&amp;subject=NSF Proposal:  "&amp;RADataTable[[#This Row],[Div]]&amp;" "&amp;RADataTable[[#This Row],[prop_id0]], "PIs@")</f>
        <v>PIs@</v>
      </c>
      <c r="Z40" t="s">
        <v>478</v>
      </c>
      <c r="AA40" t="s">
        <v>1048</v>
      </c>
      <c r="AB40">
        <v>4</v>
      </c>
      <c r="AC40">
        <v>4</v>
      </c>
      <c r="AD40"/>
      <c r="AE40" s="21" t="str">
        <f>IF(RADataTable[[#This Row],[maxScore]]-RADataTable[[#This Row],[minScore]]&gt;4,"Y","")</f>
        <v/>
      </c>
      <c r="AF40" s="21">
        <v>6</v>
      </c>
      <c r="AG40" s="26">
        <v>6.75</v>
      </c>
      <c r="AH40">
        <v>7</v>
      </c>
      <c r="AI40" t="s">
        <v>1493</v>
      </c>
      <c r="AJ40" s="30">
        <v>43031.69027777778</v>
      </c>
      <c r="AK40" s="13">
        <v>607459</v>
      </c>
      <c r="AL40" s="13">
        <v>607459</v>
      </c>
      <c r="AM40">
        <v>0</v>
      </c>
      <c r="AN40" s="30">
        <v>43344</v>
      </c>
      <c r="AO40" s="21">
        <v>60</v>
      </c>
      <c r="AP40" s="21" t="s">
        <v>1601</v>
      </c>
      <c r="AS40" s="30"/>
      <c r="AT40" t="s">
        <v>605</v>
      </c>
      <c r="AU40" s="21" t="s">
        <v>539</v>
      </c>
      <c r="AV40" s="21">
        <v>10</v>
      </c>
      <c r="AW40" s="21" t="s">
        <v>1847</v>
      </c>
      <c r="AX40" s="30">
        <v>43032</v>
      </c>
      <c r="AY40" s="21" t="s">
        <v>1877</v>
      </c>
      <c r="AZ40" s="21" t="s">
        <v>1849</v>
      </c>
      <c r="BA40" s="21">
        <v>14</v>
      </c>
      <c r="BB40" s="21">
        <v>2</v>
      </c>
      <c r="BG40" s="30"/>
      <c r="BP40" s="30"/>
      <c r="BU40" t="s">
        <v>1048</v>
      </c>
      <c r="BV40" s="21" t="s">
        <v>1049</v>
      </c>
      <c r="BW40" s="21" t="s">
        <v>1599</v>
      </c>
      <c r="BX40" s="21" t="s">
        <v>1600</v>
      </c>
      <c r="BY40" s="31">
        <v>607459</v>
      </c>
      <c r="BZ40" s="31">
        <v>607459</v>
      </c>
      <c r="CA40" t="s">
        <v>1439</v>
      </c>
      <c r="CF40" s="31"/>
      <c r="CG40" s="31"/>
      <c r="CM40" s="31"/>
      <c r="CN40" s="31"/>
      <c r="CT40" s="31"/>
      <c r="CU40" s="31"/>
      <c r="CV40" s="31"/>
      <c r="DA40" s="31"/>
      <c r="DB40" s="31"/>
      <c r="DC40" s="31"/>
      <c r="DH40" s="31"/>
      <c r="DI40" s="31"/>
      <c r="DO40" s="31"/>
      <c r="DP40" s="31"/>
      <c r="DR40" t="s">
        <v>1850</v>
      </c>
      <c r="DS40" t="s">
        <v>479</v>
      </c>
      <c r="DT40" t="s">
        <v>583</v>
      </c>
      <c r="DU40" s="29" t="s">
        <v>1851</v>
      </c>
      <c r="DV40" t="s">
        <v>172</v>
      </c>
      <c r="DW40" t="s">
        <v>327</v>
      </c>
      <c r="DX40" t="s">
        <v>170</v>
      </c>
      <c r="DY40" t="s">
        <v>167</v>
      </c>
      <c r="DZ40" t="s">
        <v>168</v>
      </c>
      <c r="EA40" s="22">
        <v>43083.486793981479</v>
      </c>
      <c r="EB40" t="s">
        <v>1602</v>
      </c>
      <c r="EC40" t="s">
        <v>1926</v>
      </c>
    </row>
    <row r="41" spans="1:133" x14ac:dyDescent="0.4">
      <c r="A41" s="30"/>
      <c r="B41" s="22">
        <v>42935.70416666667</v>
      </c>
      <c r="C41" s="22" t="s">
        <v>1430</v>
      </c>
      <c r="D41" s="30" t="s">
        <v>477</v>
      </c>
      <c r="E41" s="30" t="s">
        <v>582</v>
      </c>
      <c r="F41" s="30" t="s">
        <v>169</v>
      </c>
      <c r="G41" s="30" t="s">
        <v>171</v>
      </c>
      <c r="H41" t="s">
        <v>94</v>
      </c>
      <c r="I41" t="s">
        <v>1431</v>
      </c>
      <c r="J41" t="s">
        <v>654</v>
      </c>
      <c r="L41">
        <v>1</v>
      </c>
      <c r="M41" s="26">
        <v>2.1</v>
      </c>
      <c r="N41" t="s">
        <v>540</v>
      </c>
      <c r="Q41" s="29" t="s">
        <v>13</v>
      </c>
      <c r="R41" s="29" t="str">
        <f>IFERROR(MID(RADataTable[[#This Row],[RAtemplate]],1,LEN(RADataTable[[#This Row],[RAtemplate]])-8),"RA") &amp; " " &amp; RADataTable[[#This Row],[prop_id0]] &amp; " " &amp; RADataTable[[#This Row],[last0]]</f>
        <v>RA 1751181 Young</v>
      </c>
      <c r="U41" s="21" t="str">
        <f>IF(signer1="PD",IF(ISBLANK(RADataTable[[#This Row],[sign_blck_name]]),"",RADataTable[[#This Row],[sign_blck_name]]),IF(ISBLANK(signer1),"",signer1))</f>
        <v>Rahul Shah</v>
      </c>
      <c r="V41" s="29" t="str">
        <f t="shared" si="1"/>
        <v>Cognizant Program Director</v>
      </c>
      <c r="W41" s="15" t="str">
        <f>HYPERLINK("https://www.ejacket.nsf.gov/ej/showProposal.do?Continue=Y&amp;ID="&amp;RADataTable[[#This Row],[prop_id0]],"eJ")</f>
        <v>eJ</v>
      </c>
      <c r="X41" s="15" t="str">
        <f>HYPERLINK("mailto:"&amp;RADataTable[[#This Row],[email]]&amp;"&amp;subject=Your NSF Proposal:  "&amp;RADataTable[[#This Row],[Div]]&amp;" "&amp;RADataTable[[#This Row],[prop_id0]], RADataTable[[#This Row],[email]])</f>
        <v>maxwelly@outlook.com</v>
      </c>
      <c r="Y41" s="15" t="str">
        <f>HYPERLINK("mailto:"&amp;RADataTable[[#This Row],[allPIemail]]&amp;"&amp;subject=NSF Proposal:  "&amp;RADataTable[[#This Row],[Div]]&amp;" "&amp;RADataTable[[#This Row],[prop_id0]], "PIs@")</f>
        <v>PIs@</v>
      </c>
      <c r="Z41" t="s">
        <v>478</v>
      </c>
      <c r="AA41" t="s">
        <v>1056</v>
      </c>
      <c r="AB41">
        <v>4</v>
      </c>
      <c r="AC41">
        <v>4</v>
      </c>
      <c r="AD41"/>
      <c r="AE41" s="21" t="str">
        <f>IF(RADataTable[[#This Row],[maxScore]]-RADataTable[[#This Row],[minScore]]&gt;4,"Y","")</f>
        <v>Y</v>
      </c>
      <c r="AF41" s="21">
        <v>4</v>
      </c>
      <c r="AG41" s="26">
        <v>5.75</v>
      </c>
      <c r="AH41">
        <v>9</v>
      </c>
      <c r="AI41" t="s">
        <v>1606</v>
      </c>
      <c r="AJ41" s="30">
        <v>43059.229861111111</v>
      </c>
      <c r="AK41" s="13">
        <v>400000</v>
      </c>
      <c r="AL41" s="13">
        <v>400000</v>
      </c>
      <c r="AM41">
        <v>0</v>
      </c>
      <c r="AN41" s="30">
        <v>43344</v>
      </c>
      <c r="AO41" s="21">
        <v>60</v>
      </c>
      <c r="AP41" s="21" t="s">
        <v>1607</v>
      </c>
      <c r="AS41" s="30"/>
      <c r="AT41" t="s">
        <v>714</v>
      </c>
      <c r="AU41" s="21" t="s">
        <v>539</v>
      </c>
      <c r="AV41" s="21">
        <v>10</v>
      </c>
      <c r="AW41" s="21" t="s">
        <v>1866</v>
      </c>
      <c r="AX41" s="30">
        <v>43060</v>
      </c>
      <c r="AY41" s="21" t="s">
        <v>1927</v>
      </c>
      <c r="AZ41" s="21" t="s">
        <v>1868</v>
      </c>
      <c r="BA41" s="21">
        <v>12</v>
      </c>
      <c r="BG41" s="30"/>
      <c r="BP41" s="30"/>
      <c r="BU41" t="s">
        <v>1056</v>
      </c>
      <c r="BV41" s="21" t="s">
        <v>1057</v>
      </c>
      <c r="BW41" s="21" t="s">
        <v>1604</v>
      </c>
      <c r="BX41" s="21" t="s">
        <v>1605</v>
      </c>
      <c r="BY41" s="31">
        <v>400000</v>
      </c>
      <c r="BZ41" s="31">
        <v>400000</v>
      </c>
      <c r="CA41" t="s">
        <v>1603</v>
      </c>
      <c r="CF41" s="31"/>
      <c r="CG41" s="31"/>
      <c r="CM41" s="31"/>
      <c r="CN41" s="31"/>
      <c r="CT41" s="31"/>
      <c r="CU41" s="31"/>
      <c r="CV41" s="31"/>
      <c r="DA41" s="31"/>
      <c r="DB41" s="31"/>
      <c r="DC41" s="31"/>
      <c r="DH41" s="31"/>
      <c r="DI41" s="31"/>
      <c r="DO41" s="31"/>
      <c r="DP41" s="31"/>
      <c r="DR41" t="s">
        <v>1850</v>
      </c>
      <c r="DS41" t="s">
        <v>479</v>
      </c>
      <c r="DT41" t="s">
        <v>583</v>
      </c>
      <c r="DU41" s="29" t="s">
        <v>1856</v>
      </c>
      <c r="DV41" t="s">
        <v>172</v>
      </c>
      <c r="DW41" t="s">
        <v>327</v>
      </c>
      <c r="DX41" t="s">
        <v>170</v>
      </c>
      <c r="DY41" t="s">
        <v>167</v>
      </c>
      <c r="DZ41" t="s">
        <v>168</v>
      </c>
      <c r="EA41" s="22">
        <v>43083.486793981479</v>
      </c>
      <c r="EB41" t="s">
        <v>1608</v>
      </c>
      <c r="EC41" t="s">
        <v>1928</v>
      </c>
    </row>
    <row r="42" spans="1:133" x14ac:dyDescent="0.4">
      <c r="A42" s="30"/>
      <c r="B42" s="22">
        <v>42935.69027777778</v>
      </c>
      <c r="C42" s="22" t="s">
        <v>1430</v>
      </c>
      <c r="D42" s="30" t="s">
        <v>477</v>
      </c>
      <c r="E42" s="30" t="s">
        <v>582</v>
      </c>
      <c r="F42" s="30" t="s">
        <v>169</v>
      </c>
      <c r="G42" s="30" t="s">
        <v>171</v>
      </c>
      <c r="H42" t="s">
        <v>94</v>
      </c>
      <c r="I42" t="s">
        <v>1431</v>
      </c>
      <c r="J42" t="s">
        <v>604</v>
      </c>
      <c r="L42">
        <v>1</v>
      </c>
      <c r="M42" s="26">
        <v>2.12</v>
      </c>
      <c r="N42" t="s">
        <v>540</v>
      </c>
      <c r="Q42" s="29" t="s">
        <v>13</v>
      </c>
      <c r="R42" s="29" t="str">
        <f>IFERROR(MID(RADataTable[[#This Row],[RAtemplate]],1,LEN(RADataTable[[#This Row],[RAtemplate]])-8),"RA") &amp; " " &amp; RADataTable[[#This Row],[prop_id0]] &amp; " " &amp; RADataTable[[#This Row],[last0]]</f>
        <v>RA 1751102 Vouga</v>
      </c>
      <c r="U42" s="21" t="str">
        <f>IF(signer1="PD",IF(ISBLANK(RADataTable[[#This Row],[sign_blck_name]]),"",RADataTable[[#This Row],[sign_blck_name]]),IF(ISBLANK(signer1),"",signer1))</f>
        <v>Jack Snoeyink</v>
      </c>
      <c r="V42" s="29" t="str">
        <f t="shared" si="1"/>
        <v>Cognizant Program Director</v>
      </c>
      <c r="W42" s="15" t="str">
        <f>HYPERLINK("https://www.ejacket.nsf.gov/ej/showProposal.do?Continue=Y&amp;ID="&amp;RADataTable[[#This Row],[prop_id0]],"eJ")</f>
        <v>eJ</v>
      </c>
      <c r="X42" s="15" t="str">
        <f>HYPERLINK("mailto:"&amp;RADataTable[[#This Row],[email]]&amp;"&amp;subject=Your NSF Proposal:  "&amp;RADataTable[[#This Row],[Div]]&amp;" "&amp;RADataTable[[#This Row],[prop_id0]], RADataTable[[#This Row],[email]])</f>
        <v>evouga@cs.utexas.edu</v>
      </c>
      <c r="Y42" s="15" t="str">
        <f>HYPERLINK("mailto:"&amp;RADataTable[[#This Row],[allPIemail]]&amp;"&amp;subject=NSF Proposal:  "&amp;RADataTable[[#This Row],[Div]]&amp;" "&amp;RADataTable[[#This Row],[prop_id0]], "PIs@")</f>
        <v>PIs@</v>
      </c>
      <c r="Z42" t="s">
        <v>478</v>
      </c>
      <c r="AA42" t="s">
        <v>1039</v>
      </c>
      <c r="AB42">
        <v>4</v>
      </c>
      <c r="AC42">
        <v>4</v>
      </c>
      <c r="AD42"/>
      <c r="AE42" s="21" t="str">
        <f>IF(RADataTable[[#This Row],[maxScore]]-RADataTable[[#This Row],[minScore]]&gt;4,"Y","")</f>
        <v/>
      </c>
      <c r="AF42" s="21">
        <v>5</v>
      </c>
      <c r="AG42" s="26">
        <v>6.5</v>
      </c>
      <c r="AH42">
        <v>7</v>
      </c>
      <c r="AI42" t="s">
        <v>1461</v>
      </c>
      <c r="AJ42" s="30">
        <v>43031.392361111109</v>
      </c>
      <c r="AK42" s="13">
        <v>523537</v>
      </c>
      <c r="AL42" s="13">
        <v>523537</v>
      </c>
      <c r="AM42">
        <v>0</v>
      </c>
      <c r="AN42" s="30">
        <v>43344</v>
      </c>
      <c r="AO42" s="21">
        <v>60</v>
      </c>
      <c r="AP42" s="21" t="s">
        <v>1596</v>
      </c>
      <c r="AS42" s="30"/>
      <c r="AT42" t="s">
        <v>605</v>
      </c>
      <c r="AU42" s="21" t="s">
        <v>539</v>
      </c>
      <c r="AV42" s="21">
        <v>12</v>
      </c>
      <c r="AW42" s="21" t="s">
        <v>1847</v>
      </c>
      <c r="AX42" s="30">
        <v>43032</v>
      </c>
      <c r="AY42" s="21" t="s">
        <v>1862</v>
      </c>
      <c r="AZ42" s="21" t="s">
        <v>1849</v>
      </c>
      <c r="BA42" s="21">
        <v>14</v>
      </c>
      <c r="BG42" s="30"/>
      <c r="BP42" s="30"/>
      <c r="BU42" t="s">
        <v>1039</v>
      </c>
      <c r="BV42" s="21" t="s">
        <v>1040</v>
      </c>
      <c r="BW42" s="21" t="s">
        <v>1534</v>
      </c>
      <c r="BX42" s="21" t="s">
        <v>550</v>
      </c>
      <c r="BY42" s="31">
        <v>523537</v>
      </c>
      <c r="BZ42" s="31">
        <v>523537</v>
      </c>
      <c r="CA42" t="s">
        <v>1439</v>
      </c>
      <c r="CF42" s="31"/>
      <c r="CG42" s="31"/>
      <c r="CM42" s="31"/>
      <c r="CN42" s="31"/>
      <c r="CT42" s="31"/>
      <c r="CU42" s="31"/>
      <c r="CV42" s="31"/>
      <c r="DA42" s="31"/>
      <c r="DB42" s="31"/>
      <c r="DC42" s="31"/>
      <c r="DH42" s="31"/>
      <c r="DI42" s="31"/>
      <c r="DO42" s="31"/>
      <c r="DP42" s="31"/>
      <c r="DR42" t="s">
        <v>1850</v>
      </c>
      <c r="DS42" t="s">
        <v>479</v>
      </c>
      <c r="DT42" t="s">
        <v>583</v>
      </c>
      <c r="DU42" s="29" t="s">
        <v>1851</v>
      </c>
      <c r="DV42" t="s">
        <v>172</v>
      </c>
      <c r="DW42" t="s">
        <v>327</v>
      </c>
      <c r="DX42" t="s">
        <v>170</v>
      </c>
      <c r="DY42" t="s">
        <v>167</v>
      </c>
      <c r="DZ42" t="s">
        <v>168</v>
      </c>
      <c r="EA42" s="22">
        <v>43083.486793981479</v>
      </c>
      <c r="EB42" t="s">
        <v>1597</v>
      </c>
      <c r="EC42" t="s">
        <v>1925</v>
      </c>
    </row>
    <row r="43" spans="1:133" x14ac:dyDescent="0.4">
      <c r="A43" s="30"/>
      <c r="B43" s="22">
        <v>42956.472222222219</v>
      </c>
      <c r="C43" s="22" t="s">
        <v>1621</v>
      </c>
      <c r="D43" s="30" t="s">
        <v>477</v>
      </c>
      <c r="E43" s="30" t="s">
        <v>578</v>
      </c>
      <c r="F43" s="30" t="s">
        <v>169</v>
      </c>
      <c r="G43" s="30" t="s">
        <v>171</v>
      </c>
      <c r="H43" t="s">
        <v>94</v>
      </c>
      <c r="I43" t="s">
        <v>1630</v>
      </c>
      <c r="J43" t="s">
        <v>604</v>
      </c>
      <c r="K43" s="22">
        <v>43082.662800925929</v>
      </c>
      <c r="L43">
        <v>1</v>
      </c>
      <c r="M43" s="26">
        <v>3.04</v>
      </c>
      <c r="N43" t="s">
        <v>542</v>
      </c>
      <c r="Q43" s="29" t="s">
        <v>13</v>
      </c>
      <c r="R43" s="29" t="str">
        <f>IFERROR(MID(RADataTable[[#This Row],[RAtemplate]],1,LEN(RADataTable[[#This Row],[RAtemplate]])-8),"RA") &amp; " " &amp; RADataTable[[#This Row],[prop_id0]] &amp; " " &amp; RADataTable[[#This Row],[last0]]</f>
        <v>RA 1755702 Charkhgard</v>
      </c>
      <c r="U43" s="21" t="str">
        <f>IF(signer1="PD",IF(ISBLANK(RADataTable[[#This Row],[sign_blck_name]]),"",RADataTable[[#This Row],[sign_blck_name]]),IF(ISBLANK(signer1),"",signer1))</f>
        <v>Jack Snoeyink</v>
      </c>
      <c r="V43" s="29" t="str">
        <f t="shared" si="1"/>
        <v>Cognizant Program Director</v>
      </c>
      <c r="W43" s="15" t="str">
        <f>HYPERLINK("https://www.ejacket.nsf.gov/ej/showProposal.do?Continue=Y&amp;ID="&amp;RADataTable[[#This Row],[prop_id0]],"eJ")</f>
        <v>eJ</v>
      </c>
      <c r="X43" s="15" t="str">
        <f>HYPERLINK("mailto:"&amp;RADataTable[[#This Row],[email]]&amp;"&amp;subject=Your NSF Proposal:  "&amp;RADataTable[[#This Row],[Div]]&amp;" "&amp;RADataTable[[#This Row],[prop_id0]], RADataTable[[#This Row],[email]])</f>
        <v>hcharkhgard@usf.edu</v>
      </c>
      <c r="Y43" s="15" t="str">
        <f>HYPERLINK("mailto:"&amp;RADataTable[[#This Row],[allPIemail]]&amp;"&amp;subject=NSF Proposal:  "&amp;RADataTable[[#This Row],[Div]]&amp;" "&amp;RADataTable[[#This Row],[prop_id0]], "PIs@")</f>
        <v>PIs@</v>
      </c>
      <c r="Z43" t="s">
        <v>478</v>
      </c>
      <c r="AA43" t="s">
        <v>1147</v>
      </c>
      <c r="AB43">
        <v>3</v>
      </c>
      <c r="AC43">
        <v>3</v>
      </c>
      <c r="AD43"/>
      <c r="AE43" s="21" t="str">
        <f>IF(RADataTable[[#This Row],[maxScore]]-RADataTable[[#This Row],[minScore]]&gt;4,"Y","")</f>
        <v/>
      </c>
      <c r="AF43" s="21">
        <v>5</v>
      </c>
      <c r="AG43" s="26">
        <v>5</v>
      </c>
      <c r="AH43">
        <v>5</v>
      </c>
      <c r="AI43" t="s">
        <v>1652</v>
      </c>
      <c r="AJ43" s="30">
        <v>43031.770833333336</v>
      </c>
      <c r="AK43" s="13">
        <v>172682</v>
      </c>
      <c r="AL43" s="13">
        <v>172682</v>
      </c>
      <c r="AM43">
        <v>0</v>
      </c>
      <c r="AN43" s="30">
        <v>43221</v>
      </c>
      <c r="AO43" s="21">
        <v>24</v>
      </c>
      <c r="AP43" s="21" t="s">
        <v>1653</v>
      </c>
      <c r="AS43" s="30"/>
      <c r="AT43" t="s">
        <v>605</v>
      </c>
      <c r="AU43" s="21" t="s">
        <v>541</v>
      </c>
      <c r="AV43" s="21">
        <v>4</v>
      </c>
      <c r="AW43" s="21" t="s">
        <v>1847</v>
      </c>
      <c r="AX43" s="30">
        <v>43032</v>
      </c>
      <c r="AY43" s="21" t="s">
        <v>1947</v>
      </c>
      <c r="AZ43" s="21" t="s">
        <v>1849</v>
      </c>
      <c r="BA43" s="21">
        <v>14</v>
      </c>
      <c r="BG43" s="30"/>
      <c r="BP43" s="30"/>
      <c r="BU43" t="s">
        <v>1147</v>
      </c>
      <c r="BV43" s="21" t="s">
        <v>1148</v>
      </c>
      <c r="BW43" s="21" t="s">
        <v>1651</v>
      </c>
      <c r="BX43" s="21" t="s">
        <v>558</v>
      </c>
      <c r="BY43" s="31">
        <v>172682</v>
      </c>
      <c r="BZ43" s="31">
        <v>172682</v>
      </c>
      <c r="CA43" t="s">
        <v>1631</v>
      </c>
      <c r="CF43" s="31"/>
      <c r="CG43" s="31"/>
      <c r="CM43" s="31"/>
      <c r="CN43" s="31"/>
      <c r="CT43" s="31"/>
      <c r="CU43" s="31"/>
      <c r="CV43" s="31"/>
      <c r="DA43" s="31"/>
      <c r="DB43" s="31"/>
      <c r="DC43" s="31"/>
      <c r="DH43" s="31"/>
      <c r="DI43" s="31"/>
      <c r="DO43" s="31"/>
      <c r="DP43" s="31"/>
      <c r="DR43" t="s">
        <v>1936</v>
      </c>
      <c r="DS43" t="s">
        <v>479</v>
      </c>
      <c r="DT43" t="s">
        <v>579</v>
      </c>
      <c r="DU43" s="29" t="s">
        <v>1851</v>
      </c>
      <c r="DV43" t="s">
        <v>172</v>
      </c>
      <c r="DW43" t="s">
        <v>327</v>
      </c>
      <c r="DX43" t="s">
        <v>170</v>
      </c>
      <c r="DY43" t="s">
        <v>167</v>
      </c>
      <c r="DZ43" t="s">
        <v>168</v>
      </c>
      <c r="EA43" s="22">
        <v>43083.486793981479</v>
      </c>
      <c r="EB43" t="s">
        <v>1654</v>
      </c>
      <c r="EC43" t="s">
        <v>1948</v>
      </c>
    </row>
    <row r="44" spans="1:133" x14ac:dyDescent="0.4">
      <c r="A44" s="30"/>
      <c r="B44" s="22">
        <v>42954.456944444442</v>
      </c>
      <c r="C44" s="22" t="s">
        <v>1621</v>
      </c>
      <c r="D44" s="30" t="s">
        <v>477</v>
      </c>
      <c r="E44" s="30" t="s">
        <v>578</v>
      </c>
      <c r="F44" s="30" t="s">
        <v>169</v>
      </c>
      <c r="G44" s="30" t="s">
        <v>171</v>
      </c>
      <c r="H44" t="s">
        <v>94</v>
      </c>
      <c r="I44" t="s">
        <v>1630</v>
      </c>
      <c r="J44" t="s">
        <v>611</v>
      </c>
      <c r="K44" s="22">
        <v>43082.662870370368</v>
      </c>
      <c r="L44">
        <v>1</v>
      </c>
      <c r="M44" s="26">
        <v>3.05</v>
      </c>
      <c r="N44" t="s">
        <v>542</v>
      </c>
      <c r="Q44" s="29" t="s">
        <v>13</v>
      </c>
      <c r="R44" s="29" t="str">
        <f>IFERROR(MID(RADataTable[[#This Row],[RAtemplate]],1,LEN(RADataTable[[#This Row],[RAtemplate]])-8),"RA") &amp; " " &amp; RADataTable[[#This Row],[prop_id0]] &amp; " " &amp; RADataTable[[#This Row],[last0]]</f>
        <v>RA 1755471 Tong</v>
      </c>
      <c r="U44" s="21" t="str">
        <f>IF(signer1="PD",IF(ISBLANK(RADataTable[[#This Row],[sign_blck_name]]),"",RADataTable[[#This Row],[sign_blck_name]]),IF(ISBLANK(signer1),"",signer1))</f>
        <v>Tracy J. Kimbrel</v>
      </c>
      <c r="V44" s="29" t="str">
        <f t="shared" si="1"/>
        <v>Cognizant Program Director</v>
      </c>
      <c r="W44" s="15" t="str">
        <f>HYPERLINK("https://www.ejacket.nsf.gov/ej/showProposal.do?Continue=Y&amp;ID="&amp;RADataTable[[#This Row],[prop_id0]],"eJ")</f>
        <v>eJ</v>
      </c>
      <c r="X44" s="15" t="str">
        <f>HYPERLINK("mailto:"&amp;RADataTable[[#This Row],[email]]&amp;"&amp;subject=Your NSF Proposal:  "&amp;RADataTable[[#This Row],[Div]]&amp;" "&amp;RADataTable[[#This Row],[prop_id0]], RADataTable[[#This Row],[email]])</f>
        <v>wtong@georgiasouthern.edu</v>
      </c>
      <c r="Y44" s="15" t="str">
        <f>HYPERLINK("mailto:"&amp;RADataTable[[#This Row],[allPIemail]]&amp;"&amp;subject=NSF Proposal:  "&amp;RADataTable[[#This Row],[Div]]&amp;" "&amp;RADataTable[[#This Row],[prop_id0]], "PIs@")</f>
        <v>PIs@</v>
      </c>
      <c r="Z44" t="s">
        <v>478</v>
      </c>
      <c r="AA44" t="s">
        <v>1118</v>
      </c>
      <c r="AB44">
        <v>3</v>
      </c>
      <c r="AC44">
        <v>3</v>
      </c>
      <c r="AD44"/>
      <c r="AE44" s="21" t="str">
        <f>IF(RADataTable[[#This Row],[maxScore]]-RADataTable[[#This Row],[minScore]]&gt;4,"Y","")</f>
        <v/>
      </c>
      <c r="AF44" s="21">
        <v>3</v>
      </c>
      <c r="AG44" s="26">
        <v>4</v>
      </c>
      <c r="AH44">
        <v>5</v>
      </c>
      <c r="AI44" t="s">
        <v>1635</v>
      </c>
      <c r="AJ44" s="30">
        <v>43060.386805555558</v>
      </c>
      <c r="AK44" s="13">
        <v>162689</v>
      </c>
      <c r="AL44" s="13">
        <v>162689</v>
      </c>
      <c r="AM44">
        <v>0</v>
      </c>
      <c r="AN44" s="30">
        <v>43235</v>
      </c>
      <c r="AO44" s="21">
        <v>24</v>
      </c>
      <c r="AP44" s="21" t="s">
        <v>1636</v>
      </c>
      <c r="AS44" s="30"/>
      <c r="AT44" t="s">
        <v>714</v>
      </c>
      <c r="AU44" s="21" t="s">
        <v>541</v>
      </c>
      <c r="AV44" s="21">
        <v>5</v>
      </c>
      <c r="AW44" s="21" t="s">
        <v>1866</v>
      </c>
      <c r="AX44" s="30">
        <v>43060</v>
      </c>
      <c r="AY44" s="21" t="s">
        <v>570</v>
      </c>
      <c r="AZ44" s="21" t="s">
        <v>1868</v>
      </c>
      <c r="BA44" s="21">
        <v>12</v>
      </c>
      <c r="BG44" s="30"/>
      <c r="BP44" s="30"/>
      <c r="BU44" t="s">
        <v>1118</v>
      </c>
      <c r="BV44" s="21" t="s">
        <v>1119</v>
      </c>
      <c r="BW44" s="21" t="s">
        <v>1633</v>
      </c>
      <c r="BX44" s="21" t="s">
        <v>1634</v>
      </c>
      <c r="BY44" s="31">
        <v>162689</v>
      </c>
      <c r="BZ44" s="31">
        <v>162689</v>
      </c>
      <c r="CA44" t="s">
        <v>1631</v>
      </c>
      <c r="CF44" s="31"/>
      <c r="CG44" s="31"/>
      <c r="CM44" s="31"/>
      <c r="CN44" s="31"/>
      <c r="CT44" s="31"/>
      <c r="CU44" s="31"/>
      <c r="CV44" s="31"/>
      <c r="DA44" s="31"/>
      <c r="DB44" s="31"/>
      <c r="DC44" s="31"/>
      <c r="DH44" s="31"/>
      <c r="DI44" s="31"/>
      <c r="DO44" s="31"/>
      <c r="DP44" s="31"/>
      <c r="DR44" t="s">
        <v>1936</v>
      </c>
      <c r="DS44" t="s">
        <v>479</v>
      </c>
      <c r="DT44" t="s">
        <v>579</v>
      </c>
      <c r="DU44" s="29" t="s">
        <v>1869</v>
      </c>
      <c r="DV44" t="s">
        <v>172</v>
      </c>
      <c r="DW44" t="s">
        <v>327</v>
      </c>
      <c r="DX44" t="s">
        <v>170</v>
      </c>
      <c r="DY44" t="s">
        <v>167</v>
      </c>
      <c r="DZ44" t="s">
        <v>168</v>
      </c>
      <c r="EA44" s="22">
        <v>43083.486793981479</v>
      </c>
      <c r="EB44" t="s">
        <v>1637</v>
      </c>
      <c r="EC44" t="s">
        <v>1940</v>
      </c>
    </row>
    <row r="45" spans="1:133" x14ac:dyDescent="0.4">
      <c r="A45" s="30"/>
      <c r="B45" s="22">
        <v>42956.648611111108</v>
      </c>
      <c r="C45" s="22" t="s">
        <v>1621</v>
      </c>
      <c r="D45" s="30" t="s">
        <v>477</v>
      </c>
      <c r="E45" s="30" t="s">
        <v>578</v>
      </c>
      <c r="F45" s="30" t="s">
        <v>169</v>
      </c>
      <c r="G45" s="30" t="s">
        <v>171</v>
      </c>
      <c r="H45" t="s">
        <v>94</v>
      </c>
      <c r="I45" t="s">
        <v>1630</v>
      </c>
      <c r="J45" t="s">
        <v>611</v>
      </c>
      <c r="K45" s="22">
        <v>43082.662939814814</v>
      </c>
      <c r="L45">
        <v>1</v>
      </c>
      <c r="M45" s="26">
        <v>3.05</v>
      </c>
      <c r="N45" t="s">
        <v>542</v>
      </c>
      <c r="Q45" s="29" t="s">
        <v>13</v>
      </c>
      <c r="R45" s="29" t="str">
        <f>IFERROR(MID(RADataTable[[#This Row],[RAtemplate]],1,LEN(RADataTable[[#This Row],[RAtemplate]])-8),"RA") &amp; " " &amp; RADataTable[[#This Row],[prop_id0]] &amp; " " &amp; RADataTable[[#This Row],[last0]]</f>
        <v>RA 1755885 Hosseini</v>
      </c>
      <c r="U45" s="21" t="str">
        <f>IF(signer1="PD",IF(ISBLANK(RADataTable[[#This Row],[sign_blck_name]]),"",RADataTable[[#This Row],[sign_blck_name]]),IF(ISBLANK(signer1),"",signer1))</f>
        <v>Tracy J. Kimbrel</v>
      </c>
      <c r="V45" s="29" t="str">
        <f t="shared" si="1"/>
        <v>Cognizant Program Director</v>
      </c>
      <c r="W45" s="15" t="str">
        <f>HYPERLINK("https://www.ejacket.nsf.gov/ej/showProposal.do?Continue=Y&amp;ID="&amp;RADataTable[[#This Row],[prop_id0]],"eJ")</f>
        <v>eJ</v>
      </c>
      <c r="X45" s="15" t="str">
        <f>HYPERLINK("mailto:"&amp;RADataTable[[#This Row],[email]]&amp;"&amp;subject=Your NSF Proposal:  "&amp;RADataTable[[#This Row],[Div]]&amp;" "&amp;RADataTable[[#This Row],[prop_id0]], RADataTable[[#This Row],[email]])</f>
        <v>hhvcs@rit.edu</v>
      </c>
      <c r="Y45" s="15" t="str">
        <f>HYPERLINK("mailto:"&amp;RADataTable[[#This Row],[allPIemail]]&amp;"&amp;subject=NSF Proposal:  "&amp;RADataTable[[#This Row],[Div]]&amp;" "&amp;RADataTable[[#This Row],[prop_id0]], "PIs@")</f>
        <v>PIs@</v>
      </c>
      <c r="Z45" t="s">
        <v>478</v>
      </c>
      <c r="AA45" t="s">
        <v>1209</v>
      </c>
      <c r="AB45">
        <v>3</v>
      </c>
      <c r="AC45">
        <v>3</v>
      </c>
      <c r="AD45"/>
      <c r="AE45" s="21" t="str">
        <f>IF(RADataTable[[#This Row],[maxScore]]-RADataTable[[#This Row],[minScore]]&gt;4,"Y","")</f>
        <v/>
      </c>
      <c r="AF45" s="21">
        <v>5</v>
      </c>
      <c r="AG45" s="26">
        <v>5.666666666666667</v>
      </c>
      <c r="AH45">
        <v>7</v>
      </c>
      <c r="AI45" t="s">
        <v>1677</v>
      </c>
      <c r="AJ45" s="30">
        <v>43059.231249999997</v>
      </c>
      <c r="AK45" s="13">
        <v>173878</v>
      </c>
      <c r="AL45" s="13">
        <v>173878</v>
      </c>
      <c r="AM45">
        <v>0</v>
      </c>
      <c r="AN45" s="30">
        <v>43344</v>
      </c>
      <c r="AO45" s="21">
        <v>24</v>
      </c>
      <c r="AP45" s="21" t="s">
        <v>1678</v>
      </c>
      <c r="AS45" s="30"/>
      <c r="AT45" t="s">
        <v>714</v>
      </c>
      <c r="AU45" s="21" t="s">
        <v>541</v>
      </c>
      <c r="AV45" s="21">
        <v>5</v>
      </c>
      <c r="AW45" s="21" t="s">
        <v>1866</v>
      </c>
      <c r="AX45" s="30">
        <v>43060</v>
      </c>
      <c r="AY45" s="21" t="s">
        <v>1961</v>
      </c>
      <c r="AZ45" s="21" t="s">
        <v>1868</v>
      </c>
      <c r="BA45" s="21">
        <v>12</v>
      </c>
      <c r="BG45" s="30"/>
      <c r="BP45" s="30"/>
      <c r="BU45" t="s">
        <v>1209</v>
      </c>
      <c r="BV45" s="21" t="s">
        <v>1210</v>
      </c>
      <c r="BW45" s="21" t="s">
        <v>1651</v>
      </c>
      <c r="BX45" s="21" t="s">
        <v>1676</v>
      </c>
      <c r="BY45" s="31">
        <v>173878</v>
      </c>
      <c r="BZ45" s="31">
        <v>173878</v>
      </c>
      <c r="CA45" t="s">
        <v>1646</v>
      </c>
      <c r="CF45" s="31"/>
      <c r="CG45" s="31"/>
      <c r="CM45" s="31"/>
      <c r="CN45" s="31"/>
      <c r="CT45" s="31"/>
      <c r="CU45" s="31"/>
      <c r="CV45" s="31"/>
      <c r="DA45" s="31"/>
      <c r="DB45" s="31"/>
      <c r="DC45" s="31"/>
      <c r="DH45" s="31"/>
      <c r="DI45" s="31"/>
      <c r="DO45" s="31"/>
      <c r="DP45" s="31"/>
      <c r="DR45" t="s">
        <v>1936</v>
      </c>
      <c r="DS45" t="s">
        <v>479</v>
      </c>
      <c r="DT45" t="s">
        <v>579</v>
      </c>
      <c r="DU45" s="29" t="s">
        <v>1869</v>
      </c>
      <c r="DV45" t="s">
        <v>172</v>
      </c>
      <c r="DW45" t="s">
        <v>327</v>
      </c>
      <c r="DX45" t="s">
        <v>170</v>
      </c>
      <c r="DY45" t="s">
        <v>167</v>
      </c>
      <c r="DZ45" t="s">
        <v>168</v>
      </c>
      <c r="EA45" s="22">
        <v>43083.486793981479</v>
      </c>
      <c r="EB45" t="s">
        <v>1679</v>
      </c>
      <c r="EC45" t="s">
        <v>1962</v>
      </c>
    </row>
    <row r="46" spans="1:133" x14ac:dyDescent="0.4">
      <c r="A46" s="30"/>
      <c r="B46" s="22">
        <v>42956.695833333331</v>
      </c>
      <c r="C46" s="22" t="s">
        <v>1621</v>
      </c>
      <c r="D46" s="30" t="s">
        <v>477</v>
      </c>
      <c r="E46" s="30" t="s">
        <v>578</v>
      </c>
      <c r="F46" s="30" t="s">
        <v>169</v>
      </c>
      <c r="G46" s="30" t="s">
        <v>171</v>
      </c>
      <c r="H46" t="s">
        <v>94</v>
      </c>
      <c r="I46" t="s">
        <v>1630</v>
      </c>
      <c r="J46" t="s">
        <v>611</v>
      </c>
      <c r="K46" s="22">
        <v>43082.66300925926</v>
      </c>
      <c r="L46">
        <v>1</v>
      </c>
      <c r="M46" s="26">
        <v>3.05</v>
      </c>
      <c r="N46" t="s">
        <v>542</v>
      </c>
      <c r="Q46" s="29" t="s">
        <v>13</v>
      </c>
      <c r="R46" s="29" t="str">
        <f>IFERROR(MID(RADataTable[[#This Row],[RAtemplate]],1,LEN(RADataTable[[#This Row],[RAtemplate]])-8),"RA") &amp; " " &amp; RADataTable[[#This Row],[prop_id0]] &amp; " " &amp; RADataTable[[#This Row],[last0]]</f>
        <v>RA 1755950 Escobedo</v>
      </c>
      <c r="U46" s="21" t="str">
        <f>IF(signer1="PD",IF(ISBLANK(RADataTable[[#This Row],[sign_blck_name]]),"",RADataTable[[#This Row],[sign_blck_name]]),IF(ISBLANK(signer1),"",signer1))</f>
        <v>Tracy J. Kimbrel</v>
      </c>
      <c r="V46" s="29" t="str">
        <f t="shared" si="1"/>
        <v>Cognizant Program Director</v>
      </c>
      <c r="W46" s="15" t="str">
        <f>HYPERLINK("https://www.ejacket.nsf.gov/ej/showProposal.do?Continue=Y&amp;ID="&amp;RADataTable[[#This Row],[prop_id0]],"eJ")</f>
        <v>eJ</v>
      </c>
      <c r="X46" s="15" t="str">
        <f>HYPERLINK("mailto:"&amp;RADataTable[[#This Row],[email]]&amp;"&amp;subject=Your NSF Proposal:  "&amp;RADataTable[[#This Row],[Div]]&amp;" "&amp;RADataTable[[#This Row],[prop_id0]], RADataTable[[#This Row],[email]])</f>
        <v>adres@asu.edu</v>
      </c>
      <c r="Y46" s="15" t="str">
        <f>HYPERLINK("mailto:"&amp;RADataTable[[#This Row],[allPIemail]]&amp;"&amp;subject=NSF Proposal:  "&amp;RADataTable[[#This Row],[Div]]&amp;" "&amp;RADataTable[[#This Row],[prop_id0]], "PIs@")</f>
        <v>PIs@</v>
      </c>
      <c r="Z46" t="s">
        <v>478</v>
      </c>
      <c r="AA46" t="s">
        <v>1224</v>
      </c>
      <c r="AB46">
        <v>3</v>
      </c>
      <c r="AC46">
        <v>3</v>
      </c>
      <c r="AD46"/>
      <c r="AE46" s="21" t="str">
        <f>IF(RADataTable[[#This Row],[maxScore]]-RADataTable[[#This Row],[minScore]]&gt;4,"Y","")</f>
        <v/>
      </c>
      <c r="AF46" s="21">
        <v>4</v>
      </c>
      <c r="AG46" s="26">
        <v>5</v>
      </c>
      <c r="AH46">
        <v>6</v>
      </c>
      <c r="AI46" t="s">
        <v>1686</v>
      </c>
      <c r="AJ46" s="30">
        <v>43058.972916666666</v>
      </c>
      <c r="AK46" s="13">
        <v>175000</v>
      </c>
      <c r="AL46" s="13">
        <v>175000</v>
      </c>
      <c r="AM46">
        <v>0</v>
      </c>
      <c r="AN46" s="30">
        <v>43328</v>
      </c>
      <c r="AO46" s="21">
        <v>24</v>
      </c>
      <c r="AP46" s="21" t="s">
        <v>1687</v>
      </c>
      <c r="AS46" s="30"/>
      <c r="AT46" t="s">
        <v>714</v>
      </c>
      <c r="AU46" s="21" t="s">
        <v>541</v>
      </c>
      <c r="AV46" s="21">
        <v>5</v>
      </c>
      <c r="AW46" s="21" t="s">
        <v>1866</v>
      </c>
      <c r="AX46" s="30">
        <v>43060</v>
      </c>
      <c r="AY46" s="21" t="s">
        <v>572</v>
      </c>
      <c r="AZ46" s="21" t="s">
        <v>1868</v>
      </c>
      <c r="BA46" s="21">
        <v>12</v>
      </c>
      <c r="BG46" s="30"/>
      <c r="BP46" s="30"/>
      <c r="BU46" t="s">
        <v>1224</v>
      </c>
      <c r="BV46" s="21" t="s">
        <v>1225</v>
      </c>
      <c r="BW46" s="21" t="s">
        <v>1684</v>
      </c>
      <c r="BX46" s="21" t="s">
        <v>1685</v>
      </c>
      <c r="BY46" s="31">
        <v>175000</v>
      </c>
      <c r="BZ46" s="31">
        <v>175000</v>
      </c>
      <c r="CA46" t="s">
        <v>1646</v>
      </c>
      <c r="CF46" s="31"/>
      <c r="CG46" s="31"/>
      <c r="CM46" s="31"/>
      <c r="CN46" s="31"/>
      <c r="CT46" s="31"/>
      <c r="CU46" s="31"/>
      <c r="CV46" s="31"/>
      <c r="DA46" s="31"/>
      <c r="DB46" s="31"/>
      <c r="DC46" s="31"/>
      <c r="DH46" s="31"/>
      <c r="DI46" s="31"/>
      <c r="DO46" s="31"/>
      <c r="DP46" s="31"/>
      <c r="DR46" t="s">
        <v>1936</v>
      </c>
      <c r="DS46" t="s">
        <v>479</v>
      </c>
      <c r="DT46" t="s">
        <v>579</v>
      </c>
      <c r="DU46" s="29" t="s">
        <v>1869</v>
      </c>
      <c r="DV46" t="s">
        <v>172</v>
      </c>
      <c r="DW46" t="s">
        <v>327</v>
      </c>
      <c r="DX46" t="s">
        <v>170</v>
      </c>
      <c r="DY46" t="s">
        <v>167</v>
      </c>
      <c r="DZ46" t="s">
        <v>168</v>
      </c>
      <c r="EA46" s="22">
        <v>43083.486793981479</v>
      </c>
      <c r="EB46" t="s">
        <v>1688</v>
      </c>
      <c r="EC46" t="s">
        <v>1965</v>
      </c>
    </row>
    <row r="47" spans="1:133" x14ac:dyDescent="0.4">
      <c r="A47" s="30">
        <v>43081.686678240738</v>
      </c>
      <c r="B47" s="22">
        <v>42956.439583333333</v>
      </c>
      <c r="C47" s="22" t="s">
        <v>1621</v>
      </c>
      <c r="D47" s="30" t="s">
        <v>1622</v>
      </c>
      <c r="E47" s="30" t="s">
        <v>580</v>
      </c>
      <c r="F47" s="30" t="s">
        <v>169</v>
      </c>
      <c r="G47" s="30" t="s">
        <v>2073</v>
      </c>
      <c r="H47" t="s">
        <v>94</v>
      </c>
      <c r="I47" t="s">
        <v>1623</v>
      </c>
      <c r="J47" t="s">
        <v>2046</v>
      </c>
      <c r="K47" s="22">
        <v>43070.440868055557</v>
      </c>
      <c r="L47">
        <v>2</v>
      </c>
      <c r="M47" s="26">
        <v>3.09</v>
      </c>
      <c r="N47" t="s">
        <v>309</v>
      </c>
      <c r="O47" t="s">
        <v>542</v>
      </c>
      <c r="Q47" s="29" t="s">
        <v>13</v>
      </c>
      <c r="R47" s="29" t="str">
        <f>IFERROR(MID(RADataTable[[#This Row],[RAtemplate]],1,LEN(RADataTable[[#This Row],[RAtemplate]])-8),"RA") &amp; " " &amp; RADataTable[[#This Row],[prop_id0]] &amp; " " &amp; RADataTable[[#This Row],[last0]]</f>
        <v>RA 1755679 FANG</v>
      </c>
      <c r="U47" s="21" t="str">
        <f>IF(signer1="PD",IF(ISBLANK(RADataTable[[#This Row],[sign_blck_name]]),"",RADataTable[[#This Row],[sign_blck_name]]),IF(ISBLANK(signer1),"",signer1))</f>
        <v>James Donlon</v>
      </c>
      <c r="V47" s="29" t="str">
        <f t="shared" si="1"/>
        <v>Cognizant Program Director</v>
      </c>
      <c r="W47" s="15" t="str">
        <f>HYPERLINK("https://www.ejacket.nsf.gov/ej/showProposal.do?Continue=Y&amp;ID="&amp;RADataTable[[#This Row],[prop_id0]],"eJ")</f>
        <v>eJ</v>
      </c>
      <c r="X47" s="15" t="str">
        <f>HYPERLINK("mailto:"&amp;RADataTable[[#This Row],[email]]&amp;"&amp;subject=Your NSF Proposal:  "&amp;RADataTable[[#This Row],[Div]]&amp;" "&amp;RADataTable[[#This Row],[prop_id0]], RADataTable[[#This Row],[email]])</f>
        <v>feifang@cmu.edu</v>
      </c>
      <c r="Y47" s="15" t="str">
        <f>HYPERLINK("mailto:"&amp;RADataTable[[#This Row],[allPIemail]]&amp;"&amp;subject=NSF Proposal:  "&amp;RADataTable[[#This Row],[Div]]&amp;" "&amp;RADataTable[[#This Row],[prop_id0]], "PIs@")</f>
        <v>PIs@</v>
      </c>
      <c r="Z47" t="s">
        <v>1625</v>
      </c>
      <c r="AA47" t="s">
        <v>2044</v>
      </c>
      <c r="AB47">
        <v>5</v>
      </c>
      <c r="AD47"/>
      <c r="AE47" s="21" t="str">
        <f>IF(RADataTable[[#This Row],[maxScore]]-RADataTable[[#This Row],[minScore]]&gt;4,"Y","")</f>
        <v>Y</v>
      </c>
      <c r="AF47" s="21">
        <v>3</v>
      </c>
      <c r="AG47" s="26">
        <v>5.6</v>
      </c>
      <c r="AH47">
        <v>9</v>
      </c>
      <c r="AI47" t="s">
        <v>2075</v>
      </c>
      <c r="AJ47" s="30">
        <v>43068.363194444442</v>
      </c>
      <c r="AK47" s="13">
        <v>175000</v>
      </c>
      <c r="AL47" s="13">
        <v>175000</v>
      </c>
      <c r="AM47">
        <v>0</v>
      </c>
      <c r="AN47" s="30">
        <v>43101</v>
      </c>
      <c r="AO47" s="21">
        <v>24</v>
      </c>
      <c r="AP47" s="21" t="s">
        <v>2077</v>
      </c>
      <c r="AS47" s="30"/>
      <c r="AT47" t="s">
        <v>714</v>
      </c>
      <c r="AU47" s="21" t="s">
        <v>546</v>
      </c>
      <c r="AV47" s="21">
        <v>9</v>
      </c>
      <c r="AW47" s="21" t="s">
        <v>1866</v>
      </c>
      <c r="AX47" s="30">
        <v>43060</v>
      </c>
      <c r="AY47" s="21" t="s">
        <v>2084</v>
      </c>
      <c r="AZ47" s="21" t="s">
        <v>1868</v>
      </c>
      <c r="BA47" s="21">
        <v>12</v>
      </c>
      <c r="BB47" s="21">
        <v>2</v>
      </c>
      <c r="BC47" s="21" t="s">
        <v>2048</v>
      </c>
      <c r="BD47" s="21" t="s">
        <v>541</v>
      </c>
      <c r="BF47" s="21" t="s">
        <v>2085</v>
      </c>
      <c r="BG47" s="30">
        <v>43068</v>
      </c>
      <c r="BH47" s="21" t="s">
        <v>2086</v>
      </c>
      <c r="BI47" s="21" t="s">
        <v>2087</v>
      </c>
      <c r="BJ47" s="21">
        <v>6</v>
      </c>
      <c r="BP47" s="30"/>
      <c r="BU47" t="s">
        <v>2044</v>
      </c>
      <c r="BV47" s="21" t="s">
        <v>2045</v>
      </c>
      <c r="BW47" s="21" t="s">
        <v>2074</v>
      </c>
      <c r="BX47" s="21" t="s">
        <v>497</v>
      </c>
      <c r="BY47" s="31">
        <v>175000</v>
      </c>
      <c r="BZ47" s="31">
        <v>175000</v>
      </c>
      <c r="CA47" t="s">
        <v>1624</v>
      </c>
      <c r="CF47" s="31"/>
      <c r="CG47" s="31"/>
      <c r="CM47" s="31"/>
      <c r="CN47" s="31"/>
      <c r="CT47" s="31"/>
      <c r="CU47" s="31"/>
      <c r="CV47" s="31"/>
      <c r="DA47" s="31"/>
      <c r="DB47" s="31"/>
      <c r="DC47" s="31"/>
      <c r="DH47" s="31"/>
      <c r="DI47" s="31"/>
      <c r="DO47" s="31"/>
      <c r="DP47" s="31"/>
      <c r="DR47" t="s">
        <v>1936</v>
      </c>
      <c r="DS47" t="s">
        <v>1937</v>
      </c>
      <c r="DT47" t="s">
        <v>581</v>
      </c>
      <c r="DU47" s="29" t="s">
        <v>2088</v>
      </c>
      <c r="DV47" t="s">
        <v>2076</v>
      </c>
      <c r="DW47" t="s">
        <v>327</v>
      </c>
      <c r="DX47" t="s">
        <v>170</v>
      </c>
      <c r="DY47" t="s">
        <v>167</v>
      </c>
      <c r="DZ47" t="s">
        <v>168</v>
      </c>
      <c r="EA47" s="22">
        <v>43083.486793981479</v>
      </c>
      <c r="EB47" t="s">
        <v>2078</v>
      </c>
      <c r="EC47" t="s">
        <v>2089</v>
      </c>
    </row>
    <row r="48" spans="1:133" x14ac:dyDescent="0.4">
      <c r="A48" s="30"/>
      <c r="B48" s="22">
        <v>43003.736805555556</v>
      </c>
      <c r="C48" s="22" t="s">
        <v>524</v>
      </c>
      <c r="D48" s="30" t="s">
        <v>477</v>
      </c>
      <c r="E48" s="30" t="s">
        <v>582</v>
      </c>
      <c r="F48" s="30" t="s">
        <v>169</v>
      </c>
      <c r="G48" s="30" t="s">
        <v>171</v>
      </c>
      <c r="H48" t="s">
        <v>94</v>
      </c>
      <c r="I48" t="s">
        <v>525</v>
      </c>
      <c r="J48" t="s">
        <v>654</v>
      </c>
      <c r="K48" s="22">
        <v>43082.529826388891</v>
      </c>
      <c r="L48">
        <v>1</v>
      </c>
      <c r="M48" s="26">
        <v>3.09</v>
      </c>
      <c r="N48" t="s">
        <v>542</v>
      </c>
      <c r="Q48" s="29" t="s">
        <v>13</v>
      </c>
      <c r="R48" s="29" t="str">
        <f>IFERROR(MID(RADataTable[[#This Row],[RAtemplate]],1,LEN(RADataTable[[#This Row],[RAtemplate]])-8),"RA") &amp; " " &amp; RADataTable[[#This Row],[prop_id0]] &amp; " " &amp; RADataTable[[#This Row],[last0]]</f>
        <v>RA 1763258 Goodrich</v>
      </c>
      <c r="U48" s="21" t="str">
        <f>IF(signer1="PD",IF(ISBLANK(RADataTable[[#This Row],[sign_blck_name]]),"",RADataTable[[#This Row],[sign_blck_name]]),IF(ISBLANK(signer1),"",signer1))</f>
        <v>Rahul Shah</v>
      </c>
      <c r="V48" s="29" t="str">
        <f t="shared" si="1"/>
        <v>Cognizant Program Director</v>
      </c>
      <c r="W48" s="15" t="str">
        <f>HYPERLINK("https://www.ejacket.nsf.gov/ej/showProposal.do?Continue=Y&amp;ID="&amp;RADataTable[[#This Row],[prop_id0]],"eJ")</f>
        <v>eJ</v>
      </c>
      <c r="X48" s="15" t="str">
        <f>HYPERLINK("mailto:"&amp;RADataTable[[#This Row],[email]]&amp;"&amp;subject=Your NSF Proposal:  "&amp;RADataTable[[#This Row],[Div]]&amp;" "&amp;RADataTable[[#This Row],[prop_id0]], RADataTable[[#This Row],[email]])</f>
        <v>goodrich@acm.org</v>
      </c>
      <c r="Y48" s="15" t="str">
        <f>HYPERLINK("mailto:"&amp;RADataTable[[#This Row],[allPIemail]]&amp;"&amp;subject=NSF Proposal:  "&amp;RADataTable[[#This Row],[Div]]&amp;" "&amp;RADataTable[[#This Row],[prop_id0]], "PIs@")</f>
        <v>PIs@</v>
      </c>
      <c r="Z48" t="s">
        <v>478</v>
      </c>
      <c r="AA48" t="s">
        <v>1279</v>
      </c>
      <c r="AB48">
        <v>4</v>
      </c>
      <c r="AC48">
        <v>4</v>
      </c>
      <c r="AD48"/>
      <c r="AE48" s="21" t="str">
        <f>IF(RADataTable[[#This Row],[maxScore]]-RADataTable[[#This Row],[minScore]]&gt;4,"Y","")</f>
        <v/>
      </c>
      <c r="AF48" s="21">
        <v>5</v>
      </c>
      <c r="AG48" s="26">
        <v>5.75</v>
      </c>
      <c r="AH48">
        <v>7</v>
      </c>
      <c r="AI48" t="s">
        <v>531</v>
      </c>
      <c r="AJ48" s="30">
        <v>43081.234722222223</v>
      </c>
      <c r="AK48" s="13">
        <v>1199544</v>
      </c>
      <c r="AL48" s="13">
        <v>1199544</v>
      </c>
      <c r="AM48">
        <v>0</v>
      </c>
      <c r="AN48" s="30">
        <v>43282</v>
      </c>
      <c r="AO48" s="21">
        <v>48</v>
      </c>
      <c r="AP48" s="21" t="s">
        <v>1710</v>
      </c>
      <c r="AS48" s="30"/>
      <c r="AT48" t="s">
        <v>1262</v>
      </c>
      <c r="AU48" s="21" t="s">
        <v>541</v>
      </c>
      <c r="AV48" s="21">
        <v>9</v>
      </c>
      <c r="AW48" s="21" t="s">
        <v>1971</v>
      </c>
      <c r="AX48" s="30">
        <v>43081</v>
      </c>
      <c r="AY48" s="21" t="s">
        <v>532</v>
      </c>
      <c r="AZ48" s="21" t="s">
        <v>1973</v>
      </c>
      <c r="BA48" s="21">
        <v>9</v>
      </c>
      <c r="BG48" s="30"/>
      <c r="BP48" s="30"/>
      <c r="BU48" t="s">
        <v>1279</v>
      </c>
      <c r="BV48" s="21" t="s">
        <v>1280</v>
      </c>
      <c r="BW48" s="21" t="s">
        <v>1524</v>
      </c>
      <c r="BX48" s="21" t="s">
        <v>1709</v>
      </c>
      <c r="BY48" s="31">
        <v>1199544</v>
      </c>
      <c r="BZ48" s="31">
        <v>1199544</v>
      </c>
      <c r="CA48" t="s">
        <v>1704</v>
      </c>
      <c r="CF48" s="31"/>
      <c r="CG48" s="31"/>
      <c r="CM48" s="31"/>
      <c r="CN48" s="31"/>
      <c r="CT48" s="31"/>
      <c r="CU48" s="31"/>
      <c r="CV48" s="31"/>
      <c r="DA48" s="31"/>
      <c r="DB48" s="31"/>
      <c r="DC48" s="31"/>
      <c r="DH48" s="31"/>
      <c r="DI48" s="31"/>
      <c r="DO48" s="31"/>
      <c r="DP48" s="31"/>
      <c r="DR48" t="s">
        <v>529</v>
      </c>
      <c r="DS48" t="s">
        <v>479</v>
      </c>
      <c r="DT48" t="s">
        <v>583</v>
      </c>
      <c r="DU48" s="29" t="s">
        <v>1856</v>
      </c>
      <c r="DV48" t="s">
        <v>172</v>
      </c>
      <c r="DW48" t="s">
        <v>327</v>
      </c>
      <c r="DX48" t="s">
        <v>170</v>
      </c>
      <c r="DY48" t="s">
        <v>167</v>
      </c>
      <c r="DZ48" t="s">
        <v>168</v>
      </c>
      <c r="EA48" s="22">
        <v>43083.486793981479</v>
      </c>
      <c r="EB48" t="s">
        <v>1711</v>
      </c>
      <c r="EC48" t="s">
        <v>1975</v>
      </c>
    </row>
    <row r="49" spans="1:133" x14ac:dyDescent="0.4">
      <c r="A49" s="30"/>
      <c r="B49" s="22">
        <v>43004.525694444441</v>
      </c>
      <c r="C49" s="22" t="s">
        <v>524</v>
      </c>
      <c r="D49" s="30" t="s">
        <v>477</v>
      </c>
      <c r="E49" s="30" t="s">
        <v>582</v>
      </c>
      <c r="F49" s="30" t="s">
        <v>169</v>
      </c>
      <c r="G49" s="30" t="s">
        <v>171</v>
      </c>
      <c r="H49" t="s">
        <v>94</v>
      </c>
      <c r="I49" t="s">
        <v>525</v>
      </c>
      <c r="J49" t="s">
        <v>611</v>
      </c>
      <c r="K49" s="22">
        <v>43082.529895833337</v>
      </c>
      <c r="L49">
        <v>1</v>
      </c>
      <c r="M49" s="26">
        <v>3.09</v>
      </c>
      <c r="N49" t="s">
        <v>542</v>
      </c>
      <c r="Q49" s="29" t="s">
        <v>13</v>
      </c>
      <c r="R49" s="29" t="str">
        <f>IFERROR(MID(RADataTable[[#This Row],[RAtemplate]],1,LEN(RADataTable[[#This Row],[RAtemplate]])-8),"RA") &amp; " " &amp; RADataTable[[#This Row],[prop_id0]] &amp; " " &amp; RADataTable[[#This Row],[last0]]</f>
        <v>RA 1763320 Munagala</v>
      </c>
      <c r="U49" s="21" t="str">
        <f>IF(signer1="PD",IF(ISBLANK(RADataTable[[#This Row],[sign_blck_name]]),"",RADataTable[[#This Row],[sign_blck_name]]),IF(ISBLANK(signer1),"",signer1))</f>
        <v>Tracy J. Kimbrel</v>
      </c>
      <c r="V49" s="29" t="str">
        <f t="shared" si="1"/>
        <v>Cognizant Program Director</v>
      </c>
      <c r="W49" s="15" t="str">
        <f>HYPERLINK("https://www.ejacket.nsf.gov/ej/showProposal.do?Continue=Y&amp;ID="&amp;RADataTable[[#This Row],[prop_id0]],"eJ")</f>
        <v>eJ</v>
      </c>
      <c r="X49" s="15" t="str">
        <f>HYPERLINK("mailto:"&amp;RADataTable[[#This Row],[email]]&amp;"&amp;subject=Your NSF Proposal:  "&amp;RADataTable[[#This Row],[Div]]&amp;" "&amp;RADataTable[[#This Row],[prop_id0]], RADataTable[[#This Row],[email]])</f>
        <v>kamesh@cs.duke.edu</v>
      </c>
      <c r="Y49" s="15" t="str">
        <f>HYPERLINK("mailto:"&amp;RADataTable[[#This Row],[allPIemail]]&amp;"&amp;subject=NSF Proposal:  "&amp;RADataTable[[#This Row],[Div]]&amp;" "&amp;RADataTable[[#This Row],[prop_id0]], "PIs@")</f>
        <v>PIs@</v>
      </c>
      <c r="Z49" t="s">
        <v>478</v>
      </c>
      <c r="AA49" t="s">
        <v>1322</v>
      </c>
      <c r="AB49">
        <v>4</v>
      </c>
      <c r="AC49">
        <v>4</v>
      </c>
      <c r="AD49"/>
      <c r="AE49" s="21" t="str">
        <f>IF(RADataTable[[#This Row],[maxScore]]-RADataTable[[#This Row],[minScore]]&gt;4,"Y","")</f>
        <v/>
      </c>
      <c r="AF49" s="21">
        <v>3</v>
      </c>
      <c r="AG49" s="26">
        <v>5</v>
      </c>
      <c r="AH49">
        <v>7</v>
      </c>
      <c r="AI49" t="s">
        <v>1748</v>
      </c>
      <c r="AJ49" s="30">
        <v>43081.281944444447</v>
      </c>
      <c r="AK49" s="13">
        <v>1199044</v>
      </c>
      <c r="AL49" s="13">
        <v>1199044</v>
      </c>
      <c r="AM49">
        <v>0</v>
      </c>
      <c r="AN49" s="30">
        <v>43282</v>
      </c>
      <c r="AO49" s="21">
        <v>48</v>
      </c>
      <c r="AP49" s="21" t="s">
        <v>1749</v>
      </c>
      <c r="AQ49">
        <v>1</v>
      </c>
      <c r="AR49" t="s">
        <v>1981</v>
      </c>
      <c r="AS49" s="30">
        <v>43075.668749999997</v>
      </c>
      <c r="AT49" t="s">
        <v>1262</v>
      </c>
      <c r="AU49" s="21" t="s">
        <v>541</v>
      </c>
      <c r="AV49" s="21">
        <v>9</v>
      </c>
      <c r="AW49" s="21" t="s">
        <v>1971</v>
      </c>
      <c r="AX49" s="30">
        <v>43081</v>
      </c>
      <c r="AY49" s="21" t="s">
        <v>1982</v>
      </c>
      <c r="AZ49" s="21" t="s">
        <v>1973</v>
      </c>
      <c r="BA49" s="21">
        <v>9</v>
      </c>
      <c r="BB49" s="21">
        <v>1</v>
      </c>
      <c r="BG49" s="30"/>
      <c r="BP49" s="30"/>
      <c r="BU49" t="s">
        <v>1322</v>
      </c>
      <c r="BV49" s="21" t="s">
        <v>1323</v>
      </c>
      <c r="BW49" s="21" t="s">
        <v>1747</v>
      </c>
      <c r="BX49" s="21" t="s">
        <v>1520</v>
      </c>
      <c r="BY49" s="31">
        <v>599974</v>
      </c>
      <c r="BZ49" s="31">
        <v>599974</v>
      </c>
      <c r="CA49" t="s">
        <v>1712</v>
      </c>
      <c r="CB49" s="21" t="s">
        <v>1751</v>
      </c>
      <c r="CC49" s="21" t="s">
        <v>1752</v>
      </c>
      <c r="CD49" s="21" t="s">
        <v>1753</v>
      </c>
      <c r="CE49" s="21" t="s">
        <v>1754</v>
      </c>
      <c r="CF49" s="31">
        <v>599070</v>
      </c>
      <c r="CG49" s="31">
        <v>599070</v>
      </c>
      <c r="CH49" t="s">
        <v>1712</v>
      </c>
      <c r="CM49" s="31"/>
      <c r="CN49" s="31"/>
      <c r="CT49" s="31"/>
      <c r="CU49" s="31"/>
      <c r="CV49" s="31"/>
      <c r="DA49" s="31"/>
      <c r="DB49" s="31"/>
      <c r="DC49" s="31"/>
      <c r="DH49" s="31"/>
      <c r="DI49" s="31"/>
      <c r="DO49" s="31"/>
      <c r="DP49" s="31"/>
      <c r="DR49" t="s">
        <v>529</v>
      </c>
      <c r="DS49" t="s">
        <v>479</v>
      </c>
      <c r="DT49" t="s">
        <v>583</v>
      </c>
      <c r="DU49" s="29" t="s">
        <v>1869</v>
      </c>
      <c r="DV49" t="s">
        <v>172</v>
      </c>
      <c r="DW49" t="s">
        <v>327</v>
      </c>
      <c r="DX49" t="s">
        <v>170</v>
      </c>
      <c r="DY49" t="s">
        <v>167</v>
      </c>
      <c r="DZ49" t="s">
        <v>168</v>
      </c>
      <c r="EA49" s="22">
        <v>43083.486793981479</v>
      </c>
      <c r="EB49" t="s">
        <v>1750</v>
      </c>
      <c r="EC49" t="s">
        <v>1983</v>
      </c>
    </row>
    <row r="50" spans="1:133" x14ac:dyDescent="0.4">
      <c r="A50" s="30"/>
      <c r="B50" s="22">
        <v>43005.413194444445</v>
      </c>
      <c r="C50" s="22" t="s">
        <v>524</v>
      </c>
      <c r="D50" s="30" t="s">
        <v>477</v>
      </c>
      <c r="E50" s="30" t="s">
        <v>582</v>
      </c>
      <c r="F50" s="30" t="s">
        <v>169</v>
      </c>
      <c r="G50" s="30" t="s">
        <v>171</v>
      </c>
      <c r="H50" t="s">
        <v>94</v>
      </c>
      <c r="I50" t="s">
        <v>525</v>
      </c>
      <c r="J50" t="s">
        <v>654</v>
      </c>
      <c r="K50" s="22">
        <v>43082.529965277776</v>
      </c>
      <c r="L50">
        <v>1</v>
      </c>
      <c r="M50" s="26">
        <v>3.09</v>
      </c>
      <c r="N50" t="s">
        <v>542</v>
      </c>
      <c r="Q50" s="29" t="s">
        <v>13</v>
      </c>
      <c r="R50" s="29" t="str">
        <f>IFERROR(MID(RADataTable[[#This Row],[RAtemplate]],1,LEN(RADataTable[[#This Row],[RAtemplate]])-8),"RA") &amp; " " &amp; RADataTable[[#This Row],[prop_id0]] &amp; " " &amp; RADataTable[[#This Row],[last0]]</f>
        <v>RA 1763481 Rudra</v>
      </c>
      <c r="U50" s="21" t="str">
        <f>IF(signer1="PD",IF(ISBLANK(RADataTable[[#This Row],[sign_blck_name]]),"",RADataTable[[#This Row],[sign_blck_name]]),IF(ISBLANK(signer1),"",signer1))</f>
        <v>Rahul Shah</v>
      </c>
      <c r="V50" s="29" t="str">
        <f t="shared" si="1"/>
        <v>Cognizant Program Director</v>
      </c>
      <c r="W50" s="15" t="str">
        <f>HYPERLINK("https://www.ejacket.nsf.gov/ej/showProposal.do?Continue=Y&amp;ID="&amp;RADataTable[[#This Row],[prop_id0]],"eJ")</f>
        <v>eJ</v>
      </c>
      <c r="X50" s="15" t="str">
        <f>HYPERLINK("mailto:"&amp;RADataTable[[#This Row],[email]]&amp;"&amp;subject=Your NSF Proposal:  "&amp;RADataTable[[#This Row],[Div]]&amp;" "&amp;RADataTable[[#This Row],[prop_id0]], RADataTable[[#This Row],[email]])</f>
        <v>atri@buffalo.edu</v>
      </c>
      <c r="Y50" s="15" t="str">
        <f>HYPERLINK("mailto:"&amp;RADataTable[[#This Row],[allPIemail]]&amp;"&amp;subject=NSF Proposal:  "&amp;RADataTable[[#This Row],[Div]]&amp;" "&amp;RADataTable[[#This Row],[prop_id0]], "PIs@")</f>
        <v>PIs@</v>
      </c>
      <c r="Z50" t="s">
        <v>478</v>
      </c>
      <c r="AA50" t="s">
        <v>1334</v>
      </c>
      <c r="AB50">
        <v>4</v>
      </c>
      <c r="AC50">
        <v>4</v>
      </c>
      <c r="AD50"/>
      <c r="AE50" s="21" t="str">
        <f>IF(RADataTable[[#This Row],[maxScore]]-RADataTable[[#This Row],[minScore]]&gt;4,"Y","")</f>
        <v/>
      </c>
      <c r="AF50" s="21">
        <v>3</v>
      </c>
      <c r="AG50" s="26">
        <v>5</v>
      </c>
      <c r="AH50">
        <v>7</v>
      </c>
      <c r="AI50" t="s">
        <v>1757</v>
      </c>
      <c r="AJ50" s="30">
        <v>43081.477777777778</v>
      </c>
      <c r="AK50" s="13">
        <v>1197440</v>
      </c>
      <c r="AL50" s="13">
        <v>1197440</v>
      </c>
      <c r="AM50">
        <v>0</v>
      </c>
      <c r="AN50" s="30">
        <v>43191</v>
      </c>
      <c r="AO50" s="21">
        <v>48</v>
      </c>
      <c r="AP50" s="21" t="s">
        <v>1758</v>
      </c>
      <c r="AS50" s="30"/>
      <c r="AT50" t="s">
        <v>1262</v>
      </c>
      <c r="AU50" s="21" t="s">
        <v>541</v>
      </c>
      <c r="AV50" s="21">
        <v>9</v>
      </c>
      <c r="AW50" s="21" t="s">
        <v>1971</v>
      </c>
      <c r="AX50" s="30">
        <v>43081</v>
      </c>
      <c r="AY50" s="21" t="s">
        <v>1984</v>
      </c>
      <c r="AZ50" s="21" t="s">
        <v>1973</v>
      </c>
      <c r="BA50" s="21">
        <v>9</v>
      </c>
      <c r="BG50" s="30"/>
      <c r="BP50" s="30"/>
      <c r="BU50" t="s">
        <v>1334</v>
      </c>
      <c r="BV50" s="21" t="s">
        <v>1335</v>
      </c>
      <c r="BW50" s="21" t="s">
        <v>1756</v>
      </c>
      <c r="BX50" s="21" t="s">
        <v>1512</v>
      </c>
      <c r="BY50" s="31">
        <v>645322</v>
      </c>
      <c r="BZ50" s="31">
        <v>645322</v>
      </c>
      <c r="CA50" t="s">
        <v>1704</v>
      </c>
      <c r="CB50" s="21" t="s">
        <v>1760</v>
      </c>
      <c r="CC50" s="21" t="s">
        <v>1761</v>
      </c>
      <c r="CD50" s="21" t="s">
        <v>1762</v>
      </c>
      <c r="CE50" s="21" t="s">
        <v>1465</v>
      </c>
      <c r="CF50" s="31">
        <v>552118</v>
      </c>
      <c r="CG50" s="31">
        <v>552118</v>
      </c>
      <c r="CH50" t="s">
        <v>1704</v>
      </c>
      <c r="CM50" s="31"/>
      <c r="CN50" s="31"/>
      <c r="CT50" s="31"/>
      <c r="CU50" s="31"/>
      <c r="CV50" s="31"/>
      <c r="DA50" s="31"/>
      <c r="DB50" s="31"/>
      <c r="DC50" s="31"/>
      <c r="DH50" s="31"/>
      <c r="DI50" s="31"/>
      <c r="DO50" s="31"/>
      <c r="DP50" s="31"/>
      <c r="DR50" t="s">
        <v>529</v>
      </c>
      <c r="DS50" t="s">
        <v>479</v>
      </c>
      <c r="DT50" t="s">
        <v>583</v>
      </c>
      <c r="DU50" s="29" t="s">
        <v>1856</v>
      </c>
      <c r="DV50" t="s">
        <v>172</v>
      </c>
      <c r="DW50" t="s">
        <v>327</v>
      </c>
      <c r="DX50" t="s">
        <v>170</v>
      </c>
      <c r="DY50" t="s">
        <v>167</v>
      </c>
      <c r="DZ50" t="s">
        <v>168</v>
      </c>
      <c r="EA50" s="22">
        <v>43083.486793981479</v>
      </c>
      <c r="EB50" t="s">
        <v>1759</v>
      </c>
      <c r="EC50" t="s">
        <v>1985</v>
      </c>
    </row>
    <row r="51" spans="1:133" x14ac:dyDescent="0.4">
      <c r="A51" s="30"/>
      <c r="B51" s="22">
        <v>43005.479861111111</v>
      </c>
      <c r="C51" s="22" t="s">
        <v>524</v>
      </c>
      <c r="D51" s="30" t="s">
        <v>477</v>
      </c>
      <c r="E51" s="30" t="s">
        <v>582</v>
      </c>
      <c r="F51" s="30" t="s">
        <v>169</v>
      </c>
      <c r="G51" s="30" t="s">
        <v>171</v>
      </c>
      <c r="H51" t="s">
        <v>94</v>
      </c>
      <c r="I51" t="s">
        <v>525</v>
      </c>
      <c r="J51" t="s">
        <v>654</v>
      </c>
      <c r="K51" s="22">
        <v>43082.530034722222</v>
      </c>
      <c r="L51">
        <v>1</v>
      </c>
      <c r="M51" s="26">
        <v>3.09</v>
      </c>
      <c r="N51" t="s">
        <v>542</v>
      </c>
      <c r="Q51" s="29" t="s">
        <v>13</v>
      </c>
      <c r="R51" s="29" t="str">
        <f>IFERROR(MID(RADataTable[[#This Row],[RAtemplate]],1,LEN(RADataTable[[#This Row],[RAtemplate]])-8),"RA") &amp; " " &amp; RADataTable[[#This Row],[prop_id0]] &amp; " " &amp; RADataTable[[#This Row],[last0]]</f>
        <v>RA 1763557 Nguyen</v>
      </c>
      <c r="U51" s="21" t="str">
        <f>IF(signer1="PD",IF(ISBLANK(RADataTable[[#This Row],[sign_blck_name]]),"",RADataTable[[#This Row],[sign_blck_name]]),IF(ISBLANK(signer1),"",signer1))</f>
        <v>Rahul Shah</v>
      </c>
      <c r="V51" s="29" t="str">
        <f t="shared" si="1"/>
        <v>Cognizant Program Director</v>
      </c>
      <c r="W51" s="15" t="str">
        <f>HYPERLINK("https://www.ejacket.nsf.gov/ej/showProposal.do?Continue=Y&amp;ID="&amp;RADataTable[[#This Row],[prop_id0]],"eJ")</f>
        <v>eJ</v>
      </c>
      <c r="X51" s="15" t="str">
        <f>HYPERLINK("mailto:"&amp;RADataTable[[#This Row],[email]]&amp;"&amp;subject=Your NSF Proposal:  "&amp;RADataTable[[#This Row],[Div]]&amp;" "&amp;RADataTable[[#This Row],[prop_id0]], RADataTable[[#This Row],[email]])</f>
        <v>hu.nguyen@neu.edu</v>
      </c>
      <c r="Y51" s="15" t="str">
        <f>HYPERLINK("mailto:"&amp;RADataTable[[#This Row],[allPIemail]]&amp;"&amp;subject=NSF Proposal:  "&amp;RADataTable[[#This Row],[Div]]&amp;" "&amp;RADataTable[[#This Row],[prop_id0]], "PIs@")</f>
        <v>PIs@</v>
      </c>
      <c r="Z51" t="s">
        <v>478</v>
      </c>
      <c r="AA51" t="s">
        <v>1343</v>
      </c>
      <c r="AB51">
        <v>4</v>
      </c>
      <c r="AC51">
        <v>4</v>
      </c>
      <c r="AD51"/>
      <c r="AE51" s="21" t="str">
        <f>IF(RADataTable[[#This Row],[maxScore]]-RADataTable[[#This Row],[minScore]]&gt;4,"Y","")</f>
        <v/>
      </c>
      <c r="AF51" s="21">
        <v>5</v>
      </c>
      <c r="AG51" s="26">
        <v>5.5</v>
      </c>
      <c r="AH51">
        <v>7</v>
      </c>
      <c r="AI51" t="s">
        <v>1563</v>
      </c>
      <c r="AJ51" s="30">
        <v>43081.395138888889</v>
      </c>
      <c r="AK51" s="13">
        <v>1049949</v>
      </c>
      <c r="AL51" s="13">
        <v>1049949</v>
      </c>
      <c r="AM51">
        <v>0</v>
      </c>
      <c r="AN51" s="30">
        <v>43344</v>
      </c>
      <c r="AO51" s="21">
        <v>48</v>
      </c>
      <c r="AP51" s="21" t="s">
        <v>1764</v>
      </c>
      <c r="AS51" s="30"/>
      <c r="AT51" t="s">
        <v>1262</v>
      </c>
      <c r="AU51" s="21" t="s">
        <v>541</v>
      </c>
      <c r="AV51" s="21">
        <v>9</v>
      </c>
      <c r="AW51" s="21" t="s">
        <v>1971</v>
      </c>
      <c r="AX51" s="30">
        <v>43081</v>
      </c>
      <c r="AY51" s="21" t="s">
        <v>1909</v>
      </c>
      <c r="AZ51" s="21" t="s">
        <v>1973</v>
      </c>
      <c r="BA51" s="21">
        <v>9</v>
      </c>
      <c r="BG51" s="30"/>
      <c r="BP51" s="30"/>
      <c r="BU51" t="s">
        <v>1343</v>
      </c>
      <c r="BV51" s="21" t="s">
        <v>489</v>
      </c>
      <c r="BW51" s="21" t="s">
        <v>1566</v>
      </c>
      <c r="BX51" s="21" t="s">
        <v>502</v>
      </c>
      <c r="BY51" s="31">
        <v>574949</v>
      </c>
      <c r="BZ51" s="31">
        <v>574949</v>
      </c>
      <c r="CA51" t="s">
        <v>1704</v>
      </c>
      <c r="CB51" s="21" t="s">
        <v>1765</v>
      </c>
      <c r="CC51" s="21" t="s">
        <v>1766</v>
      </c>
      <c r="CD51" s="21" t="s">
        <v>1767</v>
      </c>
      <c r="CE51" s="21" t="s">
        <v>1728</v>
      </c>
      <c r="CF51" s="31">
        <v>475000</v>
      </c>
      <c r="CG51" s="31">
        <v>475000</v>
      </c>
      <c r="CH51" t="s">
        <v>1704</v>
      </c>
      <c r="CM51" s="31"/>
      <c r="CN51" s="31"/>
      <c r="CT51" s="31"/>
      <c r="CU51" s="31"/>
      <c r="CV51" s="31"/>
      <c r="DA51" s="31"/>
      <c r="DB51" s="31"/>
      <c r="DC51" s="31"/>
      <c r="DH51" s="31"/>
      <c r="DI51" s="31"/>
      <c r="DO51" s="31"/>
      <c r="DP51" s="31"/>
      <c r="DR51" t="s">
        <v>529</v>
      </c>
      <c r="DS51" t="s">
        <v>479</v>
      </c>
      <c r="DT51" t="s">
        <v>583</v>
      </c>
      <c r="DU51" s="29" t="s">
        <v>1856</v>
      </c>
      <c r="DV51" t="s">
        <v>172</v>
      </c>
      <c r="DW51" t="s">
        <v>327</v>
      </c>
      <c r="DX51" t="s">
        <v>170</v>
      </c>
      <c r="DY51" t="s">
        <v>167</v>
      </c>
      <c r="DZ51" t="s">
        <v>168</v>
      </c>
      <c r="EA51" s="22">
        <v>43083.486793981479</v>
      </c>
      <c r="EB51" t="s">
        <v>1569</v>
      </c>
      <c r="EC51" t="s">
        <v>1986</v>
      </c>
    </row>
    <row r="52" spans="1:133" x14ac:dyDescent="0.4">
      <c r="A52" s="30"/>
      <c r="B52" s="22">
        <v>43005.582638888889</v>
      </c>
      <c r="C52" s="22" t="s">
        <v>524</v>
      </c>
      <c r="D52" s="30" t="s">
        <v>477</v>
      </c>
      <c r="E52" s="30" t="s">
        <v>582</v>
      </c>
      <c r="F52" s="30" t="s">
        <v>169</v>
      </c>
      <c r="G52" s="30" t="s">
        <v>171</v>
      </c>
      <c r="H52" t="s">
        <v>94</v>
      </c>
      <c r="I52" t="s">
        <v>525</v>
      </c>
      <c r="J52" t="s">
        <v>611</v>
      </c>
      <c r="K52" s="22">
        <v>43082.530104166668</v>
      </c>
      <c r="L52">
        <v>1</v>
      </c>
      <c r="M52" s="26">
        <v>3.09</v>
      </c>
      <c r="N52" t="s">
        <v>542</v>
      </c>
      <c r="Q52" s="29" t="s">
        <v>13</v>
      </c>
      <c r="R52" s="29" t="str">
        <f>IFERROR(MID(RADataTable[[#This Row],[RAtemplate]],1,LEN(RADataTable[[#This Row],[RAtemplate]])-8),"RA") &amp; " " &amp; RADataTable[[#This Row],[prop_id0]] &amp; " " &amp; RADataTable[[#This Row],[last0]]</f>
        <v>RA 1763717 Cheng</v>
      </c>
      <c r="U52" s="21" t="str">
        <f>IF(signer1="PD",IF(ISBLANK(RADataTable[[#This Row],[sign_blck_name]]),"",RADataTable[[#This Row],[sign_blck_name]]),IF(ISBLANK(signer1),"",signer1))</f>
        <v>Tracy J. Kimbrel</v>
      </c>
      <c r="V52" s="29" t="str">
        <f t="shared" si="1"/>
        <v>Cognizant Program Director</v>
      </c>
      <c r="W52" s="15" t="str">
        <f>HYPERLINK("https://www.ejacket.nsf.gov/ej/showProposal.do?Continue=Y&amp;ID="&amp;RADataTable[[#This Row],[prop_id0]],"eJ")</f>
        <v>eJ</v>
      </c>
      <c r="X52" s="15" t="str">
        <f>HYPERLINK("mailto:"&amp;RADataTable[[#This Row],[email]]&amp;"&amp;subject=Your NSF Proposal:  "&amp;RADataTable[[#This Row],[Div]]&amp;" "&amp;RADataTable[[#This Row],[prop_id0]], RADataTable[[#This Row],[email]])</f>
        <v>qcheng@ou.edu</v>
      </c>
      <c r="Y52" s="15" t="str">
        <f>HYPERLINK("mailto:"&amp;RADataTable[[#This Row],[allPIemail]]&amp;"&amp;subject=NSF Proposal:  "&amp;RADataTable[[#This Row],[Div]]&amp;" "&amp;RADataTable[[#This Row],[prop_id0]], "PIs@")</f>
        <v>PIs@</v>
      </c>
      <c r="Z52" t="s">
        <v>478</v>
      </c>
      <c r="AA52" t="s">
        <v>1351</v>
      </c>
      <c r="AB52">
        <v>4</v>
      </c>
      <c r="AC52">
        <v>4</v>
      </c>
      <c r="AD52"/>
      <c r="AE52" s="21" t="str">
        <f>IF(RADataTable[[#This Row],[maxScore]]-RADataTable[[#This Row],[minScore]]&gt;4,"Y","")</f>
        <v/>
      </c>
      <c r="AF52" s="21">
        <v>3</v>
      </c>
      <c r="AG52" s="26">
        <v>5</v>
      </c>
      <c r="AH52">
        <v>7</v>
      </c>
      <c r="AI52" t="s">
        <v>1772</v>
      </c>
      <c r="AJ52" s="30">
        <v>43081.617361111108</v>
      </c>
      <c r="AK52" s="13">
        <v>1198691</v>
      </c>
      <c r="AL52" s="13">
        <v>1198691</v>
      </c>
      <c r="AM52">
        <v>0</v>
      </c>
      <c r="AN52" s="30">
        <v>43282</v>
      </c>
      <c r="AO52" s="21">
        <v>36</v>
      </c>
      <c r="AP52" s="21" t="s">
        <v>1773</v>
      </c>
      <c r="AS52" s="30"/>
      <c r="AT52" t="s">
        <v>1262</v>
      </c>
      <c r="AU52" s="21" t="s">
        <v>541</v>
      </c>
      <c r="AV52" s="21">
        <v>9</v>
      </c>
      <c r="AW52" s="21" t="s">
        <v>1971</v>
      </c>
      <c r="AX52" s="30">
        <v>43081</v>
      </c>
      <c r="AY52" s="21" t="s">
        <v>1987</v>
      </c>
      <c r="AZ52" s="21" t="s">
        <v>1973</v>
      </c>
      <c r="BA52" s="21">
        <v>9</v>
      </c>
      <c r="BG52" s="30"/>
      <c r="BP52" s="30"/>
      <c r="BU52" t="s">
        <v>1351</v>
      </c>
      <c r="BV52" s="21" t="s">
        <v>1352</v>
      </c>
      <c r="BW52" s="21" t="s">
        <v>1770</v>
      </c>
      <c r="BX52" s="21" t="s">
        <v>1771</v>
      </c>
      <c r="BY52" s="31">
        <v>298823</v>
      </c>
      <c r="BZ52" s="31">
        <v>298823</v>
      </c>
      <c r="CA52" t="s">
        <v>1769</v>
      </c>
      <c r="CB52" s="21" t="s">
        <v>1775</v>
      </c>
      <c r="CC52" s="21" t="s">
        <v>1776</v>
      </c>
      <c r="CD52" s="21" t="s">
        <v>1777</v>
      </c>
      <c r="CE52" s="21" t="s">
        <v>1709</v>
      </c>
      <c r="CF52" s="31">
        <v>299950</v>
      </c>
      <c r="CG52" s="31">
        <v>299950</v>
      </c>
      <c r="CH52" t="s">
        <v>1722</v>
      </c>
      <c r="CI52" s="21" t="s">
        <v>1779</v>
      </c>
      <c r="CJ52" s="21" t="s">
        <v>1780</v>
      </c>
      <c r="CK52" s="21" t="s">
        <v>1781</v>
      </c>
      <c r="CL52" s="21" t="s">
        <v>1782</v>
      </c>
      <c r="CM52" s="31">
        <v>299918</v>
      </c>
      <c r="CN52" s="31">
        <v>299918</v>
      </c>
      <c r="CO52" t="s">
        <v>1769</v>
      </c>
      <c r="CP52" s="21" t="s">
        <v>1785</v>
      </c>
      <c r="CQ52" s="21" t="s">
        <v>1786</v>
      </c>
      <c r="CR52" s="21" t="s">
        <v>1787</v>
      </c>
      <c r="CS52" s="21" t="s">
        <v>1788</v>
      </c>
      <c r="CT52" s="31">
        <v>300000</v>
      </c>
      <c r="CU52" s="31">
        <v>300000</v>
      </c>
      <c r="CV52" s="31" t="s">
        <v>1722</v>
      </c>
      <c r="DA52" s="31"/>
      <c r="DB52" s="31"/>
      <c r="DC52" s="31"/>
      <c r="DH52" s="31"/>
      <c r="DI52" s="31"/>
      <c r="DO52" s="31"/>
      <c r="DP52" s="31"/>
      <c r="DR52" t="s">
        <v>529</v>
      </c>
      <c r="DS52" t="s">
        <v>479</v>
      </c>
      <c r="DT52" t="s">
        <v>583</v>
      </c>
      <c r="DU52" s="29" t="s">
        <v>1869</v>
      </c>
      <c r="DV52" t="s">
        <v>172</v>
      </c>
      <c r="DW52" t="s">
        <v>327</v>
      </c>
      <c r="DX52" t="s">
        <v>170</v>
      </c>
      <c r="DY52" t="s">
        <v>167</v>
      </c>
      <c r="DZ52" t="s">
        <v>168</v>
      </c>
      <c r="EA52" s="22">
        <v>43083.486793981479</v>
      </c>
      <c r="EB52" t="s">
        <v>1774</v>
      </c>
      <c r="EC52" t="s">
        <v>1988</v>
      </c>
    </row>
    <row r="53" spans="1:133" x14ac:dyDescent="0.4">
      <c r="A53" s="30"/>
      <c r="B53" s="22">
        <v>43005.590277777781</v>
      </c>
      <c r="C53" s="22" t="s">
        <v>524</v>
      </c>
      <c r="D53" s="30" t="s">
        <v>477</v>
      </c>
      <c r="E53" s="30" t="s">
        <v>582</v>
      </c>
      <c r="F53" s="30" t="s">
        <v>169</v>
      </c>
      <c r="G53" s="30" t="s">
        <v>171</v>
      </c>
      <c r="H53" t="s">
        <v>94</v>
      </c>
      <c r="I53" t="s">
        <v>525</v>
      </c>
      <c r="J53" t="s">
        <v>611</v>
      </c>
      <c r="K53" s="22">
        <v>43082.530173611114</v>
      </c>
      <c r="L53">
        <v>1</v>
      </c>
      <c r="M53" s="26">
        <v>3.09</v>
      </c>
      <c r="N53" t="s">
        <v>542</v>
      </c>
      <c r="Q53" s="29" t="s">
        <v>13</v>
      </c>
      <c r="R53" s="29" t="str">
        <f>IFERROR(MID(RADataTable[[#This Row],[RAtemplate]],1,LEN(RADataTable[[#This Row],[RAtemplate]])-8),"RA") &amp; " " &amp; RADataTable[[#This Row],[prop_id0]] &amp; " " &amp; RADataTable[[#This Row],[last0]]</f>
        <v>RA 1763733 Gleich</v>
      </c>
      <c r="U53" s="21" t="str">
        <f>IF(signer1="PD",IF(ISBLANK(RADataTable[[#This Row],[sign_blck_name]]),"",RADataTable[[#This Row],[sign_blck_name]]),IF(ISBLANK(signer1),"",signer1))</f>
        <v>Tracy J. Kimbrel</v>
      </c>
      <c r="V53" s="29" t="str">
        <f t="shared" si="1"/>
        <v>Cognizant Program Director</v>
      </c>
      <c r="W53" s="15" t="str">
        <f>HYPERLINK("https://www.ejacket.nsf.gov/ej/showProposal.do?Continue=Y&amp;ID="&amp;RADataTable[[#This Row],[prop_id0]],"eJ")</f>
        <v>eJ</v>
      </c>
      <c r="X53" s="15" t="str">
        <f>HYPERLINK("mailto:"&amp;RADataTable[[#This Row],[email]]&amp;"&amp;subject=Your NSF Proposal:  "&amp;RADataTable[[#This Row],[Div]]&amp;" "&amp;RADataTable[[#This Row],[prop_id0]], RADataTable[[#This Row],[email]])</f>
        <v>dgleich@purdue.edu</v>
      </c>
      <c r="Y53" s="15" t="str">
        <f>HYPERLINK("mailto:"&amp;RADataTable[[#This Row],[allPIemail]]&amp;"&amp;subject=NSF Proposal:  "&amp;RADataTable[[#This Row],[Div]]&amp;" "&amp;RADataTable[[#This Row],[prop_id0]], "PIs@")</f>
        <v>PIs@</v>
      </c>
      <c r="Z53" t="s">
        <v>478</v>
      </c>
      <c r="AA53" t="s">
        <v>1360</v>
      </c>
      <c r="AB53">
        <v>4</v>
      </c>
      <c r="AC53">
        <v>4</v>
      </c>
      <c r="AD53"/>
      <c r="AE53" s="21" t="str">
        <f>IF(RADataTable[[#This Row],[maxScore]]-RADataTable[[#This Row],[minScore]]&gt;4,"Y","")</f>
        <v/>
      </c>
      <c r="AF53" s="21">
        <v>5</v>
      </c>
      <c r="AG53" s="26">
        <v>5.75</v>
      </c>
      <c r="AH53">
        <v>7</v>
      </c>
      <c r="AI53" t="s">
        <v>531</v>
      </c>
      <c r="AJ53" s="30">
        <v>43080.352777777778</v>
      </c>
      <c r="AK53" s="13">
        <v>1099433</v>
      </c>
      <c r="AL53" s="13">
        <v>1099433</v>
      </c>
      <c r="AM53">
        <v>0</v>
      </c>
      <c r="AN53" s="30">
        <v>43327</v>
      </c>
      <c r="AO53" s="21">
        <v>48</v>
      </c>
      <c r="AP53" s="21" t="s">
        <v>1791</v>
      </c>
      <c r="AQ53">
        <v>1</v>
      </c>
      <c r="AR53" t="s">
        <v>504</v>
      </c>
      <c r="AS53" s="30">
        <v>43079.986111111109</v>
      </c>
      <c r="AT53" t="s">
        <v>1262</v>
      </c>
      <c r="AU53" s="21" t="s">
        <v>541</v>
      </c>
      <c r="AV53" s="21">
        <v>9</v>
      </c>
      <c r="AW53" s="21" t="s">
        <v>1971</v>
      </c>
      <c r="AX53" s="30">
        <v>43081</v>
      </c>
      <c r="AY53" s="21" t="s">
        <v>1989</v>
      </c>
      <c r="AZ53" s="21" t="s">
        <v>1973</v>
      </c>
      <c r="BA53" s="21">
        <v>9</v>
      </c>
      <c r="BB53" s="21">
        <v>1</v>
      </c>
      <c r="BG53" s="30"/>
      <c r="BP53" s="30"/>
      <c r="BU53" t="s">
        <v>1360</v>
      </c>
      <c r="BV53" s="21" t="s">
        <v>1361</v>
      </c>
      <c r="BW53" s="21" t="s">
        <v>528</v>
      </c>
      <c r="BX53" s="21" t="s">
        <v>495</v>
      </c>
      <c r="BY53" s="31">
        <v>508040</v>
      </c>
      <c r="BZ53" s="31">
        <v>508040</v>
      </c>
      <c r="CA53" t="s">
        <v>1790</v>
      </c>
      <c r="CB53" s="21" t="s">
        <v>1793</v>
      </c>
      <c r="CC53" s="21" t="s">
        <v>1794</v>
      </c>
      <c r="CD53" s="21" t="s">
        <v>1795</v>
      </c>
      <c r="CE53" s="21" t="s">
        <v>1754</v>
      </c>
      <c r="CF53" s="31">
        <v>591393</v>
      </c>
      <c r="CG53" s="31">
        <v>591393</v>
      </c>
      <c r="CH53" t="s">
        <v>1790</v>
      </c>
      <c r="CM53" s="31"/>
      <c r="CN53" s="31"/>
      <c r="CT53" s="31"/>
      <c r="CU53" s="31"/>
      <c r="CV53" s="31"/>
      <c r="DA53" s="31"/>
      <c r="DB53" s="31"/>
      <c r="DC53" s="31"/>
      <c r="DH53" s="31"/>
      <c r="DI53" s="31"/>
      <c r="DO53" s="31"/>
      <c r="DP53" s="31"/>
      <c r="DR53" t="s">
        <v>529</v>
      </c>
      <c r="DS53" t="s">
        <v>479</v>
      </c>
      <c r="DT53" t="s">
        <v>583</v>
      </c>
      <c r="DU53" s="29" t="s">
        <v>1869</v>
      </c>
      <c r="DV53" t="s">
        <v>172</v>
      </c>
      <c r="DW53" t="s">
        <v>327</v>
      </c>
      <c r="DX53" t="s">
        <v>170</v>
      </c>
      <c r="DY53" t="s">
        <v>167</v>
      </c>
      <c r="DZ53" t="s">
        <v>168</v>
      </c>
      <c r="EA53" s="22">
        <v>43083.486793981479</v>
      </c>
      <c r="EB53" t="s">
        <v>1792</v>
      </c>
      <c r="EC53" t="s">
        <v>1990</v>
      </c>
    </row>
    <row r="54" spans="1:133" x14ac:dyDescent="0.4">
      <c r="A54" s="30"/>
      <c r="B54" s="22">
        <v>43005.654861111114</v>
      </c>
      <c r="C54" s="22" t="s">
        <v>524</v>
      </c>
      <c r="D54" s="30" t="s">
        <v>477</v>
      </c>
      <c r="E54" s="30" t="s">
        <v>582</v>
      </c>
      <c r="F54" s="30" t="s">
        <v>169</v>
      </c>
      <c r="G54" s="30" t="s">
        <v>171</v>
      </c>
      <c r="H54" t="s">
        <v>94</v>
      </c>
      <c r="I54" t="s">
        <v>525</v>
      </c>
      <c r="J54" t="s">
        <v>611</v>
      </c>
      <c r="K54" s="22">
        <v>43082.530243055553</v>
      </c>
      <c r="L54">
        <v>1</v>
      </c>
      <c r="M54" s="26">
        <v>3.09</v>
      </c>
      <c r="N54" t="s">
        <v>542</v>
      </c>
      <c r="Q54" s="29" t="s">
        <v>13</v>
      </c>
      <c r="R54" s="29" t="str">
        <f>IFERROR(MID(RADataTable[[#This Row],[RAtemplate]],1,LEN(RADataTable[[#This Row],[RAtemplate]])-8),"RA") &amp; " " &amp; RADataTable[[#This Row],[prop_id0]] &amp; " " &amp; RADataTable[[#This Row],[last0]]</f>
        <v>RA 1763886 Chen</v>
      </c>
      <c r="U54" s="21" t="str">
        <f>IF(signer1="PD",IF(ISBLANK(RADataTable[[#This Row],[sign_blck_name]]),"",RADataTable[[#This Row],[sign_blck_name]]),IF(ISBLANK(signer1),"",signer1))</f>
        <v>Tracy J. Kimbrel</v>
      </c>
      <c r="V54" s="29" t="str">
        <f t="shared" si="1"/>
        <v>Cognizant Program Director</v>
      </c>
      <c r="W54" s="15" t="str">
        <f>HYPERLINK("https://www.ejacket.nsf.gov/ej/showProposal.do?Continue=Y&amp;ID="&amp;RADataTable[[#This Row],[prop_id0]],"eJ")</f>
        <v>eJ</v>
      </c>
      <c r="X54" s="15" t="str">
        <f>HYPERLINK("mailto:"&amp;RADataTable[[#This Row],[email]]&amp;"&amp;subject=Your NSF Proposal:  "&amp;RADataTable[[#This Row],[Div]]&amp;" "&amp;RADataTable[[#This Row],[prop_id0]], RADataTable[[#This Row],[email]])</f>
        <v>gchen16@uh.edu</v>
      </c>
      <c r="Y54" s="15" t="str">
        <f>HYPERLINK("mailto:"&amp;RADataTable[[#This Row],[allPIemail]]&amp;"&amp;subject=NSF Proposal:  "&amp;RADataTable[[#This Row],[Div]]&amp;" "&amp;RADataTable[[#This Row],[prop_id0]], "PIs@")</f>
        <v>PIs@</v>
      </c>
      <c r="Z54" t="s">
        <v>478</v>
      </c>
      <c r="AA54" t="s">
        <v>1372</v>
      </c>
      <c r="AB54">
        <v>4</v>
      </c>
      <c r="AC54">
        <v>4</v>
      </c>
      <c r="AD54"/>
      <c r="AE54" s="21" t="str">
        <f>IF(RADataTable[[#This Row],[maxScore]]-RADataTable[[#This Row],[minScore]]&gt;4,"Y","")</f>
        <v/>
      </c>
      <c r="AF54" s="21">
        <v>3</v>
      </c>
      <c r="AG54" s="26">
        <v>4.25</v>
      </c>
      <c r="AH54">
        <v>5</v>
      </c>
      <c r="AI54" t="s">
        <v>1799</v>
      </c>
      <c r="AJ54" s="30">
        <v>43081.45416666667</v>
      </c>
      <c r="AK54" s="13">
        <v>1199997</v>
      </c>
      <c r="AL54" s="13">
        <v>1199997</v>
      </c>
      <c r="AM54">
        <v>0</v>
      </c>
      <c r="AN54" s="30">
        <v>43221</v>
      </c>
      <c r="AO54" s="21">
        <v>48</v>
      </c>
      <c r="AP54" s="21" t="s">
        <v>1800</v>
      </c>
      <c r="AS54" s="30"/>
      <c r="AT54" t="s">
        <v>1262</v>
      </c>
      <c r="AU54" s="21" t="s">
        <v>541</v>
      </c>
      <c r="AV54" s="21">
        <v>9</v>
      </c>
      <c r="AW54" s="21" t="s">
        <v>1971</v>
      </c>
      <c r="AX54" s="30">
        <v>43081</v>
      </c>
      <c r="AY54" s="21" t="s">
        <v>1991</v>
      </c>
      <c r="AZ54" s="21" t="s">
        <v>1973</v>
      </c>
      <c r="BA54" s="21">
        <v>9</v>
      </c>
      <c r="BG54" s="30"/>
      <c r="BP54" s="30"/>
      <c r="BU54" t="s">
        <v>1372</v>
      </c>
      <c r="BV54" s="21" t="s">
        <v>750</v>
      </c>
      <c r="BW54" s="21" t="s">
        <v>1798</v>
      </c>
      <c r="BX54" s="21" t="s">
        <v>1701</v>
      </c>
      <c r="BY54" s="31">
        <v>599997</v>
      </c>
      <c r="BZ54" s="31">
        <v>599997</v>
      </c>
      <c r="CA54" t="s">
        <v>1797</v>
      </c>
      <c r="CB54" s="21" t="s">
        <v>1802</v>
      </c>
      <c r="CC54" s="21" t="s">
        <v>488</v>
      </c>
      <c r="CD54" s="21" t="s">
        <v>1803</v>
      </c>
      <c r="CE54" s="21" t="s">
        <v>1600</v>
      </c>
      <c r="CF54" s="31">
        <v>600000</v>
      </c>
      <c r="CG54" s="31">
        <v>600000</v>
      </c>
      <c r="CH54" t="s">
        <v>1797</v>
      </c>
      <c r="CM54" s="31"/>
      <c r="CN54" s="31"/>
      <c r="CT54" s="31"/>
      <c r="CU54" s="31"/>
      <c r="CV54" s="31"/>
      <c r="DA54" s="31"/>
      <c r="DB54" s="31"/>
      <c r="DC54" s="31"/>
      <c r="DH54" s="31"/>
      <c r="DI54" s="31"/>
      <c r="DO54" s="31"/>
      <c r="DP54" s="31"/>
      <c r="DR54" t="s">
        <v>529</v>
      </c>
      <c r="DS54" t="s">
        <v>479</v>
      </c>
      <c r="DT54" t="s">
        <v>583</v>
      </c>
      <c r="DU54" s="29" t="s">
        <v>1869</v>
      </c>
      <c r="DV54" t="s">
        <v>172</v>
      </c>
      <c r="DW54" t="s">
        <v>327</v>
      </c>
      <c r="DX54" t="s">
        <v>170</v>
      </c>
      <c r="DY54" t="s">
        <v>167</v>
      </c>
      <c r="DZ54" t="s">
        <v>168</v>
      </c>
      <c r="EA54" s="22">
        <v>43083.486793981479</v>
      </c>
      <c r="EB54" t="s">
        <v>1801</v>
      </c>
      <c r="EC54" t="s">
        <v>1992</v>
      </c>
    </row>
    <row r="55" spans="1:133" x14ac:dyDescent="0.4">
      <c r="A55" s="30"/>
      <c r="B55" s="22">
        <v>43005.740277777775</v>
      </c>
      <c r="C55" s="22" t="s">
        <v>1831</v>
      </c>
      <c r="D55" s="30" t="s">
        <v>1622</v>
      </c>
      <c r="E55" s="30" t="s">
        <v>580</v>
      </c>
      <c r="F55" s="30" t="s">
        <v>169</v>
      </c>
      <c r="G55" s="30" t="s">
        <v>171</v>
      </c>
      <c r="H55" t="s">
        <v>94</v>
      </c>
      <c r="I55" t="s">
        <v>1832</v>
      </c>
      <c r="J55" t="s">
        <v>1166</v>
      </c>
      <c r="L55">
        <v>1</v>
      </c>
      <c r="M55" s="26">
        <v>3.09</v>
      </c>
      <c r="N55" t="s">
        <v>542</v>
      </c>
      <c r="Q55" s="29" t="s">
        <v>13</v>
      </c>
      <c r="R55" s="29" t="str">
        <f>IFERROR(MID(RADataTable[[#This Row],[RAtemplate]],1,LEN(RADataTable[[#This Row],[RAtemplate]])-8),"RA") &amp; " " &amp; RADataTable[[#This Row],[prop_id0]] &amp; " " &amp; RADataTable[[#This Row],[last0]]</f>
        <v>RA 1764056 Mahoney</v>
      </c>
      <c r="U55" s="21" t="str">
        <f>IF(signer1="PD",IF(ISBLANK(RADataTable[[#This Row],[sign_blck_name]]),"",RADataTable[[#This Row],[sign_blck_name]]),IF(ISBLANK(signer1),"",signer1))</f>
        <v>Weng-keen Wong</v>
      </c>
      <c r="V55" s="29" t="str">
        <f t="shared" si="1"/>
        <v>Cognizant Program Director</v>
      </c>
      <c r="W55" s="15" t="str">
        <f>HYPERLINK("https://www.ejacket.nsf.gov/ej/showProposal.do?Continue=Y&amp;ID="&amp;RADataTable[[#This Row],[prop_id0]],"eJ")</f>
        <v>eJ</v>
      </c>
      <c r="X55" s="15" t="str">
        <f>HYPERLINK("mailto:"&amp;RADataTable[[#This Row],[email]]&amp;"&amp;subject=Your NSF Proposal:  "&amp;RADataTable[[#This Row],[Div]]&amp;" "&amp;RADataTable[[#This Row],[prop_id0]], RADataTable[[#This Row],[email]])</f>
        <v>mmahoney@icsi.berkeley.edu</v>
      </c>
      <c r="Y55" s="15" t="str">
        <f>HYPERLINK("mailto:"&amp;RADataTable[[#This Row],[allPIemail]]&amp;"&amp;subject=NSF Proposal:  "&amp;RADataTable[[#This Row],[Div]]&amp;" "&amp;RADataTable[[#This Row],[prop_id0]], "PIs@")</f>
        <v>PIs@</v>
      </c>
      <c r="Z55" t="s">
        <v>1625</v>
      </c>
      <c r="AA55" t="s">
        <v>1411</v>
      </c>
      <c r="AB55">
        <v>4</v>
      </c>
      <c r="AC55">
        <v>4</v>
      </c>
      <c r="AD55"/>
      <c r="AE55" s="21" t="str">
        <f>IF(RADataTable[[#This Row],[maxScore]]-RADataTable[[#This Row],[minScore]]&gt;4,"Y","")</f>
        <v/>
      </c>
      <c r="AF55" s="21">
        <v>5</v>
      </c>
      <c r="AG55" s="26">
        <v>5.25</v>
      </c>
      <c r="AH55">
        <v>6</v>
      </c>
      <c r="AI55" t="s">
        <v>1835</v>
      </c>
      <c r="AJ55" s="30">
        <v>43081.304861111108</v>
      </c>
      <c r="AK55" s="13">
        <v>1200000</v>
      </c>
      <c r="AL55" s="13">
        <v>1200000</v>
      </c>
      <c r="AM55">
        <v>0</v>
      </c>
      <c r="AN55" s="30">
        <v>43160</v>
      </c>
      <c r="AO55" s="21">
        <v>48</v>
      </c>
      <c r="AP55" s="21" t="s">
        <v>1836</v>
      </c>
      <c r="AS55" s="30"/>
      <c r="AT55" t="s">
        <v>1262</v>
      </c>
      <c r="AU55" s="21" t="s">
        <v>541</v>
      </c>
      <c r="AV55" s="21">
        <v>9</v>
      </c>
      <c r="AW55" s="21" t="s">
        <v>1971</v>
      </c>
      <c r="AX55" s="30">
        <v>43081</v>
      </c>
      <c r="AY55" s="21" t="s">
        <v>1999</v>
      </c>
      <c r="AZ55" s="21" t="s">
        <v>1973</v>
      </c>
      <c r="BA55" s="21">
        <v>9</v>
      </c>
      <c r="BB55" s="21">
        <v>1</v>
      </c>
      <c r="BG55" s="30"/>
      <c r="BP55" s="30"/>
      <c r="BU55" t="s">
        <v>1411</v>
      </c>
      <c r="BV55" s="21" t="s">
        <v>1412</v>
      </c>
      <c r="BW55" s="21" t="s">
        <v>1524</v>
      </c>
      <c r="BX55" s="21" t="s">
        <v>1834</v>
      </c>
      <c r="BY55" s="31">
        <v>1200000</v>
      </c>
      <c r="BZ55" s="31">
        <v>1200000</v>
      </c>
      <c r="CA55" t="s">
        <v>1833</v>
      </c>
      <c r="CF55" s="31"/>
      <c r="CG55" s="31"/>
      <c r="CM55" s="31"/>
      <c r="CN55" s="31"/>
      <c r="CT55" s="31"/>
      <c r="CU55" s="31"/>
      <c r="CV55" s="31"/>
      <c r="DA55" s="31"/>
      <c r="DB55" s="31"/>
      <c r="DC55" s="31"/>
      <c r="DH55" s="31"/>
      <c r="DI55" s="31"/>
      <c r="DO55" s="31"/>
      <c r="DP55" s="31"/>
      <c r="DR55" t="s">
        <v>2000</v>
      </c>
      <c r="DS55" t="s">
        <v>1937</v>
      </c>
      <c r="DT55" t="s">
        <v>581</v>
      </c>
      <c r="DU55" s="29" t="s">
        <v>1955</v>
      </c>
      <c r="DV55" t="s">
        <v>172</v>
      </c>
      <c r="DW55" t="s">
        <v>327</v>
      </c>
      <c r="DX55" t="s">
        <v>170</v>
      </c>
      <c r="DY55" t="s">
        <v>167</v>
      </c>
      <c r="DZ55" t="s">
        <v>168</v>
      </c>
      <c r="EA55" s="22">
        <v>43083.486793981479</v>
      </c>
      <c r="EB55" t="s">
        <v>1837</v>
      </c>
      <c r="EC55" t="s">
        <v>2001</v>
      </c>
    </row>
    <row r="56" spans="1:133" x14ac:dyDescent="0.4">
      <c r="A56" s="30"/>
      <c r="B56" s="22">
        <v>42933.444444444445</v>
      </c>
      <c r="C56" s="22" t="s">
        <v>1430</v>
      </c>
      <c r="D56" s="30" t="s">
        <v>1622</v>
      </c>
      <c r="E56" s="30" t="s">
        <v>580</v>
      </c>
      <c r="F56" s="30" t="s">
        <v>169</v>
      </c>
      <c r="G56" s="30" t="s">
        <v>171</v>
      </c>
      <c r="H56" t="s">
        <v>94</v>
      </c>
      <c r="I56" t="s">
        <v>2065</v>
      </c>
      <c r="J56" t="s">
        <v>1166</v>
      </c>
      <c r="K56" s="22">
        <v>43068.644884259258</v>
      </c>
      <c r="L56">
        <v>2</v>
      </c>
      <c r="M56" s="26">
        <v>3.11</v>
      </c>
      <c r="N56" t="s">
        <v>542</v>
      </c>
      <c r="O56" t="s">
        <v>542</v>
      </c>
      <c r="Q56" s="29" t="s">
        <v>13</v>
      </c>
      <c r="R56" s="29" t="str">
        <f>IFERROR(MID(RADataTable[[#This Row],[RAtemplate]],1,LEN(RADataTable[[#This Row],[RAtemplate]])-8),"RA") &amp; " " &amp; RADataTable[[#This Row],[prop_id0]] &amp; " " &amp; RADataTable[[#This Row],[last0]]</f>
        <v>RA 1749315 Yang</v>
      </c>
      <c r="U56" s="21" t="str">
        <f>IF(signer1="PD",IF(ISBLANK(RADataTable[[#This Row],[sign_blck_name]]),"",RADataTable[[#This Row],[sign_blck_name]]),IF(ISBLANK(signer1),"",signer1))</f>
        <v>Weng-keen Wong</v>
      </c>
      <c r="V56" s="29" t="str">
        <f t="shared" si="1"/>
        <v>Cognizant Program Director</v>
      </c>
      <c r="W56" s="15" t="str">
        <f>HYPERLINK("https://www.ejacket.nsf.gov/ej/showProposal.do?Continue=Y&amp;ID="&amp;RADataTable[[#This Row],[prop_id0]],"eJ")</f>
        <v>eJ</v>
      </c>
      <c r="X56" s="15" t="str">
        <f>HYPERLINK("mailto:"&amp;RADataTable[[#This Row],[email]]&amp;"&amp;subject=Your NSF Proposal:  "&amp;RADataTable[[#This Row],[Div]]&amp;" "&amp;RADataTable[[#This Row],[prop_id0]], RADataTable[[#This Row],[email]])</f>
        <v>tianbao-yang@uiowa.edu</v>
      </c>
      <c r="Y56" s="15" t="str">
        <f>HYPERLINK("mailto:"&amp;RADataTable[[#This Row],[allPIemail]]&amp;"&amp;subject=NSF Proposal:  "&amp;RADataTable[[#This Row],[Div]]&amp;" "&amp;RADataTable[[#This Row],[prop_id0]], "PIs@")</f>
        <v>PIs@</v>
      </c>
      <c r="Z56" t="s">
        <v>1625</v>
      </c>
      <c r="AA56" t="s">
        <v>2015</v>
      </c>
      <c r="AB56">
        <v>7</v>
      </c>
      <c r="AD56"/>
      <c r="AE56" s="21" t="str">
        <f>IF(RADataTable[[#This Row],[maxScore]]-RADataTable[[#This Row],[minScore]]&gt;4,"Y","")</f>
        <v/>
      </c>
      <c r="AF56" s="21">
        <v>4</v>
      </c>
      <c r="AG56" s="26">
        <v>6</v>
      </c>
      <c r="AH56">
        <v>8</v>
      </c>
      <c r="AI56" t="s">
        <v>2069</v>
      </c>
      <c r="AJ56" s="30">
        <v>43060.395138888889</v>
      </c>
      <c r="AK56" s="13">
        <v>543913</v>
      </c>
      <c r="AL56" s="13">
        <v>543913</v>
      </c>
      <c r="AM56">
        <v>0</v>
      </c>
      <c r="AN56" s="30">
        <v>43252</v>
      </c>
      <c r="AO56" s="21">
        <v>60</v>
      </c>
      <c r="AP56" s="21" t="s">
        <v>2071</v>
      </c>
      <c r="AQ56">
        <v>1</v>
      </c>
      <c r="AR56" t="s">
        <v>571</v>
      </c>
      <c r="AS56" s="30">
        <v>43032.890972222223</v>
      </c>
      <c r="AT56" t="s">
        <v>2018</v>
      </c>
      <c r="AU56" s="21" t="s">
        <v>541</v>
      </c>
      <c r="AW56" s="21" t="s">
        <v>2079</v>
      </c>
      <c r="AX56" s="30">
        <v>43035</v>
      </c>
      <c r="AY56" s="21" t="s">
        <v>2080</v>
      </c>
      <c r="AZ56" s="21" t="s">
        <v>2081</v>
      </c>
      <c r="BA56" s="21">
        <v>10</v>
      </c>
      <c r="BC56" s="21" t="s">
        <v>714</v>
      </c>
      <c r="BD56" s="21" t="s">
        <v>541</v>
      </c>
      <c r="BE56" s="21">
        <v>11</v>
      </c>
      <c r="BF56" s="21" t="s">
        <v>1866</v>
      </c>
      <c r="BG56" s="30">
        <v>43060</v>
      </c>
      <c r="BH56" s="21" t="s">
        <v>2082</v>
      </c>
      <c r="BI56" s="21" t="s">
        <v>1868</v>
      </c>
      <c r="BJ56" s="21">
        <v>12</v>
      </c>
      <c r="BP56" s="30"/>
      <c r="BU56" t="s">
        <v>2015</v>
      </c>
      <c r="BV56" s="21" t="s">
        <v>2016</v>
      </c>
      <c r="BW56" s="21" t="s">
        <v>2067</v>
      </c>
      <c r="BX56" s="21" t="s">
        <v>2068</v>
      </c>
      <c r="BY56" s="31">
        <v>543913</v>
      </c>
      <c r="BZ56" s="31">
        <v>543913</v>
      </c>
      <c r="CA56" t="s">
        <v>2066</v>
      </c>
      <c r="CF56" s="31"/>
      <c r="CG56" s="31"/>
      <c r="CM56" s="31"/>
      <c r="CN56" s="31"/>
      <c r="CT56" s="31"/>
      <c r="CU56" s="31"/>
      <c r="CV56" s="31"/>
      <c r="DA56" s="31"/>
      <c r="DB56" s="31"/>
      <c r="DC56" s="31"/>
      <c r="DH56" s="31"/>
      <c r="DI56" s="31"/>
      <c r="DO56" s="31"/>
      <c r="DP56" s="31"/>
      <c r="DR56" t="s">
        <v>1850</v>
      </c>
      <c r="DS56" t="s">
        <v>1937</v>
      </c>
      <c r="DT56" t="s">
        <v>581</v>
      </c>
      <c r="DU56" s="29" t="s">
        <v>1955</v>
      </c>
      <c r="DV56" t="s">
        <v>2070</v>
      </c>
      <c r="DW56" t="s">
        <v>327</v>
      </c>
      <c r="DX56" t="s">
        <v>170</v>
      </c>
      <c r="DY56" t="s">
        <v>167</v>
      </c>
      <c r="DZ56" t="s">
        <v>168</v>
      </c>
      <c r="EA56" s="22">
        <v>43083.486793981479</v>
      </c>
      <c r="EB56" t="s">
        <v>2072</v>
      </c>
      <c r="EC56" t="s">
        <v>2083</v>
      </c>
    </row>
    <row r="57" spans="1:133" x14ac:dyDescent="0.4">
      <c r="A57" s="30"/>
      <c r="B57" s="22">
        <v>42935.491666666669</v>
      </c>
      <c r="C57" s="22" t="s">
        <v>1430</v>
      </c>
      <c r="D57" s="30" t="s">
        <v>477</v>
      </c>
      <c r="E57" s="30" t="s">
        <v>582</v>
      </c>
      <c r="F57" s="30" t="s">
        <v>169</v>
      </c>
      <c r="G57" s="30" t="s">
        <v>171</v>
      </c>
      <c r="H57" t="s">
        <v>94</v>
      </c>
      <c r="I57" t="s">
        <v>1431</v>
      </c>
      <c r="J57" t="s">
        <v>654</v>
      </c>
      <c r="K57" s="22">
        <v>43082.663078703707</v>
      </c>
      <c r="L57">
        <v>1</v>
      </c>
      <c r="M57" s="26">
        <v>3.11</v>
      </c>
      <c r="N57" t="s">
        <v>542</v>
      </c>
      <c r="Q57" s="29" t="s">
        <v>13</v>
      </c>
      <c r="R57" s="29" t="str">
        <f>IFERROR(MID(RADataTable[[#This Row],[RAtemplate]],1,LEN(RADataTable[[#This Row],[RAtemplate]])-8),"RA") &amp; " " &amp; RADataTable[[#This Row],[prop_id0]] &amp; " " &amp; RADataTable[[#This Row],[last0]]</f>
        <v>RA 1750344 Valiant</v>
      </c>
      <c r="U57" s="21" t="str">
        <f>IF(signer1="PD",IF(ISBLANK(RADataTable[[#This Row],[sign_blck_name]]),"",RADataTable[[#This Row],[sign_blck_name]]),IF(ISBLANK(signer1),"",signer1))</f>
        <v>Rahul Shah</v>
      </c>
      <c r="V57" s="29" t="str">
        <f t="shared" si="1"/>
        <v>Cognizant Program Director</v>
      </c>
      <c r="W57" s="15" t="str">
        <f>HYPERLINK("https://www.ejacket.nsf.gov/ej/showProposal.do?Continue=Y&amp;ID="&amp;RADataTable[[#This Row],[prop_id0]],"eJ")</f>
        <v>eJ</v>
      </c>
      <c r="X57" s="15" t="str">
        <f>HYPERLINK("mailto:"&amp;RADataTable[[#This Row],[email]]&amp;"&amp;subject=Your NSF Proposal:  "&amp;RADataTable[[#This Row],[Div]]&amp;" "&amp;RADataTable[[#This Row],[prop_id0]], RADataTable[[#This Row],[email]])</f>
        <v>pvaliant@gmail.com</v>
      </c>
      <c r="Y57" s="15" t="str">
        <f>HYPERLINK("mailto:"&amp;RADataTable[[#This Row],[allPIemail]]&amp;"&amp;subject=NSF Proposal:  "&amp;RADataTable[[#This Row],[Div]]&amp;" "&amp;RADataTable[[#This Row],[prop_id0]], "PIs@")</f>
        <v>PIs@</v>
      </c>
      <c r="Z57" t="s">
        <v>478</v>
      </c>
      <c r="AA57" t="s">
        <v>875</v>
      </c>
      <c r="AB57">
        <v>4</v>
      </c>
      <c r="AD57"/>
      <c r="AE57" s="21" t="str">
        <f>IF(RADataTable[[#This Row],[maxScore]]-RADataTable[[#This Row],[minScore]]&gt;4,"Y","")</f>
        <v/>
      </c>
      <c r="AF57" s="21">
        <v>4</v>
      </c>
      <c r="AG57" s="26">
        <v>5</v>
      </c>
      <c r="AH57">
        <v>7</v>
      </c>
      <c r="AI57" t="s">
        <v>1536</v>
      </c>
      <c r="AJ57" s="30">
        <v>43059.950694444444</v>
      </c>
      <c r="AK57" s="13">
        <v>666111</v>
      </c>
      <c r="AL57" s="13">
        <v>666111</v>
      </c>
      <c r="AM57">
        <v>0</v>
      </c>
      <c r="AN57" s="30">
        <v>43252</v>
      </c>
      <c r="AO57" s="21">
        <v>60</v>
      </c>
      <c r="AP57" s="21" t="s">
        <v>1537</v>
      </c>
      <c r="AS57" s="30"/>
      <c r="AT57" t="s">
        <v>714</v>
      </c>
      <c r="AU57" s="21" t="s">
        <v>541</v>
      </c>
      <c r="AV57" s="21">
        <v>11</v>
      </c>
      <c r="AW57" s="21" t="s">
        <v>1866</v>
      </c>
      <c r="AX57" s="30">
        <v>43060</v>
      </c>
      <c r="AY57" s="21" t="s">
        <v>1896</v>
      </c>
      <c r="AZ57" s="21" t="s">
        <v>1868</v>
      </c>
      <c r="BA57" s="21">
        <v>12</v>
      </c>
      <c r="BG57" s="30"/>
      <c r="BP57" s="30"/>
      <c r="BU57" t="s">
        <v>875</v>
      </c>
      <c r="BV57" s="21" t="s">
        <v>876</v>
      </c>
      <c r="BW57" s="21" t="s">
        <v>1534</v>
      </c>
      <c r="BX57" s="21" t="s">
        <v>1535</v>
      </c>
      <c r="BY57" s="31">
        <v>666111</v>
      </c>
      <c r="BZ57" s="31">
        <v>666111</v>
      </c>
      <c r="CA57" t="s">
        <v>1533</v>
      </c>
      <c r="CF57" s="31"/>
      <c r="CG57" s="31"/>
      <c r="CM57" s="31"/>
      <c r="CN57" s="31"/>
      <c r="CT57" s="31"/>
      <c r="CU57" s="31"/>
      <c r="CV57" s="31"/>
      <c r="DA57" s="31"/>
      <c r="DB57" s="31"/>
      <c r="DC57" s="31"/>
      <c r="DH57" s="31"/>
      <c r="DI57" s="31"/>
      <c r="DO57" s="31"/>
      <c r="DP57" s="31"/>
      <c r="DR57" t="s">
        <v>1850</v>
      </c>
      <c r="DS57" t="s">
        <v>479</v>
      </c>
      <c r="DT57" t="s">
        <v>583</v>
      </c>
      <c r="DU57" s="29" t="s">
        <v>1856</v>
      </c>
      <c r="DV57" t="s">
        <v>172</v>
      </c>
      <c r="DW57" t="s">
        <v>327</v>
      </c>
      <c r="DX57" t="s">
        <v>170</v>
      </c>
      <c r="DY57" t="s">
        <v>167</v>
      </c>
      <c r="DZ57" t="s">
        <v>168</v>
      </c>
      <c r="EA57" s="22">
        <v>43083.486793981479</v>
      </c>
      <c r="EB57" t="s">
        <v>1538</v>
      </c>
      <c r="EC57" t="s">
        <v>1897</v>
      </c>
    </row>
    <row r="58" spans="1:133" x14ac:dyDescent="0.4">
      <c r="A58" s="30"/>
      <c r="B58" s="22">
        <v>42935.603472222225</v>
      </c>
      <c r="C58" s="22" t="s">
        <v>1430</v>
      </c>
      <c r="D58" s="30" t="s">
        <v>477</v>
      </c>
      <c r="E58" s="30" t="s">
        <v>582</v>
      </c>
      <c r="F58" s="30" t="s">
        <v>169</v>
      </c>
      <c r="G58" s="30" t="s">
        <v>171</v>
      </c>
      <c r="H58" t="s">
        <v>94</v>
      </c>
      <c r="I58" t="s">
        <v>1431</v>
      </c>
      <c r="J58" t="s">
        <v>611</v>
      </c>
      <c r="K58" s="22">
        <v>43082.663194444445</v>
      </c>
      <c r="L58">
        <v>1</v>
      </c>
      <c r="M58" s="26">
        <v>3.11</v>
      </c>
      <c r="N58" t="s">
        <v>542</v>
      </c>
      <c r="Q58" s="29" t="s">
        <v>13</v>
      </c>
      <c r="R58" s="29" t="str">
        <f>IFERROR(MID(RADataTable[[#This Row],[RAtemplate]],1,LEN(RADataTable[[#This Row],[RAtemplate]])-8),"RA") &amp; " " &amp; RADataTable[[#This Row],[prop_id0]] &amp; " " &amp; RADataTable[[#This Row],[last0]]</f>
        <v>RA 1750651 Awasthi</v>
      </c>
      <c r="U58" s="21" t="str">
        <f>IF(signer1="PD",IF(ISBLANK(RADataTable[[#This Row],[sign_blck_name]]),"",RADataTable[[#This Row],[sign_blck_name]]),IF(ISBLANK(signer1),"",signer1))</f>
        <v>Tracy J. Kimbrel</v>
      </c>
      <c r="V58" s="29" t="str">
        <f t="shared" si="1"/>
        <v>Cognizant Program Director</v>
      </c>
      <c r="W58" s="15" t="str">
        <f>HYPERLINK("https://www.ejacket.nsf.gov/ej/showProposal.do?Continue=Y&amp;ID="&amp;RADataTable[[#This Row],[prop_id0]],"eJ")</f>
        <v>eJ</v>
      </c>
      <c r="X58" s="15" t="str">
        <f>HYPERLINK("mailto:"&amp;RADataTable[[#This Row],[email]]&amp;"&amp;subject=Your NSF Proposal:  "&amp;RADataTable[[#This Row],[Div]]&amp;" "&amp;RADataTable[[#This Row],[prop_id0]], RADataTable[[#This Row],[email]])</f>
        <v>pranjal.iitm@gmail.com</v>
      </c>
      <c r="Y58" s="15" t="str">
        <f>HYPERLINK("mailto:"&amp;RADataTable[[#This Row],[allPIemail]]&amp;"&amp;subject=NSF Proposal:  "&amp;RADataTable[[#This Row],[Div]]&amp;" "&amp;RADataTable[[#This Row],[prop_id0]], "PIs@")</f>
        <v>PIs@</v>
      </c>
      <c r="Z58" t="s">
        <v>478</v>
      </c>
      <c r="AA58" t="s">
        <v>952</v>
      </c>
      <c r="AB58">
        <v>4</v>
      </c>
      <c r="AC58">
        <v>4</v>
      </c>
      <c r="AD58"/>
      <c r="AE58" s="21" t="str">
        <f>IF(RADataTable[[#This Row],[maxScore]]-RADataTable[[#This Row],[minScore]]&gt;4,"Y","")</f>
        <v/>
      </c>
      <c r="AF58" s="21">
        <v>5</v>
      </c>
      <c r="AG58" s="26">
        <v>5.5</v>
      </c>
      <c r="AH58">
        <v>7</v>
      </c>
      <c r="AI58" t="s">
        <v>1563</v>
      </c>
      <c r="AJ58" s="30">
        <v>43060.010416666664</v>
      </c>
      <c r="AK58" s="13">
        <v>695874</v>
      </c>
      <c r="AL58" s="13">
        <v>695874</v>
      </c>
      <c r="AM58">
        <v>0</v>
      </c>
      <c r="AN58" s="30">
        <v>43101</v>
      </c>
      <c r="AO58" s="21">
        <v>60</v>
      </c>
      <c r="AP58" s="21" t="s">
        <v>1564</v>
      </c>
      <c r="AS58" s="30"/>
      <c r="AT58" t="s">
        <v>714</v>
      </c>
      <c r="AU58" s="21" t="s">
        <v>541</v>
      </c>
      <c r="AV58" s="21">
        <v>11</v>
      </c>
      <c r="AW58" s="21" t="s">
        <v>1866</v>
      </c>
      <c r="AX58" s="30">
        <v>43060</v>
      </c>
      <c r="AY58" s="21" t="s">
        <v>1909</v>
      </c>
      <c r="AZ58" s="21" t="s">
        <v>1868</v>
      </c>
      <c r="BA58" s="21">
        <v>12</v>
      </c>
      <c r="BB58" s="21">
        <v>1</v>
      </c>
      <c r="BG58" s="30"/>
      <c r="BP58" s="30"/>
      <c r="BU58" t="s">
        <v>952</v>
      </c>
      <c r="BV58" s="21" t="s">
        <v>953</v>
      </c>
      <c r="BW58" s="21" t="s">
        <v>1561</v>
      </c>
      <c r="BX58" s="21" t="s">
        <v>1562</v>
      </c>
      <c r="BY58" s="31">
        <v>695874</v>
      </c>
      <c r="BZ58" s="31">
        <v>695874</v>
      </c>
      <c r="CA58" t="s">
        <v>1432</v>
      </c>
      <c r="CF58" s="31"/>
      <c r="CG58" s="31"/>
      <c r="CM58" s="31"/>
      <c r="CN58" s="31"/>
      <c r="CT58" s="31"/>
      <c r="CU58" s="31"/>
      <c r="CV58" s="31"/>
      <c r="DA58" s="31"/>
      <c r="DB58" s="31"/>
      <c r="DC58" s="31"/>
      <c r="DH58" s="31"/>
      <c r="DI58" s="31"/>
      <c r="DO58" s="31"/>
      <c r="DP58" s="31"/>
      <c r="DR58" t="s">
        <v>1850</v>
      </c>
      <c r="DS58" t="s">
        <v>479</v>
      </c>
      <c r="DT58" t="s">
        <v>583</v>
      </c>
      <c r="DU58" s="29" t="s">
        <v>1869</v>
      </c>
      <c r="DV58" t="s">
        <v>172</v>
      </c>
      <c r="DW58" t="s">
        <v>327</v>
      </c>
      <c r="DX58" t="s">
        <v>170</v>
      </c>
      <c r="DY58" t="s">
        <v>167</v>
      </c>
      <c r="DZ58" t="s">
        <v>168</v>
      </c>
      <c r="EA58" s="22">
        <v>43083.486793981479</v>
      </c>
      <c r="EB58" t="s">
        <v>1565</v>
      </c>
      <c r="EC58" t="s">
        <v>1910</v>
      </c>
    </row>
    <row r="59" spans="1:133" x14ac:dyDescent="0.4">
      <c r="A59" s="30"/>
      <c r="B59" s="22">
        <v>42935.680555555555</v>
      </c>
      <c r="C59" s="22" t="s">
        <v>1430</v>
      </c>
      <c r="D59" s="30" t="s">
        <v>477</v>
      </c>
      <c r="E59" s="30" t="s">
        <v>582</v>
      </c>
      <c r="F59" s="30" t="s">
        <v>169</v>
      </c>
      <c r="G59" s="30" t="s">
        <v>171</v>
      </c>
      <c r="H59" t="s">
        <v>94</v>
      </c>
      <c r="I59" t="s">
        <v>1431</v>
      </c>
      <c r="J59" t="s">
        <v>611</v>
      </c>
      <c r="K59" s="22">
        <v>43082.663263888891</v>
      </c>
      <c r="L59">
        <v>1</v>
      </c>
      <c r="M59" s="26">
        <v>3.11</v>
      </c>
      <c r="N59" t="s">
        <v>542</v>
      </c>
      <c r="Q59" s="29" t="s">
        <v>13</v>
      </c>
      <c r="R59" s="29" t="str">
        <f>IFERROR(MID(RADataTable[[#This Row],[RAtemplate]],1,LEN(RADataTable[[#This Row],[RAtemplate]])-8),"RA") &amp; " " &amp; RADataTable[[#This Row],[prop_id0]] &amp; " " &amp; RADataTable[[#This Row],[last0]]</f>
        <v>RA 1751048 Papakonstantinou</v>
      </c>
      <c r="U59" s="21" t="str">
        <f>IF(signer1="PD",IF(ISBLANK(RADataTable[[#This Row],[sign_blck_name]]),"",RADataTable[[#This Row],[sign_blck_name]]),IF(ISBLANK(signer1),"",signer1))</f>
        <v>Tracy J. Kimbrel</v>
      </c>
      <c r="V59" s="29" t="str">
        <f t="shared" si="1"/>
        <v>Cognizant Program Director</v>
      </c>
      <c r="W59" s="15" t="str">
        <f>HYPERLINK("https://www.ejacket.nsf.gov/ej/showProposal.do?Continue=Y&amp;ID="&amp;RADataTable[[#This Row],[prop_id0]],"eJ")</f>
        <v>eJ</v>
      </c>
      <c r="X59" s="15" t="str">
        <f>HYPERLINK("mailto:"&amp;RADataTable[[#This Row],[email]]&amp;"&amp;subject=Your NSF Proposal:  "&amp;RADataTable[[#This Row],[Div]]&amp;" "&amp;RADataTable[[#This Row],[prop_id0]], RADataTable[[#This Row],[email]])</f>
        <v>periklis.research@gmail.com</v>
      </c>
      <c r="Y59" s="15" t="str">
        <f>HYPERLINK("mailto:"&amp;RADataTable[[#This Row],[allPIemail]]&amp;"&amp;subject=NSF Proposal:  "&amp;RADataTable[[#This Row],[Div]]&amp;" "&amp;RADataTable[[#This Row],[prop_id0]], "PIs@")</f>
        <v>PIs@</v>
      </c>
      <c r="Z59" t="s">
        <v>478</v>
      </c>
      <c r="AA59" t="s">
        <v>1021</v>
      </c>
      <c r="AB59">
        <v>4</v>
      </c>
      <c r="AC59">
        <v>4</v>
      </c>
      <c r="AD59"/>
      <c r="AE59" s="21" t="str">
        <f>IF(RADataTable[[#This Row],[maxScore]]-RADataTable[[#This Row],[minScore]]&gt;4,"Y","")</f>
        <v/>
      </c>
      <c r="AF59" s="21">
        <v>3</v>
      </c>
      <c r="AG59" s="26">
        <v>4.5</v>
      </c>
      <c r="AH59">
        <v>6</v>
      </c>
      <c r="AI59" t="s">
        <v>560</v>
      </c>
      <c r="AJ59" s="30">
        <v>43059.227777777778</v>
      </c>
      <c r="AK59" s="13">
        <v>667571</v>
      </c>
      <c r="AL59" s="13">
        <v>667571</v>
      </c>
      <c r="AM59">
        <v>0</v>
      </c>
      <c r="AN59" s="30">
        <v>43252</v>
      </c>
      <c r="AO59" s="21">
        <v>60</v>
      </c>
      <c r="AP59" s="21" t="s">
        <v>1592</v>
      </c>
      <c r="AS59" s="30"/>
      <c r="AT59" t="s">
        <v>714</v>
      </c>
      <c r="AU59" s="21" t="s">
        <v>541</v>
      </c>
      <c r="AV59" s="21">
        <v>11</v>
      </c>
      <c r="AW59" s="21" t="s">
        <v>1866</v>
      </c>
      <c r="AX59" s="30">
        <v>43060</v>
      </c>
      <c r="AY59" s="21" t="s">
        <v>569</v>
      </c>
      <c r="AZ59" s="21" t="s">
        <v>1868</v>
      </c>
      <c r="BA59" s="21">
        <v>12</v>
      </c>
      <c r="BG59" s="30"/>
      <c r="BP59" s="30"/>
      <c r="BU59" t="s">
        <v>1021</v>
      </c>
      <c r="BV59" s="21" t="s">
        <v>1022</v>
      </c>
      <c r="BW59" s="21" t="s">
        <v>1590</v>
      </c>
      <c r="BX59" s="21" t="s">
        <v>1591</v>
      </c>
      <c r="BY59" s="31">
        <v>667571</v>
      </c>
      <c r="BZ59" s="31">
        <v>667571</v>
      </c>
      <c r="CA59" t="s">
        <v>1432</v>
      </c>
      <c r="CF59" s="31"/>
      <c r="CG59" s="31"/>
      <c r="CM59" s="31"/>
      <c r="CN59" s="31"/>
      <c r="CT59" s="31"/>
      <c r="CU59" s="31"/>
      <c r="CV59" s="31"/>
      <c r="DA59" s="31"/>
      <c r="DB59" s="31"/>
      <c r="DC59" s="31"/>
      <c r="DH59" s="31"/>
      <c r="DI59" s="31"/>
      <c r="DO59" s="31"/>
      <c r="DP59" s="31"/>
      <c r="DR59" t="s">
        <v>1850</v>
      </c>
      <c r="DS59" t="s">
        <v>479</v>
      </c>
      <c r="DT59" t="s">
        <v>583</v>
      </c>
      <c r="DU59" s="29" t="s">
        <v>1869</v>
      </c>
      <c r="DV59" t="s">
        <v>172</v>
      </c>
      <c r="DW59" t="s">
        <v>327</v>
      </c>
      <c r="DX59" t="s">
        <v>170</v>
      </c>
      <c r="DY59" t="s">
        <v>167</v>
      </c>
      <c r="DZ59" t="s">
        <v>168</v>
      </c>
      <c r="EA59" s="22">
        <v>43083.486793981479</v>
      </c>
      <c r="EB59" t="s">
        <v>1301</v>
      </c>
      <c r="EC59" t="s">
        <v>1923</v>
      </c>
    </row>
    <row r="60" spans="1:133" x14ac:dyDescent="0.4">
      <c r="A60" s="30"/>
      <c r="B60" s="22">
        <v>42935.68472222222</v>
      </c>
      <c r="C60" s="22" t="s">
        <v>1430</v>
      </c>
      <c r="D60" s="30" t="s">
        <v>477</v>
      </c>
      <c r="E60" s="30" t="s">
        <v>582</v>
      </c>
      <c r="F60" s="30" t="s">
        <v>169</v>
      </c>
      <c r="G60" s="30" t="s">
        <v>171</v>
      </c>
      <c r="H60" t="s">
        <v>94</v>
      </c>
      <c r="I60" t="s">
        <v>1431</v>
      </c>
      <c r="J60" t="s">
        <v>611</v>
      </c>
      <c r="K60" s="22">
        <v>43082.66333333333</v>
      </c>
      <c r="L60">
        <v>1</v>
      </c>
      <c r="M60" s="26">
        <v>3.11</v>
      </c>
      <c r="N60" t="s">
        <v>542</v>
      </c>
      <c r="Q60" s="29" t="s">
        <v>13</v>
      </c>
      <c r="R60" s="29" t="str">
        <f>IFERROR(MID(RADataTable[[#This Row],[RAtemplate]],1,LEN(RADataTable[[#This Row],[RAtemplate]])-8),"RA") &amp; " " &amp; RADataTable[[#This Row],[prop_id0]] &amp; " " &amp; RADataTable[[#This Row],[last0]]</f>
        <v>RA 1751076 Gkatzelis</v>
      </c>
      <c r="U60" s="21" t="str">
        <f>IF(signer1="PD",IF(ISBLANK(RADataTable[[#This Row],[sign_blck_name]]),"",RADataTable[[#This Row],[sign_blck_name]]),IF(ISBLANK(signer1),"",signer1))</f>
        <v>Tracy J. Kimbrel</v>
      </c>
      <c r="V60" s="29" t="str">
        <f t="shared" si="1"/>
        <v>Cognizant Program Director</v>
      </c>
      <c r="W60" s="15" t="str">
        <f>HYPERLINK("https://www.ejacket.nsf.gov/ej/showProposal.do?Continue=Y&amp;ID="&amp;RADataTable[[#This Row],[prop_id0]],"eJ")</f>
        <v>eJ</v>
      </c>
      <c r="X60" s="15" t="str">
        <f>HYPERLINK("mailto:"&amp;RADataTable[[#This Row],[email]]&amp;"&amp;subject=Your NSF Proposal:  "&amp;RADataTable[[#This Row],[Div]]&amp;" "&amp;RADataTable[[#This Row],[prop_id0]], RADataTable[[#This Row],[email]])</f>
        <v>gkatz@drexel.edu</v>
      </c>
      <c r="Y60" s="15" t="str">
        <f>HYPERLINK("mailto:"&amp;RADataTable[[#This Row],[allPIemail]]&amp;"&amp;subject=NSF Proposal:  "&amp;RADataTable[[#This Row],[Div]]&amp;" "&amp;RADataTable[[#This Row],[prop_id0]], "PIs@")</f>
        <v>PIs@</v>
      </c>
      <c r="Z60" t="s">
        <v>478</v>
      </c>
      <c r="AA60" t="s">
        <v>1030</v>
      </c>
      <c r="AB60">
        <v>4</v>
      </c>
      <c r="AC60">
        <v>4</v>
      </c>
      <c r="AD60"/>
      <c r="AE60" s="21" t="str">
        <f>IF(RADataTable[[#This Row],[maxScore]]-RADataTable[[#This Row],[minScore]]&gt;4,"Y","")</f>
        <v/>
      </c>
      <c r="AF60" s="21">
        <v>5</v>
      </c>
      <c r="AG60" s="26">
        <v>6.5</v>
      </c>
      <c r="AH60">
        <v>7</v>
      </c>
      <c r="AI60" t="s">
        <v>1461</v>
      </c>
      <c r="AJ60" s="30">
        <v>43059.229166666664</v>
      </c>
      <c r="AK60" s="13">
        <v>559983</v>
      </c>
      <c r="AL60" s="13">
        <v>559983</v>
      </c>
      <c r="AM60">
        <v>0</v>
      </c>
      <c r="AN60" s="30">
        <v>43132</v>
      </c>
      <c r="AO60" s="21">
        <v>60</v>
      </c>
      <c r="AP60" s="21" t="s">
        <v>1595</v>
      </c>
      <c r="AS60" s="30"/>
      <c r="AT60" t="s">
        <v>714</v>
      </c>
      <c r="AU60" s="21" t="s">
        <v>541</v>
      </c>
      <c r="AV60" s="21">
        <v>11</v>
      </c>
      <c r="AW60" s="21" t="s">
        <v>1866</v>
      </c>
      <c r="AX60" s="30">
        <v>43060</v>
      </c>
      <c r="AY60" s="21" t="s">
        <v>1862</v>
      </c>
      <c r="AZ60" s="21" t="s">
        <v>1868</v>
      </c>
      <c r="BA60" s="21">
        <v>12</v>
      </c>
      <c r="BG60" s="30"/>
      <c r="BP60" s="30"/>
      <c r="BU60" t="s">
        <v>1030</v>
      </c>
      <c r="BV60" s="21" t="s">
        <v>1031</v>
      </c>
      <c r="BW60" s="21" t="s">
        <v>1593</v>
      </c>
      <c r="BX60" s="21" t="s">
        <v>1594</v>
      </c>
      <c r="BY60" s="31">
        <v>559983</v>
      </c>
      <c r="BZ60" s="31">
        <v>559983</v>
      </c>
      <c r="CA60" t="s">
        <v>1539</v>
      </c>
      <c r="CF60" s="31"/>
      <c r="CG60" s="31"/>
      <c r="CM60" s="31"/>
      <c r="CN60" s="31"/>
      <c r="CT60" s="31"/>
      <c r="CU60" s="31"/>
      <c r="CV60" s="31"/>
      <c r="DA60" s="31"/>
      <c r="DB60" s="31"/>
      <c r="DC60" s="31"/>
      <c r="DH60" s="31"/>
      <c r="DI60" s="31"/>
      <c r="DO60" s="31"/>
      <c r="DP60" s="31"/>
      <c r="DR60" t="s">
        <v>1850</v>
      </c>
      <c r="DS60" t="s">
        <v>479</v>
      </c>
      <c r="DT60" t="s">
        <v>583</v>
      </c>
      <c r="DU60" s="29" t="s">
        <v>1869</v>
      </c>
      <c r="DV60" t="s">
        <v>172</v>
      </c>
      <c r="DW60" t="s">
        <v>327</v>
      </c>
      <c r="DX60" t="s">
        <v>170</v>
      </c>
      <c r="DY60" t="s">
        <v>167</v>
      </c>
      <c r="DZ60" t="s">
        <v>168</v>
      </c>
      <c r="EA60" s="22">
        <v>43083.486793981479</v>
      </c>
      <c r="EB60" t="s">
        <v>1288</v>
      </c>
      <c r="EC60" t="s">
        <v>1924</v>
      </c>
    </row>
    <row r="61" spans="1:133" x14ac:dyDescent="0.4">
      <c r="A61" s="30"/>
      <c r="B61" s="22">
        <v>42935.717361111114</v>
      </c>
      <c r="C61" s="22" t="s">
        <v>1430</v>
      </c>
      <c r="D61" s="30" t="s">
        <v>477</v>
      </c>
      <c r="E61" s="30" t="s">
        <v>582</v>
      </c>
      <c r="F61" s="30" t="s">
        <v>169</v>
      </c>
      <c r="G61" s="30" t="s">
        <v>171</v>
      </c>
      <c r="H61" t="s">
        <v>94</v>
      </c>
      <c r="I61" t="s">
        <v>1431</v>
      </c>
      <c r="J61" t="s">
        <v>611</v>
      </c>
      <c r="K61" s="22">
        <v>43082.663402777776</v>
      </c>
      <c r="L61">
        <v>1</v>
      </c>
      <c r="M61" s="26">
        <v>3.11</v>
      </c>
      <c r="N61" t="s">
        <v>542</v>
      </c>
      <c r="Q61" s="29" t="s">
        <v>13</v>
      </c>
      <c r="R61" s="29" t="str">
        <f>IFERROR(MID(RADataTable[[#This Row],[RAtemplate]],1,LEN(RADataTable[[#This Row],[RAtemplate]])-8),"RA") &amp; " " &amp; RADataTable[[#This Row],[prop_id0]] &amp; " " &amp; RADataTable[[#This Row],[last0]]</f>
        <v>RA 1751234 Bhaskara</v>
      </c>
      <c r="U61" s="21" t="str">
        <f>IF(signer1="PD",IF(ISBLANK(RADataTable[[#This Row],[sign_blck_name]]),"",RADataTable[[#This Row],[sign_blck_name]]),IF(ISBLANK(signer1),"",signer1))</f>
        <v>Tracy J. Kimbrel</v>
      </c>
      <c r="V61" s="29" t="str">
        <f t="shared" si="1"/>
        <v>Cognizant Program Director</v>
      </c>
      <c r="W61" s="15" t="str">
        <f>HYPERLINK("https://www.ejacket.nsf.gov/ej/showProposal.do?Continue=Y&amp;ID="&amp;RADataTable[[#This Row],[prop_id0]],"eJ")</f>
        <v>eJ</v>
      </c>
      <c r="X61" s="15" t="str">
        <f>HYPERLINK("mailto:"&amp;RADataTable[[#This Row],[email]]&amp;"&amp;subject=Your NSF Proposal:  "&amp;RADataTable[[#This Row],[Div]]&amp;" "&amp;RADataTable[[#This Row],[prop_id0]], RADataTable[[#This Row],[email]])</f>
        <v>bhaskara@cs.utah.edu</v>
      </c>
      <c r="Y61" s="15" t="str">
        <f>HYPERLINK("mailto:"&amp;RADataTable[[#This Row],[allPIemail]]&amp;"&amp;subject=NSF Proposal:  "&amp;RADataTable[[#This Row],[Div]]&amp;" "&amp;RADataTable[[#This Row],[prop_id0]], "PIs@")</f>
        <v>PIs@</v>
      </c>
      <c r="Z61" t="s">
        <v>478</v>
      </c>
      <c r="AA61" t="s">
        <v>1064</v>
      </c>
      <c r="AB61">
        <v>4</v>
      </c>
      <c r="AC61">
        <v>4</v>
      </c>
      <c r="AD61"/>
      <c r="AE61" s="21" t="str">
        <f>IF(RADataTable[[#This Row],[maxScore]]-RADataTable[[#This Row],[minScore]]&gt;4,"Y","")</f>
        <v/>
      </c>
      <c r="AF61" s="21">
        <v>5</v>
      </c>
      <c r="AG61" s="26">
        <v>6.5</v>
      </c>
      <c r="AH61">
        <v>7</v>
      </c>
      <c r="AI61" t="s">
        <v>1461</v>
      </c>
      <c r="AJ61" s="30">
        <v>43058.995833333334</v>
      </c>
      <c r="AK61" s="13">
        <v>536841</v>
      </c>
      <c r="AL61" s="13">
        <v>536841</v>
      </c>
      <c r="AM61">
        <v>0</v>
      </c>
      <c r="AN61" s="30">
        <v>43313</v>
      </c>
      <c r="AO61" s="21">
        <v>60</v>
      </c>
      <c r="AP61" s="21" t="s">
        <v>1610</v>
      </c>
      <c r="AS61" s="30"/>
      <c r="AT61" t="s">
        <v>714</v>
      </c>
      <c r="AU61" s="21" t="s">
        <v>541</v>
      </c>
      <c r="AV61" s="21">
        <v>11</v>
      </c>
      <c r="AW61" s="21" t="s">
        <v>1866</v>
      </c>
      <c r="AX61" s="30">
        <v>43060</v>
      </c>
      <c r="AY61" s="21" t="s">
        <v>1862</v>
      </c>
      <c r="AZ61" s="21" t="s">
        <v>1868</v>
      </c>
      <c r="BA61" s="21">
        <v>12</v>
      </c>
      <c r="BG61" s="30"/>
      <c r="BP61" s="30"/>
      <c r="BU61" t="s">
        <v>1064</v>
      </c>
      <c r="BV61" s="21" t="s">
        <v>1065</v>
      </c>
      <c r="BW61" s="21" t="s">
        <v>1609</v>
      </c>
      <c r="BX61" s="21" t="s">
        <v>556</v>
      </c>
      <c r="BY61" s="31">
        <v>536841</v>
      </c>
      <c r="BZ61" s="31">
        <v>536841</v>
      </c>
      <c r="CA61" t="s">
        <v>1469</v>
      </c>
      <c r="CF61" s="31"/>
      <c r="CG61" s="31"/>
      <c r="CM61" s="31"/>
      <c r="CN61" s="31"/>
      <c r="CT61" s="31"/>
      <c r="CU61" s="31"/>
      <c r="CV61" s="31"/>
      <c r="DA61" s="31"/>
      <c r="DB61" s="31"/>
      <c r="DC61" s="31"/>
      <c r="DH61" s="31"/>
      <c r="DI61" s="31"/>
      <c r="DO61" s="31"/>
      <c r="DP61" s="31"/>
      <c r="DR61" t="s">
        <v>1850</v>
      </c>
      <c r="DS61" t="s">
        <v>479</v>
      </c>
      <c r="DT61" t="s">
        <v>583</v>
      </c>
      <c r="DU61" s="29" t="s">
        <v>1869</v>
      </c>
      <c r="DV61" t="s">
        <v>172</v>
      </c>
      <c r="DW61" t="s">
        <v>327</v>
      </c>
      <c r="DX61" t="s">
        <v>170</v>
      </c>
      <c r="DY61" t="s">
        <v>167</v>
      </c>
      <c r="DZ61" t="s">
        <v>168</v>
      </c>
      <c r="EA61" s="22">
        <v>43083.486793981479</v>
      </c>
      <c r="EB61" t="s">
        <v>1611</v>
      </c>
      <c r="EC61" t="s">
        <v>1929</v>
      </c>
    </row>
    <row r="62" spans="1:133" x14ac:dyDescent="0.4">
      <c r="A62" s="30"/>
      <c r="B62" s="22">
        <v>42933.547222222223</v>
      </c>
      <c r="C62" s="22" t="s">
        <v>1430</v>
      </c>
      <c r="D62" s="30" t="s">
        <v>477</v>
      </c>
      <c r="E62" s="30" t="s">
        <v>582</v>
      </c>
      <c r="F62" s="30" t="s">
        <v>169</v>
      </c>
      <c r="G62" s="30" t="s">
        <v>171</v>
      </c>
      <c r="H62" t="s">
        <v>94</v>
      </c>
      <c r="I62" t="s">
        <v>1431</v>
      </c>
      <c r="J62" t="s">
        <v>604</v>
      </c>
      <c r="K62" s="22">
        <v>43082.662557870368</v>
      </c>
      <c r="L62">
        <v>1</v>
      </c>
      <c r="M62" s="26">
        <v>3.13</v>
      </c>
      <c r="N62" t="s">
        <v>542</v>
      </c>
      <c r="Q62" s="29" t="s">
        <v>13</v>
      </c>
      <c r="R62" s="29" t="str">
        <f>IFERROR(MID(RADataTable[[#This Row],[RAtemplate]],1,LEN(RADataTable[[#This Row],[RAtemplate]])-8),"RA") &amp; " " &amp; RADataTable[[#This Row],[prop_id0]] &amp; " " &amp; RADataTable[[#This Row],[last0]]</f>
        <v>RA 1749385 Wang</v>
      </c>
      <c r="U62" s="21" t="str">
        <f>IF(signer1="PD",IF(ISBLANK(RADataTable[[#This Row],[sign_blck_name]]),"",RADataTable[[#This Row],[sign_blck_name]]),IF(ISBLANK(signer1),"",signer1))</f>
        <v>Jack Snoeyink</v>
      </c>
      <c r="V62" s="29" t="str">
        <f t="shared" si="1"/>
        <v>Cognizant Program Director</v>
      </c>
      <c r="W62" s="15" t="str">
        <f>HYPERLINK("https://www.ejacket.nsf.gov/ej/showProposal.do?Continue=Y&amp;ID="&amp;RADataTable[[#This Row],[prop_id0]],"eJ")</f>
        <v>eJ</v>
      </c>
      <c r="X62" s="15" t="str">
        <f>HYPERLINK("mailto:"&amp;RADataTable[[#This Row],[email]]&amp;"&amp;subject=Your NSF Proposal:  "&amp;RADataTable[[#This Row],[Div]]&amp;" "&amp;RADataTable[[#This Row],[prop_id0]], RADataTable[[#This Row],[email]])</f>
        <v>haitao.wang@usu.edu</v>
      </c>
      <c r="Y62" s="15" t="str">
        <f>HYPERLINK("mailto:"&amp;RADataTable[[#This Row],[allPIemail]]&amp;"&amp;subject=NSF Proposal:  "&amp;RADataTable[[#This Row],[Div]]&amp;" "&amp;RADataTable[[#This Row],[prop_id0]], "PIs@")</f>
        <v>PIs@</v>
      </c>
      <c r="Z62" t="s">
        <v>478</v>
      </c>
      <c r="AA62" t="s">
        <v>630</v>
      </c>
      <c r="AB62">
        <v>4</v>
      </c>
      <c r="AC62">
        <v>4</v>
      </c>
      <c r="AD62"/>
      <c r="AE62" s="21" t="str">
        <f>IF(RADataTable[[#This Row],[maxScore]]-RADataTable[[#This Row],[minScore]]&gt;4,"Y","")</f>
        <v>Y</v>
      </c>
      <c r="AF62" s="21">
        <v>4</v>
      </c>
      <c r="AG62" s="26">
        <v>6.25</v>
      </c>
      <c r="AH62">
        <v>9</v>
      </c>
      <c r="AI62" t="s">
        <v>1441</v>
      </c>
      <c r="AJ62" s="30">
        <v>43030.179166666669</v>
      </c>
      <c r="AK62" s="13">
        <v>524898</v>
      </c>
      <c r="AL62" s="13">
        <v>524898</v>
      </c>
      <c r="AM62">
        <v>0</v>
      </c>
      <c r="AN62" s="30">
        <v>43221</v>
      </c>
      <c r="AO62" s="21">
        <v>60</v>
      </c>
      <c r="AP62" s="21" t="s">
        <v>1442</v>
      </c>
      <c r="AS62" s="30"/>
      <c r="AT62" t="s">
        <v>605</v>
      </c>
      <c r="AU62" s="21" t="s">
        <v>541</v>
      </c>
      <c r="AV62" s="21">
        <v>13</v>
      </c>
      <c r="AW62" s="21" t="s">
        <v>1847</v>
      </c>
      <c r="AX62" s="30">
        <v>43032</v>
      </c>
      <c r="AY62" s="21" t="s">
        <v>1853</v>
      </c>
      <c r="AZ62" s="21" t="s">
        <v>1849</v>
      </c>
      <c r="BA62" s="21">
        <v>14</v>
      </c>
      <c r="BG62" s="30"/>
      <c r="BP62" s="30"/>
      <c r="BU62" t="s">
        <v>630</v>
      </c>
      <c r="BV62" s="21" t="s">
        <v>631</v>
      </c>
      <c r="BW62" s="21" t="s">
        <v>1440</v>
      </c>
      <c r="BX62" s="21" t="s">
        <v>559</v>
      </c>
      <c r="BY62" s="31">
        <v>524898</v>
      </c>
      <c r="BZ62" s="31">
        <v>524898</v>
      </c>
      <c r="CA62" t="s">
        <v>1439</v>
      </c>
      <c r="CF62" s="31"/>
      <c r="CG62" s="31"/>
      <c r="CM62" s="31"/>
      <c r="CN62" s="31"/>
      <c r="CT62" s="31"/>
      <c r="CU62" s="31"/>
      <c r="CV62" s="31"/>
      <c r="DA62" s="31"/>
      <c r="DB62" s="31"/>
      <c r="DC62" s="31"/>
      <c r="DH62" s="31"/>
      <c r="DI62" s="31"/>
      <c r="DO62" s="31"/>
      <c r="DP62" s="31"/>
      <c r="DR62" t="s">
        <v>1850</v>
      </c>
      <c r="DS62" t="s">
        <v>479</v>
      </c>
      <c r="DT62" t="s">
        <v>583</v>
      </c>
      <c r="DU62" s="29" t="s">
        <v>1851</v>
      </c>
      <c r="DV62" t="s">
        <v>172</v>
      </c>
      <c r="DW62" t="s">
        <v>327</v>
      </c>
      <c r="DX62" t="s">
        <v>170</v>
      </c>
      <c r="DY62" t="s">
        <v>167</v>
      </c>
      <c r="DZ62" t="s">
        <v>168</v>
      </c>
      <c r="EA62" s="22">
        <v>43083.486793981479</v>
      </c>
      <c r="EB62" t="s">
        <v>1443</v>
      </c>
      <c r="EC62" t="s">
        <v>1854</v>
      </c>
    </row>
    <row r="63" spans="1:133" x14ac:dyDescent="0.4">
      <c r="A63" s="30"/>
      <c r="B63" s="22">
        <v>42933.579861111109</v>
      </c>
      <c r="C63" s="22" t="s">
        <v>1430</v>
      </c>
      <c r="D63" s="30" t="s">
        <v>477</v>
      </c>
      <c r="E63" s="30" t="s">
        <v>582</v>
      </c>
      <c r="F63" s="30" t="s">
        <v>169</v>
      </c>
      <c r="G63" s="30" t="s">
        <v>171</v>
      </c>
      <c r="H63" t="s">
        <v>94</v>
      </c>
      <c r="I63" t="s">
        <v>1431</v>
      </c>
      <c r="J63" t="s">
        <v>654</v>
      </c>
      <c r="K63" s="22">
        <v>43082.662615740737</v>
      </c>
      <c r="L63">
        <v>1</v>
      </c>
      <c r="M63" s="26">
        <v>3.13</v>
      </c>
      <c r="N63" t="s">
        <v>542</v>
      </c>
      <c r="Q63" s="29" t="s">
        <v>13</v>
      </c>
      <c r="R63" s="29" t="str">
        <f>IFERROR(MID(RADataTable[[#This Row],[RAtemplate]],1,LEN(RADataTable[[#This Row],[RAtemplate]])-8),"RA") &amp; " " &amp; RADataTable[[#This Row],[prop_id0]] &amp; " " &amp; RADataTable[[#This Row],[last0]]</f>
        <v>RA 1749414 Moseley</v>
      </c>
      <c r="U63" s="21" t="str">
        <f>IF(signer1="PD",IF(ISBLANK(RADataTable[[#This Row],[sign_blck_name]]),"",RADataTable[[#This Row],[sign_blck_name]]),IF(ISBLANK(signer1),"",signer1))</f>
        <v>Rahul Shah</v>
      </c>
      <c r="V63" s="29" t="str">
        <f t="shared" si="1"/>
        <v>Cognizant Program Director</v>
      </c>
      <c r="W63" s="15" t="str">
        <f>HYPERLINK("https://www.ejacket.nsf.gov/ej/showProposal.do?Continue=Y&amp;ID="&amp;RADataTable[[#This Row],[prop_id0]],"eJ")</f>
        <v>eJ</v>
      </c>
      <c r="X63" s="15" t="str">
        <f>HYPERLINK("mailto:"&amp;RADataTable[[#This Row],[email]]&amp;"&amp;subject=Your NSF Proposal:  "&amp;RADataTable[[#This Row],[Div]]&amp;" "&amp;RADataTable[[#This Row],[prop_id0]], RADataTable[[#This Row],[email]])</f>
        <v>bmoseley@seas.wustl.edu</v>
      </c>
      <c r="Y63" s="15" t="str">
        <f>HYPERLINK("mailto:"&amp;RADataTable[[#This Row],[allPIemail]]&amp;"&amp;subject=NSF Proposal:  "&amp;RADataTable[[#This Row],[Div]]&amp;" "&amp;RADataTable[[#This Row],[prop_id0]], "PIs@")</f>
        <v>PIs@</v>
      </c>
      <c r="Z63" t="s">
        <v>478</v>
      </c>
      <c r="AA63" t="s">
        <v>652</v>
      </c>
      <c r="AB63">
        <v>5</v>
      </c>
      <c r="AC63">
        <v>5</v>
      </c>
      <c r="AD63"/>
      <c r="AE63" s="21" t="str">
        <f>IF(RADataTable[[#This Row],[maxScore]]-RADataTable[[#This Row],[minScore]]&gt;4,"Y","")</f>
        <v/>
      </c>
      <c r="AF63" s="21">
        <v>5</v>
      </c>
      <c r="AG63" s="26">
        <v>6.8</v>
      </c>
      <c r="AH63">
        <v>9</v>
      </c>
      <c r="AI63" t="s">
        <v>1446</v>
      </c>
      <c r="AJ63" s="30">
        <v>43032.510416666664</v>
      </c>
      <c r="AK63" s="13">
        <v>545000</v>
      </c>
      <c r="AL63" s="13">
        <v>545000</v>
      </c>
      <c r="AM63">
        <v>0</v>
      </c>
      <c r="AN63" s="30">
        <v>43282</v>
      </c>
      <c r="AO63" s="21">
        <v>60</v>
      </c>
      <c r="AP63" s="21" t="s">
        <v>1447</v>
      </c>
      <c r="AS63" s="30"/>
      <c r="AT63" t="s">
        <v>605</v>
      </c>
      <c r="AU63" s="21" t="s">
        <v>541</v>
      </c>
      <c r="AV63" s="21">
        <v>13</v>
      </c>
      <c r="AW63" s="21" t="s">
        <v>1847</v>
      </c>
      <c r="AX63" s="30">
        <v>43032</v>
      </c>
      <c r="AY63" s="21" t="s">
        <v>1855</v>
      </c>
      <c r="AZ63" s="21" t="s">
        <v>1849</v>
      </c>
      <c r="BA63" s="21">
        <v>14</v>
      </c>
      <c r="BB63" s="21">
        <v>1</v>
      </c>
      <c r="BG63" s="30"/>
      <c r="BP63" s="30"/>
      <c r="BU63" t="s">
        <v>652</v>
      </c>
      <c r="BV63" s="21" t="s">
        <v>653</v>
      </c>
      <c r="BW63" s="21" t="s">
        <v>1445</v>
      </c>
      <c r="BX63" s="21" t="s">
        <v>497</v>
      </c>
      <c r="BY63" s="31">
        <v>545000</v>
      </c>
      <c r="BZ63" s="31">
        <v>545000</v>
      </c>
      <c r="CA63" t="s">
        <v>1444</v>
      </c>
      <c r="CF63" s="31"/>
      <c r="CG63" s="31"/>
      <c r="CM63" s="31"/>
      <c r="CN63" s="31"/>
      <c r="CT63" s="31"/>
      <c r="CU63" s="31"/>
      <c r="CV63" s="31"/>
      <c r="DA63" s="31"/>
      <c r="DB63" s="31"/>
      <c r="DC63" s="31"/>
      <c r="DH63" s="31"/>
      <c r="DI63" s="31"/>
      <c r="DO63" s="31"/>
      <c r="DP63" s="31"/>
      <c r="DR63" t="s">
        <v>1850</v>
      </c>
      <c r="DS63" t="s">
        <v>479</v>
      </c>
      <c r="DT63" t="s">
        <v>583</v>
      </c>
      <c r="DU63" s="29" t="s">
        <v>1856</v>
      </c>
      <c r="DV63" t="s">
        <v>172</v>
      </c>
      <c r="DW63" t="s">
        <v>327</v>
      </c>
      <c r="DX63" t="s">
        <v>170</v>
      </c>
      <c r="DY63" t="s">
        <v>167</v>
      </c>
      <c r="DZ63" t="s">
        <v>168</v>
      </c>
      <c r="EA63" s="22">
        <v>43083.486793981479</v>
      </c>
      <c r="EB63" t="s">
        <v>1448</v>
      </c>
      <c r="EC63" t="s">
        <v>1857</v>
      </c>
    </row>
    <row r="64" spans="1:133" x14ac:dyDescent="0.4">
      <c r="A64" s="30"/>
      <c r="B64" s="22">
        <v>42934.695138888892</v>
      </c>
      <c r="C64" s="22" t="s">
        <v>1430</v>
      </c>
      <c r="D64" s="30" t="s">
        <v>477</v>
      </c>
      <c r="E64" s="30" t="s">
        <v>582</v>
      </c>
      <c r="F64" s="30" t="s">
        <v>169</v>
      </c>
      <c r="G64" s="30" t="s">
        <v>171</v>
      </c>
      <c r="H64" t="s">
        <v>94</v>
      </c>
      <c r="I64" t="s">
        <v>1431</v>
      </c>
      <c r="J64" t="s">
        <v>604</v>
      </c>
      <c r="K64" s="22">
        <v>43082.662685185183</v>
      </c>
      <c r="L64">
        <v>1</v>
      </c>
      <c r="M64" s="26">
        <v>3.13</v>
      </c>
      <c r="N64" t="s">
        <v>542</v>
      </c>
      <c r="Q64" s="29" t="s">
        <v>13</v>
      </c>
      <c r="R64" s="29" t="str">
        <f>IFERROR(MID(RADataTable[[#This Row],[RAtemplate]],1,LEN(RADataTable[[#This Row],[RAtemplate]])-8),"RA") &amp; " " &amp; RADataTable[[#This Row],[prop_id0]] &amp; " " &amp; RADataTable[[#This Row],[last0]]</f>
        <v>RA 1749977 Solomon</v>
      </c>
      <c r="U64" s="21" t="str">
        <f>IF(signer1="PD",IF(ISBLANK(RADataTable[[#This Row],[sign_blck_name]]),"",RADataTable[[#This Row],[sign_blck_name]]),IF(ISBLANK(signer1),"",signer1))</f>
        <v>Jack Snoeyink</v>
      </c>
      <c r="V64" s="29" t="str">
        <f t="shared" si="1"/>
        <v>Cognizant Program Director</v>
      </c>
      <c r="W64" s="15" t="str">
        <f>HYPERLINK("https://www.ejacket.nsf.gov/ej/showProposal.do?Continue=Y&amp;ID="&amp;RADataTable[[#This Row],[prop_id0]],"eJ")</f>
        <v>eJ</v>
      </c>
      <c r="X64" s="15" t="str">
        <f>HYPERLINK("mailto:"&amp;RADataTable[[#This Row],[email]]&amp;"&amp;subject=Your NSF Proposal:  "&amp;RADataTable[[#This Row],[Div]]&amp;" "&amp;RADataTable[[#This Row],[prop_id0]], RADataTable[[#This Row],[email]])</f>
        <v>jsolomon@mit.edu</v>
      </c>
      <c r="Y64" s="15" t="str">
        <f>HYPERLINK("mailto:"&amp;RADataTable[[#This Row],[allPIemail]]&amp;"&amp;subject=NSF Proposal:  "&amp;RADataTable[[#This Row],[Div]]&amp;" "&amp;RADataTable[[#This Row],[prop_id0]], "PIs@")</f>
        <v>PIs@</v>
      </c>
      <c r="Z64" t="s">
        <v>478</v>
      </c>
      <c r="AA64" t="s">
        <v>762</v>
      </c>
      <c r="AB64">
        <v>4</v>
      </c>
      <c r="AC64">
        <v>4</v>
      </c>
      <c r="AD64"/>
      <c r="AE64" s="21" t="str">
        <f>IF(RADataTable[[#This Row],[maxScore]]-RADataTable[[#This Row],[minScore]]&gt;4,"Y","")</f>
        <v>Y</v>
      </c>
      <c r="AF64" s="21">
        <v>3</v>
      </c>
      <c r="AG64" s="26">
        <v>6.25</v>
      </c>
      <c r="AH64">
        <v>9</v>
      </c>
      <c r="AI64" t="s">
        <v>1488</v>
      </c>
      <c r="AJ64" s="30">
        <v>43030.972222222219</v>
      </c>
      <c r="AK64" s="13">
        <v>550000</v>
      </c>
      <c r="AL64" s="13">
        <v>550000</v>
      </c>
      <c r="AM64">
        <v>0</v>
      </c>
      <c r="AN64" s="30">
        <v>43101</v>
      </c>
      <c r="AO64" s="21">
        <v>60</v>
      </c>
      <c r="AP64" s="21" t="s">
        <v>1489</v>
      </c>
      <c r="AS64" s="30"/>
      <c r="AT64" t="s">
        <v>605</v>
      </c>
      <c r="AU64" s="21" t="s">
        <v>541</v>
      </c>
      <c r="AV64" s="21">
        <v>13</v>
      </c>
      <c r="AW64" s="21" t="s">
        <v>1847</v>
      </c>
      <c r="AX64" s="30">
        <v>43032</v>
      </c>
      <c r="AY64" s="21" t="s">
        <v>1875</v>
      </c>
      <c r="AZ64" s="21" t="s">
        <v>1849</v>
      </c>
      <c r="BA64" s="21">
        <v>14</v>
      </c>
      <c r="BB64" s="21">
        <v>2</v>
      </c>
      <c r="BG64" s="30"/>
      <c r="BP64" s="30"/>
      <c r="BU64" t="s">
        <v>762</v>
      </c>
      <c r="BV64" s="21" t="s">
        <v>763</v>
      </c>
      <c r="BW64" s="21" t="s">
        <v>1486</v>
      </c>
      <c r="BX64" s="21" t="s">
        <v>1487</v>
      </c>
      <c r="BY64" s="31">
        <v>550000</v>
      </c>
      <c r="BZ64" s="31">
        <v>550000</v>
      </c>
      <c r="CA64" t="s">
        <v>1439</v>
      </c>
      <c r="CF64" s="31"/>
      <c r="CG64" s="31"/>
      <c r="CM64" s="31"/>
      <c r="CN64" s="31"/>
      <c r="CT64" s="31"/>
      <c r="CU64" s="31"/>
      <c r="CV64" s="31"/>
      <c r="DA64" s="31"/>
      <c r="DB64" s="31"/>
      <c r="DC64" s="31"/>
      <c r="DH64" s="31"/>
      <c r="DI64" s="31"/>
      <c r="DO64" s="31"/>
      <c r="DP64" s="31"/>
      <c r="DR64" t="s">
        <v>1850</v>
      </c>
      <c r="DS64" t="s">
        <v>479</v>
      </c>
      <c r="DT64" t="s">
        <v>583</v>
      </c>
      <c r="DU64" s="29" t="s">
        <v>1851</v>
      </c>
      <c r="DV64" t="s">
        <v>172</v>
      </c>
      <c r="DW64" t="s">
        <v>327</v>
      </c>
      <c r="DX64" t="s">
        <v>170</v>
      </c>
      <c r="DY64" t="s">
        <v>167</v>
      </c>
      <c r="DZ64" t="s">
        <v>168</v>
      </c>
      <c r="EA64" s="22">
        <v>43083.486793981479</v>
      </c>
      <c r="EB64" t="s">
        <v>1490</v>
      </c>
      <c r="EC64" t="s">
        <v>1876</v>
      </c>
    </row>
    <row r="65" spans="1:133" x14ac:dyDescent="0.4">
      <c r="A65" s="30"/>
      <c r="B65" s="22">
        <v>42934.737500000003</v>
      </c>
      <c r="C65" s="22" t="s">
        <v>1430</v>
      </c>
      <c r="D65" s="30" t="s">
        <v>477</v>
      </c>
      <c r="E65" s="30" t="s">
        <v>582</v>
      </c>
      <c r="F65" s="30" t="s">
        <v>169</v>
      </c>
      <c r="G65" s="30" t="s">
        <v>171</v>
      </c>
      <c r="H65" t="s">
        <v>94</v>
      </c>
      <c r="I65" t="s">
        <v>1431</v>
      </c>
      <c r="J65" t="s">
        <v>611</v>
      </c>
      <c r="K65" s="22">
        <v>43082.668715277781</v>
      </c>
      <c r="L65">
        <v>1</v>
      </c>
      <c r="M65" s="26">
        <v>3.13</v>
      </c>
      <c r="N65" t="s">
        <v>542</v>
      </c>
      <c r="Q65" s="29" t="s">
        <v>13</v>
      </c>
      <c r="R65" s="29" t="str">
        <f>IFERROR(MID(RADataTable[[#This Row],[RAtemplate]],1,LEN(RADataTable[[#This Row],[RAtemplate]])-8),"RA") &amp; " " &amp; RADataTable[[#This Row],[prop_id0]] &amp; " " &amp; RADataTable[[#This Row],[last0]]</f>
        <v>RA 1750039 Solomonik</v>
      </c>
      <c r="U65" s="21" t="str">
        <f>IF(signer1="PD",IF(ISBLANK(RADataTable[[#This Row],[sign_blck_name]]),"",RADataTable[[#This Row],[sign_blck_name]]),IF(ISBLANK(signer1),"",signer1))</f>
        <v>Tracy J. Kimbrel</v>
      </c>
      <c r="V65" s="29" t="str">
        <f t="shared" si="1"/>
        <v>Cognizant Program Director</v>
      </c>
      <c r="W65" s="15" t="str">
        <f>HYPERLINK("https://www.ejacket.nsf.gov/ej/showProposal.do?Continue=Y&amp;ID="&amp;RADataTable[[#This Row],[prop_id0]],"eJ")</f>
        <v>eJ</v>
      </c>
      <c r="X65" s="15" t="str">
        <f>HYPERLINK("mailto:"&amp;RADataTable[[#This Row],[email]]&amp;"&amp;subject=Your NSF Proposal:  "&amp;RADataTable[[#This Row],[Div]]&amp;" "&amp;RADataTable[[#This Row],[prop_id0]], RADataTable[[#This Row],[email]])</f>
        <v>solomon2@illinois.edu</v>
      </c>
      <c r="Y65" s="15" t="str">
        <f>HYPERLINK("mailto:"&amp;RADataTable[[#This Row],[allPIemail]]&amp;"&amp;subject=NSF Proposal:  "&amp;RADataTable[[#This Row],[Div]]&amp;" "&amp;RADataTable[[#This Row],[prop_id0]], "PIs@")</f>
        <v>PIs@</v>
      </c>
      <c r="Z65" t="s">
        <v>478</v>
      </c>
      <c r="AA65" t="s">
        <v>782</v>
      </c>
      <c r="AB65">
        <v>4</v>
      </c>
      <c r="AC65">
        <v>4</v>
      </c>
      <c r="AD65"/>
      <c r="AE65" s="21" t="str">
        <f>IF(RADataTable[[#This Row],[maxScore]]-RADataTable[[#This Row],[minScore]]&gt;4,"Y","")</f>
        <v/>
      </c>
      <c r="AF65" s="21">
        <v>3</v>
      </c>
      <c r="AG65" s="26">
        <v>4.5</v>
      </c>
      <c r="AH65">
        <v>5</v>
      </c>
      <c r="AI65" t="s">
        <v>1497</v>
      </c>
      <c r="AJ65" s="30">
        <v>43031.922222222223</v>
      </c>
      <c r="AK65" s="13">
        <v>524117</v>
      </c>
      <c r="AL65" s="13">
        <v>524117</v>
      </c>
      <c r="AM65">
        <v>0</v>
      </c>
      <c r="AN65" s="30">
        <v>43132</v>
      </c>
      <c r="AO65" s="21">
        <v>60</v>
      </c>
      <c r="AP65" s="21" t="s">
        <v>1498</v>
      </c>
      <c r="AS65" s="30"/>
      <c r="AT65" t="s">
        <v>605</v>
      </c>
      <c r="AU65" s="21" t="s">
        <v>541</v>
      </c>
      <c r="AV65" s="21">
        <v>13</v>
      </c>
      <c r="AW65" s="21" t="s">
        <v>1847</v>
      </c>
      <c r="AX65" s="30">
        <v>43032</v>
      </c>
      <c r="AY65" s="21" t="s">
        <v>1879</v>
      </c>
      <c r="AZ65" s="21" t="s">
        <v>1849</v>
      </c>
      <c r="BA65" s="21">
        <v>14</v>
      </c>
      <c r="BB65" s="21">
        <v>2</v>
      </c>
      <c r="BG65" s="30"/>
      <c r="BP65" s="30"/>
      <c r="BU65" t="s">
        <v>782</v>
      </c>
      <c r="BV65" s="21" t="s">
        <v>783</v>
      </c>
      <c r="BW65" s="21" t="s">
        <v>1496</v>
      </c>
      <c r="BX65" s="21" t="s">
        <v>1477</v>
      </c>
      <c r="BY65" s="31">
        <v>524117</v>
      </c>
      <c r="BZ65" s="31">
        <v>524117</v>
      </c>
      <c r="CA65" t="s">
        <v>1444</v>
      </c>
      <c r="CF65" s="31"/>
      <c r="CG65" s="31"/>
      <c r="CM65" s="31"/>
      <c r="CN65" s="31"/>
      <c r="CT65" s="31"/>
      <c r="CU65" s="31"/>
      <c r="CV65" s="31"/>
      <c r="DA65" s="31"/>
      <c r="DB65" s="31"/>
      <c r="DC65" s="31"/>
      <c r="DH65" s="31"/>
      <c r="DI65" s="31"/>
      <c r="DO65" s="31"/>
      <c r="DP65" s="31"/>
      <c r="DR65" t="s">
        <v>1850</v>
      </c>
      <c r="DS65" t="s">
        <v>479</v>
      </c>
      <c r="DT65" t="s">
        <v>583</v>
      </c>
      <c r="DU65" s="29" t="s">
        <v>1869</v>
      </c>
      <c r="DV65" t="s">
        <v>172</v>
      </c>
      <c r="DW65" t="s">
        <v>327</v>
      </c>
      <c r="DX65" t="s">
        <v>170</v>
      </c>
      <c r="DY65" t="s">
        <v>167</v>
      </c>
      <c r="DZ65" t="s">
        <v>168</v>
      </c>
      <c r="EA65" s="22">
        <v>43083.486793981479</v>
      </c>
      <c r="EB65" t="s">
        <v>1499</v>
      </c>
      <c r="EC65" t="s">
        <v>1880</v>
      </c>
    </row>
    <row r="66" spans="1:133" x14ac:dyDescent="0.4">
      <c r="A66" s="30"/>
      <c r="B66" s="22">
        <v>42935.359027777777</v>
      </c>
      <c r="C66" s="22" t="s">
        <v>1430</v>
      </c>
      <c r="D66" s="30" t="s">
        <v>477</v>
      </c>
      <c r="E66" s="30" t="s">
        <v>582</v>
      </c>
      <c r="F66" s="30" t="s">
        <v>169</v>
      </c>
      <c r="G66" s="30" t="s">
        <v>171</v>
      </c>
      <c r="H66" t="s">
        <v>94</v>
      </c>
      <c r="I66" t="s">
        <v>1431</v>
      </c>
      <c r="J66" t="s">
        <v>654</v>
      </c>
      <c r="K66" s="22">
        <v>43082.668773148151</v>
      </c>
      <c r="L66">
        <v>1</v>
      </c>
      <c r="M66" s="26">
        <v>3.13</v>
      </c>
      <c r="N66" t="s">
        <v>542</v>
      </c>
      <c r="Q66" s="29" t="s">
        <v>13</v>
      </c>
      <c r="R66" s="29" t="str">
        <f>IFERROR(MID(RADataTable[[#This Row],[RAtemplate]],1,LEN(RADataTable[[#This Row],[RAtemplate]])-8),"RA") &amp; " " &amp; RADataTable[[#This Row],[prop_id0]] &amp; " " &amp; RADataTable[[#This Row],[last0]]</f>
        <v>RA 1750118 Li</v>
      </c>
      <c r="U66" s="21" t="str">
        <f>IF(signer1="PD",IF(ISBLANK(RADataTable[[#This Row],[sign_blck_name]]),"",RADataTable[[#This Row],[sign_blck_name]]),IF(ISBLANK(signer1),"",signer1))</f>
        <v>Rahul Shah</v>
      </c>
      <c r="V66" s="29" t="str">
        <f t="shared" ref="V66:V79" si="2">signer2</f>
        <v>Cognizant Program Director</v>
      </c>
      <c r="W66" s="15" t="str">
        <f>HYPERLINK("https://www.ejacket.nsf.gov/ej/showProposal.do?Continue=Y&amp;ID="&amp;RADataTable[[#This Row],[prop_id0]],"eJ")</f>
        <v>eJ</v>
      </c>
      <c r="X66" s="15" t="str">
        <f>HYPERLINK("mailto:"&amp;RADataTable[[#This Row],[email]]&amp;"&amp;subject=Your NSF Proposal:  "&amp;RADataTable[[#This Row],[Div]]&amp;" "&amp;RADataTable[[#This Row],[prop_id0]], RADataTable[[#This Row],[email]])</f>
        <v>shil@buffalo.edu</v>
      </c>
      <c r="Y66" s="15" t="str">
        <f>HYPERLINK("mailto:"&amp;RADataTable[[#This Row],[allPIemail]]&amp;"&amp;subject=NSF Proposal:  "&amp;RADataTable[[#This Row],[Div]]&amp;" "&amp;RADataTable[[#This Row],[prop_id0]], "PIs@")</f>
        <v>PIs@</v>
      </c>
      <c r="Z66" t="s">
        <v>478</v>
      </c>
      <c r="AA66" t="s">
        <v>834</v>
      </c>
      <c r="AB66">
        <v>4</v>
      </c>
      <c r="AD66"/>
      <c r="AE66" s="21" t="str">
        <f>IF(RADataTable[[#This Row],[maxScore]]-RADataTable[[#This Row],[minScore]]&gt;4,"Y","")</f>
        <v/>
      </c>
      <c r="AF66" s="21">
        <v>4</v>
      </c>
      <c r="AG66" s="26">
        <v>5.25</v>
      </c>
      <c r="AH66">
        <v>7</v>
      </c>
      <c r="AI66" t="s">
        <v>1513</v>
      </c>
      <c r="AJ66" s="30">
        <v>43031.584722222222</v>
      </c>
      <c r="AK66" s="13">
        <v>530842</v>
      </c>
      <c r="AL66" s="13">
        <v>530842</v>
      </c>
      <c r="AM66">
        <v>0</v>
      </c>
      <c r="AN66" s="30">
        <v>43344</v>
      </c>
      <c r="AO66" s="21">
        <v>60</v>
      </c>
      <c r="AP66" s="21" t="s">
        <v>1514</v>
      </c>
      <c r="AS66" s="30"/>
      <c r="AT66" t="s">
        <v>605</v>
      </c>
      <c r="AU66" s="21" t="s">
        <v>541</v>
      </c>
      <c r="AV66" s="21">
        <v>13</v>
      </c>
      <c r="AW66" s="21" t="s">
        <v>1847</v>
      </c>
      <c r="AX66" s="30">
        <v>43032</v>
      </c>
      <c r="AY66" s="21" t="s">
        <v>1888</v>
      </c>
      <c r="AZ66" s="21" t="s">
        <v>1849</v>
      </c>
      <c r="BA66" s="21">
        <v>14</v>
      </c>
      <c r="BB66" s="21">
        <v>2</v>
      </c>
      <c r="BG66" s="30"/>
      <c r="BP66" s="30"/>
      <c r="BU66" t="s">
        <v>834</v>
      </c>
      <c r="BV66" s="21" t="s">
        <v>835</v>
      </c>
      <c r="BW66" s="21" t="s">
        <v>1511</v>
      </c>
      <c r="BX66" s="21" t="s">
        <v>1512</v>
      </c>
      <c r="BY66" s="31">
        <v>530842</v>
      </c>
      <c r="BZ66" s="31">
        <v>530842</v>
      </c>
      <c r="CA66" t="s">
        <v>1432</v>
      </c>
      <c r="CF66" s="31"/>
      <c r="CG66" s="31"/>
      <c r="CM66" s="31"/>
      <c r="CN66" s="31"/>
      <c r="CT66" s="31"/>
      <c r="CU66" s="31"/>
      <c r="CV66" s="31"/>
      <c r="DA66" s="31"/>
      <c r="DB66" s="31"/>
      <c r="DC66" s="31"/>
      <c r="DH66" s="31"/>
      <c r="DI66" s="31"/>
      <c r="DO66" s="31"/>
      <c r="DP66" s="31"/>
      <c r="DR66" t="s">
        <v>1850</v>
      </c>
      <c r="DS66" t="s">
        <v>479</v>
      </c>
      <c r="DT66" t="s">
        <v>583</v>
      </c>
      <c r="DU66" s="29" t="s">
        <v>1856</v>
      </c>
      <c r="DV66" t="s">
        <v>172</v>
      </c>
      <c r="DW66" t="s">
        <v>327</v>
      </c>
      <c r="DX66" t="s">
        <v>170</v>
      </c>
      <c r="DY66" t="s">
        <v>167</v>
      </c>
      <c r="DZ66" t="s">
        <v>168</v>
      </c>
      <c r="EA66" s="22">
        <v>43083.486793981479</v>
      </c>
      <c r="EB66" t="s">
        <v>1515</v>
      </c>
      <c r="EC66" t="s">
        <v>1889</v>
      </c>
    </row>
    <row r="67" spans="1:133" x14ac:dyDescent="0.4">
      <c r="A67" s="30"/>
      <c r="B67" s="22">
        <v>42935.475694444445</v>
      </c>
      <c r="C67" s="22" t="s">
        <v>1430</v>
      </c>
      <c r="D67" s="30" t="s">
        <v>477</v>
      </c>
      <c r="E67" s="30" t="s">
        <v>582</v>
      </c>
      <c r="F67" s="30" t="s">
        <v>169</v>
      </c>
      <c r="G67" s="30" t="s">
        <v>171</v>
      </c>
      <c r="H67" t="s">
        <v>94</v>
      </c>
      <c r="I67" t="s">
        <v>1431</v>
      </c>
      <c r="J67" t="s">
        <v>654</v>
      </c>
      <c r="K67" s="22">
        <v>43082.668842592589</v>
      </c>
      <c r="L67">
        <v>1</v>
      </c>
      <c r="M67" s="26">
        <v>3.13</v>
      </c>
      <c r="N67" t="s">
        <v>542</v>
      </c>
      <c r="Q67" s="29" t="s">
        <v>13</v>
      </c>
      <c r="R67" s="29" t="str">
        <f>IFERROR(MID(RADataTable[[#This Row],[RAtemplate]],1,LEN(RADataTable[[#This Row],[RAtemplate]])-8),"RA") &amp; " " &amp; RADataTable[[#This Row],[prop_id0]] &amp; " " &amp; RADataTable[[#This Row],[last0]]</f>
        <v>RA 1750302 Dinitz</v>
      </c>
      <c r="U67" s="21" t="str">
        <f>IF(signer1="PD",IF(ISBLANK(RADataTable[[#This Row],[sign_blck_name]]),"",RADataTable[[#This Row],[sign_blck_name]]),IF(ISBLANK(signer1),"",signer1))</f>
        <v>Rahul Shah</v>
      </c>
      <c r="V67" s="29" t="str">
        <f t="shared" si="2"/>
        <v>Cognizant Program Director</v>
      </c>
      <c r="W67" s="15" t="str">
        <f>HYPERLINK("https://www.ejacket.nsf.gov/ej/showProposal.do?Continue=Y&amp;ID="&amp;RADataTable[[#This Row],[prop_id0]],"eJ")</f>
        <v>eJ</v>
      </c>
      <c r="X67" s="15" t="str">
        <f>HYPERLINK("mailto:"&amp;RADataTable[[#This Row],[email]]&amp;"&amp;subject=Your NSF Proposal:  "&amp;RADataTable[[#This Row],[Div]]&amp;" "&amp;RADataTable[[#This Row],[prop_id0]], RADataTable[[#This Row],[email]])</f>
        <v>mdinitz@cs.jhu.edu</v>
      </c>
      <c r="Y67" s="15" t="str">
        <f>HYPERLINK("mailto:"&amp;RADataTable[[#This Row],[allPIemail]]&amp;"&amp;subject=NSF Proposal:  "&amp;RADataTable[[#This Row],[Div]]&amp;" "&amp;RADataTable[[#This Row],[prop_id0]], "PIs@")</f>
        <v>PIs@</v>
      </c>
      <c r="Z67" t="s">
        <v>478</v>
      </c>
      <c r="AA67" t="s">
        <v>859</v>
      </c>
      <c r="AB67">
        <v>4</v>
      </c>
      <c r="AC67">
        <v>4</v>
      </c>
      <c r="AD67"/>
      <c r="AE67" s="21" t="str">
        <f>IF(RADataTable[[#This Row],[maxScore]]-RADataTable[[#This Row],[minScore]]&gt;4,"Y","")</f>
        <v/>
      </c>
      <c r="AF67" s="21">
        <v>6</v>
      </c>
      <c r="AG67" s="26">
        <v>6.75</v>
      </c>
      <c r="AH67">
        <v>8</v>
      </c>
      <c r="AI67" t="s">
        <v>567</v>
      </c>
      <c r="AJ67" s="30">
        <v>43030.96875</v>
      </c>
      <c r="AK67" s="13">
        <v>507459</v>
      </c>
      <c r="AL67" s="13">
        <v>507459</v>
      </c>
      <c r="AM67">
        <v>0</v>
      </c>
      <c r="AN67" s="30">
        <v>43282</v>
      </c>
      <c r="AO67" s="21">
        <v>60</v>
      </c>
      <c r="AP67" s="21" t="s">
        <v>1526</v>
      </c>
      <c r="AS67" s="30"/>
      <c r="AT67" t="s">
        <v>605</v>
      </c>
      <c r="AU67" s="21" t="s">
        <v>541</v>
      </c>
      <c r="AV67" s="21">
        <v>13</v>
      </c>
      <c r="AW67" s="21" t="s">
        <v>1847</v>
      </c>
      <c r="AX67" s="30">
        <v>43032</v>
      </c>
      <c r="AY67" s="21" t="s">
        <v>573</v>
      </c>
      <c r="AZ67" s="21" t="s">
        <v>1849</v>
      </c>
      <c r="BA67" s="21">
        <v>14</v>
      </c>
      <c r="BB67" s="21">
        <v>1</v>
      </c>
      <c r="BG67" s="30"/>
      <c r="BP67" s="30"/>
      <c r="BU67" t="s">
        <v>859</v>
      </c>
      <c r="BV67" s="21" t="s">
        <v>860</v>
      </c>
      <c r="BW67" s="21" t="s">
        <v>1524</v>
      </c>
      <c r="BX67" s="21" t="s">
        <v>1525</v>
      </c>
      <c r="BY67" s="31">
        <v>507459</v>
      </c>
      <c r="BZ67" s="31">
        <v>507459</v>
      </c>
      <c r="CA67" t="s">
        <v>1432</v>
      </c>
      <c r="CF67" s="31"/>
      <c r="CG67" s="31"/>
      <c r="CM67" s="31"/>
      <c r="CN67" s="31"/>
      <c r="CT67" s="31"/>
      <c r="CU67" s="31"/>
      <c r="CV67" s="31"/>
      <c r="DA67" s="31"/>
      <c r="DB67" s="31"/>
      <c r="DC67" s="31"/>
      <c r="DH67" s="31"/>
      <c r="DI67" s="31"/>
      <c r="DO67" s="31"/>
      <c r="DP67" s="31"/>
      <c r="DR67" t="s">
        <v>1850</v>
      </c>
      <c r="DS67" t="s">
        <v>479</v>
      </c>
      <c r="DT67" t="s">
        <v>583</v>
      </c>
      <c r="DU67" s="29" t="s">
        <v>1856</v>
      </c>
      <c r="DV67" t="s">
        <v>172</v>
      </c>
      <c r="DW67" t="s">
        <v>327</v>
      </c>
      <c r="DX67" t="s">
        <v>170</v>
      </c>
      <c r="DY67" t="s">
        <v>167</v>
      </c>
      <c r="DZ67" t="s">
        <v>168</v>
      </c>
      <c r="EA67" s="22">
        <v>43083.486793981479</v>
      </c>
      <c r="EB67" t="s">
        <v>1527</v>
      </c>
      <c r="EC67" t="s">
        <v>1893</v>
      </c>
    </row>
    <row r="68" spans="1:133" x14ac:dyDescent="0.4">
      <c r="A68" s="30"/>
      <c r="B68" s="22">
        <v>42935.54583333333</v>
      </c>
      <c r="C68" s="22" t="s">
        <v>1430</v>
      </c>
      <c r="D68" s="30" t="s">
        <v>477</v>
      </c>
      <c r="E68" s="30" t="s">
        <v>582</v>
      </c>
      <c r="F68" s="30" t="s">
        <v>169</v>
      </c>
      <c r="G68" s="30" t="s">
        <v>171</v>
      </c>
      <c r="H68" t="s">
        <v>94</v>
      </c>
      <c r="I68" t="s">
        <v>1431</v>
      </c>
      <c r="J68" t="s">
        <v>654</v>
      </c>
      <c r="K68" s="22">
        <v>43082.668912037036</v>
      </c>
      <c r="L68">
        <v>1</v>
      </c>
      <c r="M68" s="26">
        <v>3.13</v>
      </c>
      <c r="N68" t="s">
        <v>542</v>
      </c>
      <c r="Q68" s="29" t="s">
        <v>13</v>
      </c>
      <c r="R68" s="29" t="str">
        <f>IFERROR(MID(RADataTable[[#This Row],[RAtemplate]],1,LEN(RADataTable[[#This Row],[RAtemplate]])-8),"RA") &amp; " " &amp; RADataTable[[#This Row],[prop_id0]] &amp; " " &amp; RADataTable[[#This Row],[last0]]</f>
        <v>RA 1750463 Raghvendra</v>
      </c>
      <c r="U68" s="21" t="str">
        <f>IF(signer1="PD",IF(ISBLANK(RADataTable[[#This Row],[sign_blck_name]]),"",RADataTable[[#This Row],[sign_blck_name]]),IF(ISBLANK(signer1),"",signer1))</f>
        <v>Rahul Shah</v>
      </c>
      <c r="V68" s="29" t="str">
        <f t="shared" si="2"/>
        <v>Cognizant Program Director</v>
      </c>
      <c r="W68" s="15" t="str">
        <f>HYPERLINK("https://www.ejacket.nsf.gov/ej/showProposal.do?Continue=Y&amp;ID="&amp;RADataTable[[#This Row],[prop_id0]],"eJ")</f>
        <v>eJ</v>
      </c>
      <c r="X68" s="15" t="str">
        <f>HYPERLINK("mailto:"&amp;RADataTable[[#This Row],[email]]&amp;"&amp;subject=Your NSF Proposal:  "&amp;RADataTable[[#This Row],[Div]]&amp;" "&amp;RADataTable[[#This Row],[prop_id0]], RADataTable[[#This Row],[email]])</f>
        <v>sharathr@vt.edu</v>
      </c>
      <c r="Y68" s="15" t="str">
        <f>HYPERLINK("mailto:"&amp;RADataTable[[#This Row],[allPIemail]]&amp;"&amp;subject=NSF Proposal:  "&amp;RADataTable[[#This Row],[Div]]&amp;" "&amp;RADataTable[[#This Row],[prop_id0]], "PIs@")</f>
        <v>PIs@</v>
      </c>
      <c r="Z68" t="s">
        <v>478</v>
      </c>
      <c r="AA68" t="s">
        <v>927</v>
      </c>
      <c r="AB68">
        <v>4</v>
      </c>
      <c r="AD68"/>
      <c r="AE68" s="21" t="str">
        <f>IF(RADataTable[[#This Row],[maxScore]]-RADataTable[[#This Row],[minScore]]&gt;4,"Y","")</f>
        <v/>
      </c>
      <c r="AF68" s="21">
        <v>5</v>
      </c>
      <c r="AG68" s="26">
        <v>6.5</v>
      </c>
      <c r="AH68">
        <v>8</v>
      </c>
      <c r="AI68" t="s">
        <v>1551</v>
      </c>
      <c r="AJ68" s="30">
        <v>43032.486805555556</v>
      </c>
      <c r="AK68" s="13">
        <v>533991</v>
      </c>
      <c r="AL68" s="13">
        <v>533991</v>
      </c>
      <c r="AM68">
        <v>0</v>
      </c>
      <c r="AN68" s="30">
        <v>43110</v>
      </c>
      <c r="AO68" s="21">
        <v>60</v>
      </c>
      <c r="AP68" s="21" t="s">
        <v>1552</v>
      </c>
      <c r="AS68" s="30"/>
      <c r="AT68" t="s">
        <v>605</v>
      </c>
      <c r="AU68" s="21" t="s">
        <v>541</v>
      </c>
      <c r="AV68" s="21">
        <v>13</v>
      </c>
      <c r="AW68" s="21" t="s">
        <v>1847</v>
      </c>
      <c r="AX68" s="30">
        <v>43032</v>
      </c>
      <c r="AY68" s="21" t="s">
        <v>1904</v>
      </c>
      <c r="AZ68" s="21" t="s">
        <v>1849</v>
      </c>
      <c r="BA68" s="21">
        <v>14</v>
      </c>
      <c r="BB68" s="21">
        <v>2</v>
      </c>
      <c r="BG68" s="30"/>
      <c r="BP68" s="30"/>
      <c r="BU68" t="s">
        <v>927</v>
      </c>
      <c r="BV68" s="21" t="s">
        <v>928</v>
      </c>
      <c r="BW68" s="21" t="s">
        <v>1549</v>
      </c>
      <c r="BX68" s="21" t="s">
        <v>1550</v>
      </c>
      <c r="BY68" s="31">
        <v>533991</v>
      </c>
      <c r="BZ68" s="31">
        <v>533991</v>
      </c>
      <c r="CA68" t="s">
        <v>1432</v>
      </c>
      <c r="CF68" s="31"/>
      <c r="CG68" s="31"/>
      <c r="CM68" s="31"/>
      <c r="CN68" s="31"/>
      <c r="CT68" s="31"/>
      <c r="CU68" s="31"/>
      <c r="CV68" s="31"/>
      <c r="DA68" s="31"/>
      <c r="DB68" s="31"/>
      <c r="DC68" s="31"/>
      <c r="DH68" s="31"/>
      <c r="DI68" s="31"/>
      <c r="DO68" s="31"/>
      <c r="DP68" s="31"/>
      <c r="DR68" t="s">
        <v>1850</v>
      </c>
      <c r="DS68" t="s">
        <v>479</v>
      </c>
      <c r="DT68" t="s">
        <v>583</v>
      </c>
      <c r="DU68" s="29" t="s">
        <v>1856</v>
      </c>
      <c r="DV68" t="s">
        <v>172</v>
      </c>
      <c r="DW68" t="s">
        <v>327</v>
      </c>
      <c r="DX68" t="s">
        <v>170</v>
      </c>
      <c r="DY68" t="s">
        <v>167</v>
      </c>
      <c r="DZ68" t="s">
        <v>168</v>
      </c>
      <c r="EA68" s="22">
        <v>43083.486793981479</v>
      </c>
      <c r="EB68" t="s">
        <v>1553</v>
      </c>
      <c r="EC68" t="s">
        <v>1905</v>
      </c>
    </row>
    <row r="69" spans="1:133" x14ac:dyDescent="0.4">
      <c r="A69" s="30"/>
      <c r="B69" s="22">
        <v>42935.680555555555</v>
      </c>
      <c r="C69" s="22" t="s">
        <v>1430</v>
      </c>
      <c r="D69" s="30" t="s">
        <v>477</v>
      </c>
      <c r="E69" s="30" t="s">
        <v>582</v>
      </c>
      <c r="F69" s="30" t="s">
        <v>169</v>
      </c>
      <c r="G69" s="30" t="s">
        <v>171</v>
      </c>
      <c r="H69" t="s">
        <v>94</v>
      </c>
      <c r="I69" t="s">
        <v>1431</v>
      </c>
      <c r="J69" t="s">
        <v>604</v>
      </c>
      <c r="K69" s="22">
        <v>43082.668969907405</v>
      </c>
      <c r="L69">
        <v>1</v>
      </c>
      <c r="M69" s="26">
        <v>3.13</v>
      </c>
      <c r="N69" t="s">
        <v>542</v>
      </c>
      <c r="Q69" s="29" t="s">
        <v>13</v>
      </c>
      <c r="R69" s="29" t="str">
        <f>IFERROR(MID(RADataTable[[#This Row],[RAtemplate]],1,LEN(RADataTable[[#This Row],[RAtemplate]])-8),"RA") &amp; " " &amp; RADataTable[[#This Row],[prop_id0]] &amp; " " &amp; RADataTable[[#This Row],[last0]]</f>
        <v>RA 1751047 Gibson</v>
      </c>
      <c r="U69" s="21" t="str">
        <f>IF(signer1="PD",IF(ISBLANK(RADataTable[[#This Row],[sign_blck_name]]),"",RADataTable[[#This Row],[sign_blck_name]]),IF(ISBLANK(signer1),"",signer1))</f>
        <v>Jack Snoeyink</v>
      </c>
      <c r="V69" s="29" t="str">
        <f t="shared" si="2"/>
        <v>Cognizant Program Director</v>
      </c>
      <c r="W69" s="15" t="str">
        <f>HYPERLINK("https://www.ejacket.nsf.gov/ej/showProposal.do?Continue=Y&amp;ID="&amp;RADataTable[[#This Row],[prop_id0]],"eJ")</f>
        <v>eJ</v>
      </c>
      <c r="X69" s="15" t="str">
        <f>HYPERLINK("mailto:"&amp;RADataTable[[#This Row],[email]]&amp;"&amp;subject=Your NSF Proposal:  "&amp;RADataTable[[#This Row],[Div]]&amp;" "&amp;RADataTable[[#This Row],[prop_id0]], RADataTable[[#This Row],[email]])</f>
        <v>MATTHEW.GIBSON@UTSA.EDU</v>
      </c>
      <c r="Y69" s="15" t="str">
        <f>HYPERLINK("mailto:"&amp;RADataTable[[#This Row],[allPIemail]]&amp;"&amp;subject=NSF Proposal:  "&amp;RADataTable[[#This Row],[Div]]&amp;" "&amp;RADataTable[[#This Row],[prop_id0]], "PIs@")</f>
        <v>PIs@</v>
      </c>
      <c r="Z69" t="s">
        <v>478</v>
      </c>
      <c r="AA69" t="s">
        <v>1012</v>
      </c>
      <c r="AB69">
        <v>4</v>
      </c>
      <c r="AC69">
        <v>4</v>
      </c>
      <c r="AD69"/>
      <c r="AE69" s="21" t="str">
        <f>IF(RADataTable[[#This Row],[maxScore]]-RADataTable[[#This Row],[minScore]]&gt;4,"Y","")</f>
        <v/>
      </c>
      <c r="AF69" s="21">
        <v>3</v>
      </c>
      <c r="AG69" s="26">
        <v>4.75</v>
      </c>
      <c r="AH69">
        <v>7</v>
      </c>
      <c r="AI69" t="s">
        <v>1587</v>
      </c>
      <c r="AJ69" s="30">
        <v>43030.177777777775</v>
      </c>
      <c r="AK69" s="13">
        <v>415497</v>
      </c>
      <c r="AL69" s="13">
        <v>415497</v>
      </c>
      <c r="AM69">
        <v>0</v>
      </c>
      <c r="AN69" s="30">
        <v>43132</v>
      </c>
      <c r="AO69" s="21">
        <v>60</v>
      </c>
      <c r="AP69" s="21" t="s">
        <v>1588</v>
      </c>
      <c r="AS69" s="30"/>
      <c r="AT69" t="s">
        <v>605</v>
      </c>
      <c r="AU69" s="21" t="s">
        <v>541</v>
      </c>
      <c r="AV69" s="21">
        <v>13</v>
      </c>
      <c r="AW69" s="21" t="s">
        <v>1847</v>
      </c>
      <c r="AX69" s="30">
        <v>43032</v>
      </c>
      <c r="AY69" s="21" t="s">
        <v>1921</v>
      </c>
      <c r="AZ69" s="21" t="s">
        <v>1849</v>
      </c>
      <c r="BA69" s="21">
        <v>14</v>
      </c>
      <c r="BG69" s="30"/>
      <c r="BP69" s="30"/>
      <c r="BU69" t="s">
        <v>1012</v>
      </c>
      <c r="BV69" s="21" t="s">
        <v>1013</v>
      </c>
      <c r="BW69" s="21" t="s">
        <v>1585</v>
      </c>
      <c r="BX69" s="21" t="s">
        <v>1586</v>
      </c>
      <c r="BY69" s="31">
        <v>415497</v>
      </c>
      <c r="BZ69" s="31">
        <v>415497</v>
      </c>
      <c r="CA69" t="s">
        <v>1439</v>
      </c>
      <c r="CF69" s="31"/>
      <c r="CG69" s="31"/>
      <c r="CM69" s="31"/>
      <c r="CN69" s="31"/>
      <c r="CT69" s="31"/>
      <c r="CU69" s="31"/>
      <c r="CV69" s="31"/>
      <c r="DA69" s="31"/>
      <c r="DB69" s="31"/>
      <c r="DC69" s="31"/>
      <c r="DH69" s="31"/>
      <c r="DI69" s="31"/>
      <c r="DO69" s="31"/>
      <c r="DP69" s="31"/>
      <c r="DR69" t="s">
        <v>1850</v>
      </c>
      <c r="DS69" t="s">
        <v>479</v>
      </c>
      <c r="DT69" t="s">
        <v>583</v>
      </c>
      <c r="DU69" s="29" t="s">
        <v>1851</v>
      </c>
      <c r="DV69" t="s">
        <v>172</v>
      </c>
      <c r="DW69" t="s">
        <v>327</v>
      </c>
      <c r="DX69" t="s">
        <v>170</v>
      </c>
      <c r="DY69" t="s">
        <v>167</v>
      </c>
      <c r="DZ69" t="s">
        <v>168</v>
      </c>
      <c r="EA69" s="22">
        <v>43083.486793981479</v>
      </c>
      <c r="EB69" t="s">
        <v>1589</v>
      </c>
      <c r="EC69" t="s">
        <v>1922</v>
      </c>
    </row>
    <row r="70" spans="1:133" x14ac:dyDescent="0.4">
      <c r="A70" s="30"/>
      <c r="B70" s="22">
        <v>42935.851388888892</v>
      </c>
      <c r="C70" s="22" t="s">
        <v>1430</v>
      </c>
      <c r="D70" s="30" t="s">
        <v>477</v>
      </c>
      <c r="E70" s="30" t="s">
        <v>582</v>
      </c>
      <c r="F70" s="30" t="s">
        <v>169</v>
      </c>
      <c r="G70" s="30" t="s">
        <v>171</v>
      </c>
      <c r="H70" t="s">
        <v>94</v>
      </c>
      <c r="I70" t="s">
        <v>1431</v>
      </c>
      <c r="J70" t="s">
        <v>654</v>
      </c>
      <c r="K70" s="22">
        <v>43082.669027777774</v>
      </c>
      <c r="L70">
        <v>1</v>
      </c>
      <c r="M70" s="26">
        <v>3.13</v>
      </c>
      <c r="N70" t="s">
        <v>542</v>
      </c>
      <c r="Q70" s="29" t="s">
        <v>13</v>
      </c>
      <c r="R70" s="29" t="str">
        <f>IFERROR(MID(RADataTable[[#This Row],[RAtemplate]],1,LEN(RADataTable[[#This Row],[RAtemplate]])-8),"RA") &amp; " " &amp; RADataTable[[#This Row],[prop_id0]] &amp; " " &amp; RADataTable[[#This Row],[last0]]</f>
        <v>RA 1751416 Sitchinava</v>
      </c>
      <c r="U70" s="21" t="str">
        <f>IF(signer1="PD",IF(ISBLANK(RADataTable[[#This Row],[sign_blck_name]]),"",RADataTable[[#This Row],[sign_blck_name]]),IF(ISBLANK(signer1),"",signer1))</f>
        <v>Rahul Shah</v>
      </c>
      <c r="V70" s="29" t="str">
        <f t="shared" si="2"/>
        <v>Cognizant Program Director</v>
      </c>
      <c r="W70" s="15" t="str">
        <f>HYPERLINK("https://www.ejacket.nsf.gov/ej/showProposal.do?Continue=Y&amp;ID="&amp;RADataTable[[#This Row],[prop_id0]],"eJ")</f>
        <v>eJ</v>
      </c>
      <c r="X70" s="15" t="str">
        <f>HYPERLINK("mailto:"&amp;RADataTable[[#This Row],[email]]&amp;"&amp;subject=Your NSF Proposal:  "&amp;RADataTable[[#This Row],[Div]]&amp;" "&amp;RADataTable[[#This Row],[prop_id0]], RADataTable[[#This Row],[email]])</f>
        <v>nodari@hawaii.edu</v>
      </c>
      <c r="Y70" s="15" t="str">
        <f>HYPERLINK("mailto:"&amp;RADataTable[[#This Row],[allPIemail]]&amp;"&amp;subject=NSF Proposal:  "&amp;RADataTable[[#This Row],[Div]]&amp;" "&amp;RADataTable[[#This Row],[prop_id0]], "PIs@")</f>
        <v>PIs@</v>
      </c>
      <c r="Z70" t="s">
        <v>478</v>
      </c>
      <c r="AA70" t="s">
        <v>1082</v>
      </c>
      <c r="AB70">
        <v>4</v>
      </c>
      <c r="AD70"/>
      <c r="AE70" s="21" t="str">
        <f>IF(RADataTable[[#This Row],[maxScore]]-RADataTable[[#This Row],[minScore]]&gt;4,"Y","")</f>
        <v/>
      </c>
      <c r="AF70" s="21">
        <v>4</v>
      </c>
      <c r="AG70" s="26">
        <v>5.5</v>
      </c>
      <c r="AH70">
        <v>7</v>
      </c>
      <c r="AI70" t="s">
        <v>503</v>
      </c>
      <c r="AJ70" s="30">
        <v>43031.703472222223</v>
      </c>
      <c r="AK70" s="13">
        <v>549999</v>
      </c>
      <c r="AL70" s="13">
        <v>549999</v>
      </c>
      <c r="AM70">
        <v>0</v>
      </c>
      <c r="AN70" s="30">
        <v>43160</v>
      </c>
      <c r="AO70" s="21">
        <v>60</v>
      </c>
      <c r="AP70" s="21" t="s">
        <v>1619</v>
      </c>
      <c r="AS70" s="30"/>
      <c r="AT70" t="s">
        <v>605</v>
      </c>
      <c r="AU70" s="21" t="s">
        <v>541</v>
      </c>
      <c r="AV70" s="21">
        <v>13</v>
      </c>
      <c r="AW70" s="21" t="s">
        <v>1847</v>
      </c>
      <c r="AX70" s="30">
        <v>43032</v>
      </c>
      <c r="AY70" s="21" t="s">
        <v>1931</v>
      </c>
      <c r="AZ70" s="21" t="s">
        <v>1849</v>
      </c>
      <c r="BA70" s="21">
        <v>14</v>
      </c>
      <c r="BB70" s="21">
        <v>1</v>
      </c>
      <c r="BG70" s="30"/>
      <c r="BP70" s="30"/>
      <c r="BU70" t="s">
        <v>1082</v>
      </c>
      <c r="BV70" s="21" t="s">
        <v>1083</v>
      </c>
      <c r="BW70" s="21" t="s">
        <v>1617</v>
      </c>
      <c r="BX70" s="21" t="s">
        <v>1618</v>
      </c>
      <c r="BY70" s="31">
        <v>549999</v>
      </c>
      <c r="BZ70" s="31">
        <v>549999</v>
      </c>
      <c r="CA70" t="s">
        <v>1603</v>
      </c>
      <c r="CF70" s="31"/>
      <c r="CG70" s="31"/>
      <c r="CM70" s="31"/>
      <c r="CN70" s="31"/>
      <c r="CT70" s="31"/>
      <c r="CU70" s="31"/>
      <c r="CV70" s="31"/>
      <c r="DA70" s="31"/>
      <c r="DB70" s="31"/>
      <c r="DC70" s="31"/>
      <c r="DH70" s="31"/>
      <c r="DI70" s="31"/>
      <c r="DO70" s="31"/>
      <c r="DP70" s="31"/>
      <c r="DR70" t="s">
        <v>1850</v>
      </c>
      <c r="DS70" t="s">
        <v>479</v>
      </c>
      <c r="DT70" t="s">
        <v>583</v>
      </c>
      <c r="DU70" s="29" t="s">
        <v>1856</v>
      </c>
      <c r="DV70" t="s">
        <v>172</v>
      </c>
      <c r="DW70" t="s">
        <v>327</v>
      </c>
      <c r="DX70" t="s">
        <v>170</v>
      </c>
      <c r="DY70" t="s">
        <v>167</v>
      </c>
      <c r="DZ70" t="s">
        <v>168</v>
      </c>
      <c r="EA70" s="22">
        <v>43083.486793981479</v>
      </c>
      <c r="EB70" t="s">
        <v>1620</v>
      </c>
      <c r="EC70" t="s">
        <v>1932</v>
      </c>
    </row>
    <row r="71" spans="1:133" x14ac:dyDescent="0.4">
      <c r="A71" s="30"/>
      <c r="B71" s="22">
        <v>42934.806944444441</v>
      </c>
      <c r="C71" s="22" t="s">
        <v>1430</v>
      </c>
      <c r="D71" s="30" t="s">
        <v>477</v>
      </c>
      <c r="E71" s="30" t="s">
        <v>582</v>
      </c>
      <c r="F71" s="30" t="s">
        <v>169</v>
      </c>
      <c r="G71" s="30" t="s">
        <v>171</v>
      </c>
      <c r="H71" t="s">
        <v>94</v>
      </c>
      <c r="I71" t="s">
        <v>1431</v>
      </c>
      <c r="J71" t="s">
        <v>654</v>
      </c>
      <c r="K71" s="22">
        <v>43082.669074074074</v>
      </c>
      <c r="L71">
        <v>2</v>
      </c>
      <c r="M71" s="26">
        <v>3.18</v>
      </c>
      <c r="N71" t="s">
        <v>309</v>
      </c>
      <c r="O71" t="s">
        <v>542</v>
      </c>
      <c r="Q71" s="29" t="s">
        <v>13</v>
      </c>
      <c r="R71" s="29" t="str">
        <f>IFERROR(MID(RADataTable[[#This Row],[RAtemplate]],1,LEN(RADataTable[[#This Row],[RAtemplate]])-8),"RA") &amp; " " &amp; RADataTable[[#This Row],[prop_id0]] &amp; " " &amp; RADataTable[[#This Row],[last0]]</f>
        <v>RA 1750075 Razaviyayn</v>
      </c>
      <c r="U71" s="21" t="str">
        <f>IF(signer1="PD",IF(ISBLANK(RADataTable[[#This Row],[sign_blck_name]]),"",RADataTable[[#This Row],[sign_blck_name]]),IF(ISBLANK(signer1),"",signer1))</f>
        <v>Rahul Shah</v>
      </c>
      <c r="V71" s="29" t="str">
        <f t="shared" si="2"/>
        <v>Cognizant Program Director</v>
      </c>
      <c r="W71" s="15" t="str">
        <f>HYPERLINK("https://www.ejacket.nsf.gov/ej/showProposal.do?Continue=Y&amp;ID="&amp;RADataTable[[#This Row],[prop_id0]],"eJ")</f>
        <v>eJ</v>
      </c>
      <c r="X71" s="15" t="str">
        <f>HYPERLINK("mailto:"&amp;RADataTable[[#This Row],[email]]&amp;"&amp;subject=Your NSF Proposal:  "&amp;RADataTable[[#This Row],[Div]]&amp;" "&amp;RADataTable[[#This Row],[prop_id0]], RADataTable[[#This Row],[email]])</f>
        <v>razaviya@usc.edu</v>
      </c>
      <c r="Y71" s="15" t="str">
        <f>HYPERLINK("mailto:"&amp;RADataTable[[#This Row],[allPIemail]]&amp;"&amp;subject=NSF Proposal:  "&amp;RADataTable[[#This Row],[Div]]&amp;" "&amp;RADataTable[[#This Row],[prop_id0]], "PIs@")</f>
        <v>PIs@</v>
      </c>
      <c r="Z71" t="s">
        <v>478</v>
      </c>
      <c r="AA71" t="s">
        <v>791</v>
      </c>
      <c r="AB71">
        <v>9</v>
      </c>
      <c r="AC71">
        <v>5</v>
      </c>
      <c r="AD71"/>
      <c r="AE71" s="21" t="str">
        <f>IF(RADataTable[[#This Row],[maxScore]]-RADataTable[[#This Row],[minScore]]&gt;4,"Y","")</f>
        <v/>
      </c>
      <c r="AF71" s="21">
        <v>3</v>
      </c>
      <c r="AG71" s="26">
        <v>4.666666666666667</v>
      </c>
      <c r="AH71">
        <v>7</v>
      </c>
      <c r="AI71" t="s">
        <v>1502</v>
      </c>
      <c r="AJ71" s="30">
        <v>43059.886111111111</v>
      </c>
      <c r="AK71" s="13">
        <v>539673</v>
      </c>
      <c r="AL71" s="13">
        <v>539673</v>
      </c>
      <c r="AM71">
        <v>0</v>
      </c>
      <c r="AN71" s="30">
        <v>43236</v>
      </c>
      <c r="AO71" s="21">
        <v>60</v>
      </c>
      <c r="AP71" s="21" t="s">
        <v>1503</v>
      </c>
      <c r="AQ71">
        <v>1</v>
      </c>
      <c r="AR71" t="s">
        <v>504</v>
      </c>
      <c r="AS71" s="30">
        <v>43037.776388888888</v>
      </c>
      <c r="AT71" t="s">
        <v>714</v>
      </c>
      <c r="AU71" s="21" t="s">
        <v>546</v>
      </c>
      <c r="AV71" s="21">
        <v>18</v>
      </c>
      <c r="AW71" s="21" t="s">
        <v>1866</v>
      </c>
      <c r="AX71" s="30">
        <v>43060</v>
      </c>
      <c r="AY71" s="21" t="s">
        <v>1881</v>
      </c>
      <c r="AZ71" s="21" t="s">
        <v>1868</v>
      </c>
      <c r="BA71" s="21">
        <v>12</v>
      </c>
      <c r="BC71" s="21" t="s">
        <v>795</v>
      </c>
      <c r="BD71" s="21" t="s">
        <v>541</v>
      </c>
      <c r="BF71" s="21" t="s">
        <v>1882</v>
      </c>
      <c r="BG71" s="30">
        <v>43060</v>
      </c>
      <c r="BH71" s="21" t="s">
        <v>1883</v>
      </c>
      <c r="BI71" s="21" t="s">
        <v>1884</v>
      </c>
      <c r="BJ71" s="21">
        <v>6</v>
      </c>
      <c r="BP71" s="30"/>
      <c r="BU71" t="s">
        <v>791</v>
      </c>
      <c r="BV71" s="21" t="s">
        <v>792</v>
      </c>
      <c r="BW71" s="21" t="s">
        <v>1500</v>
      </c>
      <c r="BX71" s="21" t="s">
        <v>1501</v>
      </c>
      <c r="BY71" s="31">
        <v>539673</v>
      </c>
      <c r="BZ71" s="31">
        <v>539673</v>
      </c>
      <c r="CA71" t="s">
        <v>1432</v>
      </c>
      <c r="CF71" s="31"/>
      <c r="CG71" s="31"/>
      <c r="CM71" s="31"/>
      <c r="CN71" s="31"/>
      <c r="CT71" s="31"/>
      <c r="CU71" s="31"/>
      <c r="CV71" s="31"/>
      <c r="DA71" s="31"/>
      <c r="DB71" s="31"/>
      <c r="DC71" s="31"/>
      <c r="DH71" s="31"/>
      <c r="DI71" s="31"/>
      <c r="DO71" s="31"/>
      <c r="DP71" s="31"/>
      <c r="DR71" t="s">
        <v>1850</v>
      </c>
      <c r="DS71" t="s">
        <v>479</v>
      </c>
      <c r="DT71" t="s">
        <v>583</v>
      </c>
      <c r="DU71" s="29" t="s">
        <v>1856</v>
      </c>
      <c r="DV71" t="s">
        <v>172</v>
      </c>
      <c r="DW71" t="s">
        <v>327</v>
      </c>
      <c r="DX71" t="s">
        <v>170</v>
      </c>
      <c r="DY71" t="s">
        <v>167</v>
      </c>
      <c r="DZ71" t="s">
        <v>168</v>
      </c>
      <c r="EA71" s="22">
        <v>43083.486793981479</v>
      </c>
      <c r="EB71" t="s">
        <v>1504</v>
      </c>
      <c r="EC71" t="s">
        <v>1885</v>
      </c>
    </row>
    <row r="72" spans="1:133" x14ac:dyDescent="0.4">
      <c r="A72" s="30"/>
      <c r="B72" s="22">
        <v>42954.500694444447</v>
      </c>
      <c r="C72" s="22" t="s">
        <v>1621</v>
      </c>
      <c r="D72" s="30" t="s">
        <v>477</v>
      </c>
      <c r="E72" s="30" t="s">
        <v>578</v>
      </c>
      <c r="F72" s="30" t="s">
        <v>169</v>
      </c>
      <c r="G72" s="30" t="s">
        <v>171</v>
      </c>
      <c r="H72" t="s">
        <v>94</v>
      </c>
      <c r="I72" t="s">
        <v>1630</v>
      </c>
      <c r="J72" t="s">
        <v>654</v>
      </c>
      <c r="K72" s="22">
        <v>43082.669131944444</v>
      </c>
      <c r="L72">
        <v>1</v>
      </c>
      <c r="M72" s="26">
        <v>4.05</v>
      </c>
      <c r="N72" t="s">
        <v>309</v>
      </c>
      <c r="Q72" s="29" t="s">
        <v>13</v>
      </c>
      <c r="R72" s="29" t="str">
        <f>IFERROR(MID(RADataTable[[#This Row],[RAtemplate]],1,LEN(RADataTable[[#This Row],[RAtemplate]])-8),"RA") &amp; " " &amp; RADataTable[[#This Row],[prop_id0]] &amp; " " &amp; RADataTable[[#This Row],[last0]]</f>
        <v>RA 1755481 Wang</v>
      </c>
      <c r="U72" s="21" t="str">
        <f>IF(signer1="PD",IF(ISBLANK(RADataTable[[#This Row],[sign_blck_name]]),"",RADataTable[[#This Row],[sign_blck_name]]),IF(ISBLANK(signer1),"",signer1))</f>
        <v>Rahul Shah</v>
      </c>
      <c r="V72" s="29" t="str">
        <f t="shared" si="2"/>
        <v>Cognizant Program Director</v>
      </c>
      <c r="W72" s="15" t="str">
        <f>HYPERLINK("https://www.ejacket.nsf.gov/ej/showProposal.do?Continue=Y&amp;ID="&amp;RADataTable[[#This Row],[prop_id0]],"eJ")</f>
        <v>eJ</v>
      </c>
      <c r="X72" s="15" t="str">
        <f>HYPERLINK("mailto:"&amp;RADataTable[[#This Row],[email]]&amp;"&amp;subject=Your NSF Proposal:  "&amp;RADataTable[[#This Row],[Div]]&amp;" "&amp;RADataTable[[#This Row],[prop_id0]], RADataTable[[#This Row],[email]])</f>
        <v>kwang@georgiasouthern.edu</v>
      </c>
      <c r="Y72" s="15" t="str">
        <f>HYPERLINK("mailto:"&amp;RADataTable[[#This Row],[allPIemail]]&amp;"&amp;subject=NSF Proposal:  "&amp;RADataTable[[#This Row],[Div]]&amp;" "&amp;RADataTable[[#This Row],[prop_id0]], "PIs@")</f>
        <v>PIs@</v>
      </c>
      <c r="Z72" t="s">
        <v>478</v>
      </c>
      <c r="AA72" t="s">
        <v>1126</v>
      </c>
      <c r="AB72">
        <v>4</v>
      </c>
      <c r="AD72"/>
      <c r="AE72" s="21" t="str">
        <f>IF(RADataTable[[#This Row],[maxScore]]-RADataTable[[#This Row],[minScore]]&gt;4,"Y","")</f>
        <v/>
      </c>
      <c r="AF72" s="21">
        <v>3</v>
      </c>
      <c r="AG72" s="26">
        <v>3.25</v>
      </c>
      <c r="AH72">
        <v>4</v>
      </c>
      <c r="AI72" t="s">
        <v>1639</v>
      </c>
      <c r="AJ72" s="30">
        <v>43031.775694444441</v>
      </c>
      <c r="AK72" s="13">
        <v>168126</v>
      </c>
      <c r="AL72" s="13">
        <v>168126</v>
      </c>
      <c r="AM72">
        <v>0</v>
      </c>
      <c r="AN72" s="30">
        <v>43101</v>
      </c>
      <c r="AO72" s="21">
        <v>24</v>
      </c>
      <c r="AP72" s="21" t="s">
        <v>1640</v>
      </c>
      <c r="AS72" s="30"/>
      <c r="AT72" t="s">
        <v>605</v>
      </c>
      <c r="AU72" s="21" t="s">
        <v>546</v>
      </c>
      <c r="AV72" s="21">
        <v>5</v>
      </c>
      <c r="AW72" s="21" t="s">
        <v>1847</v>
      </c>
      <c r="AX72" s="30">
        <v>43032</v>
      </c>
      <c r="AY72" s="21" t="s">
        <v>1941</v>
      </c>
      <c r="AZ72" s="21" t="s">
        <v>1849</v>
      </c>
      <c r="BA72" s="21">
        <v>14</v>
      </c>
      <c r="BG72" s="30"/>
      <c r="BP72" s="30"/>
      <c r="BU72" t="s">
        <v>1126</v>
      </c>
      <c r="BV72" s="21" t="s">
        <v>631</v>
      </c>
      <c r="BW72" s="21" t="s">
        <v>1638</v>
      </c>
      <c r="BX72" s="21" t="s">
        <v>1634</v>
      </c>
      <c r="BY72" s="31">
        <v>168126</v>
      </c>
      <c r="BZ72" s="31">
        <v>168126</v>
      </c>
      <c r="CA72" t="s">
        <v>1631</v>
      </c>
      <c r="CF72" s="31"/>
      <c r="CG72" s="31"/>
      <c r="CM72" s="31"/>
      <c r="CN72" s="31"/>
      <c r="CT72" s="31"/>
      <c r="CU72" s="31"/>
      <c r="CV72" s="31"/>
      <c r="DA72" s="31"/>
      <c r="DB72" s="31"/>
      <c r="DC72" s="31"/>
      <c r="DH72" s="31"/>
      <c r="DI72" s="31"/>
      <c r="DO72" s="31"/>
      <c r="DP72" s="31"/>
      <c r="DR72" t="s">
        <v>1936</v>
      </c>
      <c r="DS72" t="s">
        <v>479</v>
      </c>
      <c r="DT72" t="s">
        <v>579</v>
      </c>
      <c r="DU72" s="29" t="s">
        <v>1856</v>
      </c>
      <c r="DV72" t="s">
        <v>172</v>
      </c>
      <c r="DW72" t="s">
        <v>327</v>
      </c>
      <c r="DX72" t="s">
        <v>170</v>
      </c>
      <c r="DY72" t="s">
        <v>167</v>
      </c>
      <c r="DZ72" t="s">
        <v>168</v>
      </c>
      <c r="EA72" s="22">
        <v>43083.486793981479</v>
      </c>
      <c r="EB72" t="s">
        <v>1641</v>
      </c>
      <c r="EC72" t="s">
        <v>1942</v>
      </c>
    </row>
    <row r="73" spans="1:133" x14ac:dyDescent="0.4">
      <c r="A73" s="30"/>
      <c r="B73" s="22">
        <v>42956.647916666669</v>
      </c>
      <c r="C73" s="22" t="s">
        <v>1621</v>
      </c>
      <c r="D73" s="30" t="s">
        <v>477</v>
      </c>
      <c r="E73" s="30" t="s">
        <v>578</v>
      </c>
      <c r="F73" s="30" t="s">
        <v>169</v>
      </c>
      <c r="G73" s="30" t="s">
        <v>171</v>
      </c>
      <c r="H73" t="s">
        <v>94</v>
      </c>
      <c r="I73" t="s">
        <v>1630</v>
      </c>
      <c r="J73" t="s">
        <v>604</v>
      </c>
      <c r="K73" s="22">
        <v>43082.669189814813</v>
      </c>
      <c r="L73">
        <v>1</v>
      </c>
      <c r="M73" s="26">
        <v>4.05</v>
      </c>
      <c r="N73" t="s">
        <v>309</v>
      </c>
      <c r="Q73" s="29" t="s">
        <v>13</v>
      </c>
      <c r="R73" s="29" t="str">
        <f>IFERROR(MID(RADataTable[[#This Row],[RAtemplate]],1,LEN(RADataTable[[#This Row],[RAtemplate]])-8),"RA") &amp; " " &amp; RADataTable[[#This Row],[prop_id0]] &amp; " " &amp; RADataTable[[#This Row],[last0]]</f>
        <v>RA 1755881 San</v>
      </c>
      <c r="U73" s="21" t="str">
        <f>IF(signer1="PD",IF(ISBLANK(RADataTable[[#This Row],[sign_blck_name]]),"",RADataTable[[#This Row],[sign_blck_name]]),IF(ISBLANK(signer1),"",signer1))</f>
        <v>Jack Snoeyink</v>
      </c>
      <c r="V73" s="29" t="str">
        <f t="shared" si="2"/>
        <v>Cognizant Program Director</v>
      </c>
      <c r="W73" s="15" t="str">
        <f>HYPERLINK("https://www.ejacket.nsf.gov/ej/showProposal.do?Continue=Y&amp;ID="&amp;RADataTable[[#This Row],[prop_id0]],"eJ")</f>
        <v>eJ</v>
      </c>
      <c r="X73" s="15" t="str">
        <f>HYPERLINK("mailto:"&amp;RADataTable[[#This Row],[email]]&amp;"&amp;subject=Your NSF Proposal:  "&amp;RADataTable[[#This Row],[Div]]&amp;" "&amp;RADataTable[[#This Row],[prop_id0]], RADataTable[[#This Row],[email]])</f>
        <v>osan@okstate.edu</v>
      </c>
      <c r="Y73" s="15" t="str">
        <f>HYPERLINK("mailto:"&amp;RADataTable[[#This Row],[allPIemail]]&amp;"&amp;subject=NSF Proposal:  "&amp;RADataTable[[#This Row],[Div]]&amp;" "&amp;RADataTable[[#This Row],[prop_id0]], "PIs@")</f>
        <v>PIs@</v>
      </c>
      <c r="Z73" t="s">
        <v>478</v>
      </c>
      <c r="AA73" t="s">
        <v>1201</v>
      </c>
      <c r="AB73">
        <v>3</v>
      </c>
      <c r="AC73">
        <v>3</v>
      </c>
      <c r="AD73"/>
      <c r="AE73" s="21" t="str">
        <f>IF(RADataTable[[#This Row],[maxScore]]-RADataTable[[#This Row],[minScore]]&gt;4,"Y","")</f>
        <v>Y</v>
      </c>
      <c r="AF73" s="21">
        <v>3</v>
      </c>
      <c r="AG73" s="26">
        <v>5.333333333333333</v>
      </c>
      <c r="AH73">
        <v>8</v>
      </c>
      <c r="AI73" t="s">
        <v>1673</v>
      </c>
      <c r="AJ73" s="30">
        <v>43031.741666666669</v>
      </c>
      <c r="AK73" s="13">
        <v>170144</v>
      </c>
      <c r="AL73" s="13">
        <v>170144</v>
      </c>
      <c r="AM73">
        <v>0</v>
      </c>
      <c r="AN73" s="30">
        <v>43252</v>
      </c>
      <c r="AO73" s="21">
        <v>24</v>
      </c>
      <c r="AP73" s="21" t="s">
        <v>1674</v>
      </c>
      <c r="AS73" s="30"/>
      <c r="AT73" t="s">
        <v>605</v>
      </c>
      <c r="AU73" s="21" t="s">
        <v>546</v>
      </c>
      <c r="AV73" s="21">
        <v>5</v>
      </c>
      <c r="AW73" s="21" t="s">
        <v>1847</v>
      </c>
      <c r="AX73" s="30">
        <v>43032</v>
      </c>
      <c r="AY73" s="21" t="s">
        <v>1959</v>
      </c>
      <c r="AZ73" s="21" t="s">
        <v>1849</v>
      </c>
      <c r="BA73" s="21">
        <v>14</v>
      </c>
      <c r="BG73" s="30"/>
      <c r="BP73" s="30"/>
      <c r="BU73" t="s">
        <v>1201</v>
      </c>
      <c r="BV73" s="21" t="s">
        <v>1202</v>
      </c>
      <c r="BW73" s="21" t="s">
        <v>1671</v>
      </c>
      <c r="BX73" s="21" t="s">
        <v>1672</v>
      </c>
      <c r="BY73" s="31">
        <v>170144</v>
      </c>
      <c r="BZ73" s="31">
        <v>170144</v>
      </c>
      <c r="CA73" t="s">
        <v>1670</v>
      </c>
      <c r="CF73" s="31"/>
      <c r="CG73" s="31"/>
      <c r="CM73" s="31"/>
      <c r="CN73" s="31"/>
      <c r="CT73" s="31"/>
      <c r="CU73" s="31"/>
      <c r="CV73" s="31"/>
      <c r="DA73" s="31"/>
      <c r="DB73" s="31"/>
      <c r="DC73" s="31"/>
      <c r="DH73" s="31"/>
      <c r="DI73" s="31"/>
      <c r="DO73" s="31"/>
      <c r="DP73" s="31"/>
      <c r="DR73" t="s">
        <v>1936</v>
      </c>
      <c r="DS73" t="s">
        <v>479</v>
      </c>
      <c r="DT73" t="s">
        <v>579</v>
      </c>
      <c r="DU73" s="29" t="s">
        <v>1851</v>
      </c>
      <c r="DV73" t="s">
        <v>172</v>
      </c>
      <c r="DW73" t="s">
        <v>327</v>
      </c>
      <c r="DX73" t="s">
        <v>170</v>
      </c>
      <c r="DY73" t="s">
        <v>167</v>
      </c>
      <c r="DZ73" t="s">
        <v>168</v>
      </c>
      <c r="EA73" s="22">
        <v>43083.486793981479</v>
      </c>
      <c r="EB73" t="s">
        <v>1675</v>
      </c>
      <c r="EC73" t="s">
        <v>1960</v>
      </c>
    </row>
    <row r="74" spans="1:133" x14ac:dyDescent="0.4">
      <c r="A74" s="30"/>
      <c r="B74" s="22">
        <v>42956.697222222225</v>
      </c>
      <c r="C74" s="22" t="s">
        <v>1621</v>
      </c>
      <c r="D74" s="30" t="s">
        <v>477</v>
      </c>
      <c r="E74" s="30" t="s">
        <v>578</v>
      </c>
      <c r="F74" s="30" t="s">
        <v>169</v>
      </c>
      <c r="G74" s="30" t="s">
        <v>171</v>
      </c>
      <c r="H74" t="s">
        <v>94</v>
      </c>
      <c r="I74" t="s">
        <v>1630</v>
      </c>
      <c r="J74" t="s">
        <v>604</v>
      </c>
      <c r="K74" s="22">
        <v>43076.608877314815</v>
      </c>
      <c r="L74">
        <v>1</v>
      </c>
      <c r="M74" s="26">
        <v>4.05</v>
      </c>
      <c r="N74" t="s">
        <v>309</v>
      </c>
      <c r="Q74" s="29" t="s">
        <v>13</v>
      </c>
      <c r="R74" s="29" t="str">
        <f>IFERROR(MID(RADataTable[[#This Row],[RAtemplate]],1,LEN(RADataTable[[#This Row],[RAtemplate]])-8),"RA") &amp; " " &amp; RADataTable[[#This Row],[prop_id0]] &amp; " " &amp; RADataTable[[#This Row],[last0]]</f>
        <v>RA 1755954 Hajimirza</v>
      </c>
      <c r="U74" s="21" t="str">
        <f>IF(signer1="PD",IF(ISBLANK(RADataTable[[#This Row],[sign_blck_name]]),"",RADataTable[[#This Row],[sign_blck_name]]),IF(ISBLANK(signer1),"",signer1))</f>
        <v>Jack Snoeyink</v>
      </c>
      <c r="V74" s="29" t="str">
        <f t="shared" si="2"/>
        <v>Cognizant Program Director</v>
      </c>
      <c r="W74" s="15" t="str">
        <f>HYPERLINK("https://www.ejacket.nsf.gov/ej/showProposal.do?Continue=Y&amp;ID="&amp;RADataTable[[#This Row],[prop_id0]],"eJ")</f>
        <v>eJ</v>
      </c>
      <c r="X74" s="15" t="str">
        <f>HYPERLINK("mailto:"&amp;RADataTable[[#This Row],[email]]&amp;"&amp;subject=Your NSF Proposal:  "&amp;RADataTable[[#This Row],[Div]]&amp;" "&amp;RADataTable[[#This Row],[prop_id0]], RADataTable[[#This Row],[email]])</f>
        <v>shima.hm@tamu.edu</v>
      </c>
      <c r="Y74" s="15" t="str">
        <f>HYPERLINK("mailto:"&amp;RADataTable[[#This Row],[allPIemail]]&amp;"&amp;subject=NSF Proposal:  "&amp;RADataTable[[#This Row],[Div]]&amp;" "&amp;RADataTable[[#This Row],[prop_id0]], "PIs@")</f>
        <v>PIs@</v>
      </c>
      <c r="Z74" t="s">
        <v>478</v>
      </c>
      <c r="AA74" t="s">
        <v>1232</v>
      </c>
      <c r="AB74">
        <v>3</v>
      </c>
      <c r="AC74">
        <v>3</v>
      </c>
      <c r="AD74"/>
      <c r="AE74" s="21" t="str">
        <f>IF(RADataTable[[#This Row],[maxScore]]-RADataTable[[#This Row],[minScore]]&gt;4,"Y","")</f>
        <v/>
      </c>
      <c r="AF74" s="21">
        <v>4</v>
      </c>
      <c r="AG74" s="26">
        <v>5.333333333333333</v>
      </c>
      <c r="AH74">
        <v>7</v>
      </c>
      <c r="AI74" t="s">
        <v>1691</v>
      </c>
      <c r="AJ74" s="30">
        <v>43032.675694444442</v>
      </c>
      <c r="AK74" s="13">
        <v>175000</v>
      </c>
      <c r="AL74" s="13">
        <v>175000</v>
      </c>
      <c r="AM74">
        <v>0</v>
      </c>
      <c r="AN74" s="30">
        <v>43252</v>
      </c>
      <c r="AO74" s="21">
        <v>24</v>
      </c>
      <c r="AP74" s="21" t="s">
        <v>1692</v>
      </c>
      <c r="AS74" s="30"/>
      <c r="AT74" t="s">
        <v>605</v>
      </c>
      <c r="AU74" s="21" t="s">
        <v>546</v>
      </c>
      <c r="AV74" s="21">
        <v>5</v>
      </c>
      <c r="AW74" s="21" t="s">
        <v>1847</v>
      </c>
      <c r="AX74" s="30">
        <v>43032</v>
      </c>
      <c r="AY74" s="21" t="s">
        <v>1966</v>
      </c>
      <c r="AZ74" s="21" t="s">
        <v>1849</v>
      </c>
      <c r="BA74" s="21">
        <v>14</v>
      </c>
      <c r="BG74" s="30"/>
      <c r="BP74" s="30"/>
      <c r="BU74" t="s">
        <v>1232</v>
      </c>
      <c r="BV74" s="21" t="s">
        <v>1233</v>
      </c>
      <c r="BW74" s="21" t="s">
        <v>1689</v>
      </c>
      <c r="BX74" s="21" t="s">
        <v>1690</v>
      </c>
      <c r="BY74" s="31">
        <v>175000</v>
      </c>
      <c r="BZ74" s="31">
        <v>175000</v>
      </c>
      <c r="CA74" t="s">
        <v>1665</v>
      </c>
      <c r="CF74" s="31"/>
      <c r="CG74" s="31"/>
      <c r="CM74" s="31"/>
      <c r="CN74" s="31"/>
      <c r="CT74" s="31"/>
      <c r="CU74" s="31"/>
      <c r="CV74" s="31"/>
      <c r="DA74" s="31"/>
      <c r="DB74" s="31"/>
      <c r="DC74" s="31"/>
      <c r="DH74" s="31"/>
      <c r="DI74" s="31"/>
      <c r="DO74" s="31"/>
      <c r="DP74" s="31"/>
      <c r="DR74" t="s">
        <v>1936</v>
      </c>
      <c r="DS74" t="s">
        <v>479</v>
      </c>
      <c r="DT74" t="s">
        <v>579</v>
      </c>
      <c r="DU74" s="29" t="s">
        <v>1851</v>
      </c>
      <c r="DV74" t="s">
        <v>172</v>
      </c>
      <c r="DW74" t="s">
        <v>327</v>
      </c>
      <c r="DX74" t="s">
        <v>170</v>
      </c>
      <c r="DY74" t="s">
        <v>167</v>
      </c>
      <c r="DZ74" t="s">
        <v>168</v>
      </c>
      <c r="EA74" s="22">
        <v>43083.486793981479</v>
      </c>
      <c r="EB74" t="s">
        <v>1693</v>
      </c>
      <c r="EC74" t="s">
        <v>1967</v>
      </c>
    </row>
    <row r="75" spans="1:133" x14ac:dyDescent="0.4">
      <c r="A75" s="30"/>
      <c r="B75" s="22">
        <v>42956.717361111114</v>
      </c>
      <c r="C75" s="22" t="s">
        <v>1621</v>
      </c>
      <c r="D75" s="30" t="s">
        <v>477</v>
      </c>
      <c r="E75" s="30" t="s">
        <v>578</v>
      </c>
      <c r="F75" s="30" t="s">
        <v>169</v>
      </c>
      <c r="G75" s="30" t="s">
        <v>171</v>
      </c>
      <c r="H75" t="s">
        <v>94</v>
      </c>
      <c r="I75" t="s">
        <v>1630</v>
      </c>
      <c r="J75" t="s">
        <v>604</v>
      </c>
      <c r="K75" s="22">
        <v>43076.608923611115</v>
      </c>
      <c r="L75">
        <v>1</v>
      </c>
      <c r="M75" s="26">
        <v>4.05</v>
      </c>
      <c r="N75" t="s">
        <v>309</v>
      </c>
      <c r="Q75" s="29" t="s">
        <v>13</v>
      </c>
      <c r="R75" s="29" t="str">
        <f>IFERROR(MID(RADataTable[[#This Row],[RAtemplate]],1,LEN(RADataTable[[#This Row],[RAtemplate]])-8),"RA") &amp; " " &amp; RADataTable[[#This Row],[prop_id0]] &amp; " " &amp; RADataTable[[#This Row],[last0]]</f>
        <v>RA 1755978 Gangammanavar</v>
      </c>
      <c r="U75" s="21" t="str">
        <f>IF(signer1="PD",IF(ISBLANK(RADataTable[[#This Row],[sign_blck_name]]),"",RADataTable[[#This Row],[sign_blck_name]]),IF(ISBLANK(signer1),"",signer1))</f>
        <v>Jack Snoeyink</v>
      </c>
      <c r="V75" s="29" t="str">
        <f t="shared" si="2"/>
        <v>Cognizant Program Director</v>
      </c>
      <c r="W75" s="15" t="str">
        <f>HYPERLINK("https://www.ejacket.nsf.gov/ej/showProposal.do?Continue=Y&amp;ID="&amp;RADataTable[[#This Row],[prop_id0]],"eJ")</f>
        <v>eJ</v>
      </c>
      <c r="X75" s="15" t="str">
        <f>HYPERLINK("mailto:"&amp;RADataTable[[#This Row],[email]]&amp;"&amp;subject=Your NSF Proposal:  "&amp;RADataTable[[#This Row],[Div]]&amp;" "&amp;RADataTable[[#This Row],[prop_id0]], RADataTable[[#This Row],[email]])</f>
        <v>harsha@smu.edu</v>
      </c>
      <c r="Y75" s="15" t="str">
        <f>HYPERLINK("mailto:"&amp;RADataTable[[#This Row],[allPIemail]]&amp;"&amp;subject=NSF Proposal:  "&amp;RADataTable[[#This Row],[Div]]&amp;" "&amp;RADataTable[[#This Row],[prop_id0]], "PIs@")</f>
        <v>PIs@</v>
      </c>
      <c r="Z75" t="s">
        <v>478</v>
      </c>
      <c r="AA75" t="s">
        <v>1247</v>
      </c>
      <c r="AB75">
        <v>3</v>
      </c>
      <c r="AC75">
        <v>3</v>
      </c>
      <c r="AD75"/>
      <c r="AE75" s="21" t="str">
        <f>IF(RADataTable[[#This Row],[maxScore]]-RADataTable[[#This Row],[minScore]]&gt;4,"Y","")</f>
        <v/>
      </c>
      <c r="AF75" s="21">
        <v>3</v>
      </c>
      <c r="AG75" s="26">
        <v>4.666666666666667</v>
      </c>
      <c r="AH75">
        <v>6</v>
      </c>
      <c r="AI75" t="s">
        <v>1697</v>
      </c>
      <c r="AJ75" s="30">
        <v>43031.75</v>
      </c>
      <c r="AK75" s="13">
        <v>175000</v>
      </c>
      <c r="AL75" s="13">
        <v>175000</v>
      </c>
      <c r="AM75">
        <v>0</v>
      </c>
      <c r="AN75" s="30">
        <v>43101</v>
      </c>
      <c r="AO75" s="21">
        <v>24</v>
      </c>
      <c r="AP75" s="21" t="s">
        <v>1698</v>
      </c>
      <c r="AS75" s="30"/>
      <c r="AT75" t="s">
        <v>605</v>
      </c>
      <c r="AU75" s="21" t="s">
        <v>546</v>
      </c>
      <c r="AV75" s="21">
        <v>5</v>
      </c>
      <c r="AW75" s="21" t="s">
        <v>1847</v>
      </c>
      <c r="AX75" s="30">
        <v>43032</v>
      </c>
      <c r="AY75" s="21" t="s">
        <v>1968</v>
      </c>
      <c r="AZ75" s="21" t="s">
        <v>1849</v>
      </c>
      <c r="BA75" s="21">
        <v>14</v>
      </c>
      <c r="BG75" s="30"/>
      <c r="BP75" s="30"/>
      <c r="BU75" t="s">
        <v>1247</v>
      </c>
      <c r="BV75" s="21" t="s">
        <v>1248</v>
      </c>
      <c r="BW75" s="21" t="s">
        <v>1695</v>
      </c>
      <c r="BX75" s="21" t="s">
        <v>1696</v>
      </c>
      <c r="BY75" s="31">
        <v>175000</v>
      </c>
      <c r="BZ75" s="31">
        <v>175000</v>
      </c>
      <c r="CA75" t="s">
        <v>598</v>
      </c>
      <c r="CF75" s="31"/>
      <c r="CG75" s="31"/>
      <c r="CM75" s="31"/>
      <c r="CN75" s="31"/>
      <c r="CT75" s="31"/>
      <c r="CU75" s="31"/>
      <c r="CV75" s="31"/>
      <c r="DA75" s="31"/>
      <c r="DB75" s="31"/>
      <c r="DC75" s="31"/>
      <c r="DH75" s="31"/>
      <c r="DI75" s="31"/>
      <c r="DO75" s="31"/>
      <c r="DP75" s="31"/>
      <c r="DR75" t="s">
        <v>1936</v>
      </c>
      <c r="DS75" t="s">
        <v>479</v>
      </c>
      <c r="DT75" t="s">
        <v>579</v>
      </c>
      <c r="DU75" s="29" t="s">
        <v>1851</v>
      </c>
      <c r="DV75" t="s">
        <v>172</v>
      </c>
      <c r="DW75" t="s">
        <v>327</v>
      </c>
      <c r="DX75" t="s">
        <v>170</v>
      </c>
      <c r="DY75" t="s">
        <v>167</v>
      </c>
      <c r="DZ75" t="s">
        <v>168</v>
      </c>
      <c r="EA75" s="22">
        <v>43083.486793981479</v>
      </c>
      <c r="EB75" t="s">
        <v>1699</v>
      </c>
      <c r="EC75" t="s">
        <v>1969</v>
      </c>
    </row>
    <row r="76" spans="1:133" x14ac:dyDescent="0.4">
      <c r="A76" s="30"/>
      <c r="B76" s="22">
        <v>43005.743750000001</v>
      </c>
      <c r="C76" s="22" t="s">
        <v>524</v>
      </c>
      <c r="D76" s="30" t="s">
        <v>477</v>
      </c>
      <c r="E76" s="30" t="s">
        <v>582</v>
      </c>
      <c r="F76" s="30" t="s">
        <v>169</v>
      </c>
      <c r="G76" s="30" t="s">
        <v>171</v>
      </c>
      <c r="H76" t="s">
        <v>94</v>
      </c>
      <c r="I76" t="s">
        <v>525</v>
      </c>
      <c r="J76" t="s">
        <v>611</v>
      </c>
      <c r="K76" s="22">
        <v>43082.530312499999</v>
      </c>
      <c r="L76">
        <v>1</v>
      </c>
      <c r="M76" s="26">
        <v>4.17</v>
      </c>
      <c r="N76" t="s">
        <v>309</v>
      </c>
      <c r="Q76" s="29" t="s">
        <v>13</v>
      </c>
      <c r="R76" s="29" t="str">
        <f>IFERROR(MID(RADataTable[[#This Row],[RAtemplate]],1,LEN(RADataTable[[#This Row],[RAtemplate]])-8),"RA") &amp; " " &amp; RADataTable[[#This Row],[prop_id0]] &amp; " " &amp; RADataTable[[#This Row],[last0]]</f>
        <v>RA 1764063 Wu</v>
      </c>
      <c r="U76" s="21" t="str">
        <f>IF(signer1="PD",IF(ISBLANK(RADataTable[[#This Row],[sign_blck_name]]),"",RADataTable[[#This Row],[sign_blck_name]]),IF(ISBLANK(signer1),"",signer1))</f>
        <v>Tracy J. Kimbrel</v>
      </c>
      <c r="V76" s="29" t="str">
        <f t="shared" si="2"/>
        <v>Cognizant Program Director</v>
      </c>
      <c r="W76" s="15" t="str">
        <f>HYPERLINK("https://www.ejacket.nsf.gov/ej/showProposal.do?Continue=Y&amp;ID="&amp;RADataTable[[#This Row],[prop_id0]],"eJ")</f>
        <v>eJ</v>
      </c>
      <c r="X76" s="15" t="str">
        <f>HYPERLINK("mailto:"&amp;RADataTable[[#This Row],[email]]&amp;"&amp;subject=Your NSF Proposal:  "&amp;RADataTable[[#This Row],[Div]]&amp;" "&amp;RADataTable[[#This Row],[prop_id0]], RADataTable[[#This Row],[email]])</f>
        <v>wbwu@galton.uchicago.edu</v>
      </c>
      <c r="Y76" s="15" t="str">
        <f>HYPERLINK("mailto:"&amp;RADataTable[[#This Row],[allPIemail]]&amp;"&amp;subject=NSF Proposal:  "&amp;RADataTable[[#This Row],[Div]]&amp;" "&amp;RADataTable[[#This Row],[prop_id0]], "PIs@")</f>
        <v>PIs@</v>
      </c>
      <c r="Z76" t="s">
        <v>478</v>
      </c>
      <c r="AA76" t="s">
        <v>1420</v>
      </c>
      <c r="AB76">
        <v>4</v>
      </c>
      <c r="AC76">
        <v>4</v>
      </c>
      <c r="AD76"/>
      <c r="AE76" s="21" t="str">
        <f>IF(RADataTable[[#This Row],[maxScore]]-RADataTable[[#This Row],[minScore]]&gt;4,"Y","")</f>
        <v/>
      </c>
      <c r="AF76" s="21">
        <v>3</v>
      </c>
      <c r="AG76" s="26">
        <v>4</v>
      </c>
      <c r="AH76">
        <v>5</v>
      </c>
      <c r="AI76" t="s">
        <v>1840</v>
      </c>
      <c r="AJ76" s="30">
        <v>43081.243055555555</v>
      </c>
      <c r="AK76" s="13">
        <v>798099</v>
      </c>
      <c r="AL76" s="13">
        <v>798099</v>
      </c>
      <c r="AM76">
        <v>0</v>
      </c>
      <c r="AN76" s="30">
        <v>43282</v>
      </c>
      <c r="AO76" s="21">
        <v>48</v>
      </c>
      <c r="AP76" s="21" t="s">
        <v>1841</v>
      </c>
      <c r="AS76" s="30"/>
      <c r="AT76" t="s">
        <v>1262</v>
      </c>
      <c r="AU76" s="21" t="s">
        <v>546</v>
      </c>
      <c r="AV76" s="21">
        <v>17</v>
      </c>
      <c r="AW76" s="21" t="s">
        <v>1971</v>
      </c>
      <c r="AX76" s="30">
        <v>43081</v>
      </c>
      <c r="AY76" s="21" t="s">
        <v>2002</v>
      </c>
      <c r="AZ76" s="21" t="s">
        <v>1973</v>
      </c>
      <c r="BA76" s="21">
        <v>9</v>
      </c>
      <c r="BG76" s="30"/>
      <c r="BP76" s="30"/>
      <c r="BU76" t="s">
        <v>1420</v>
      </c>
      <c r="BV76" s="21" t="s">
        <v>1421</v>
      </c>
      <c r="BW76" s="21" t="s">
        <v>1838</v>
      </c>
      <c r="BX76" s="21" t="s">
        <v>1839</v>
      </c>
      <c r="BY76" s="31">
        <v>399414</v>
      </c>
      <c r="BZ76" s="31">
        <v>399414</v>
      </c>
      <c r="CA76" t="s">
        <v>1704</v>
      </c>
      <c r="CB76" s="21" t="s">
        <v>1843</v>
      </c>
      <c r="CC76" s="21" t="s">
        <v>1352</v>
      </c>
      <c r="CD76" s="21" t="s">
        <v>1844</v>
      </c>
      <c r="CE76" s="21" t="s">
        <v>1845</v>
      </c>
      <c r="CF76" s="31">
        <v>398685</v>
      </c>
      <c r="CG76" s="31">
        <v>398685</v>
      </c>
      <c r="CH76" t="s">
        <v>1704</v>
      </c>
      <c r="CM76" s="31"/>
      <c r="CN76" s="31"/>
      <c r="CT76" s="31"/>
      <c r="CU76" s="31"/>
      <c r="CV76" s="31"/>
      <c r="DA76" s="31"/>
      <c r="DB76" s="31"/>
      <c r="DC76" s="31"/>
      <c r="DH76" s="31"/>
      <c r="DI76" s="31"/>
      <c r="DO76" s="31"/>
      <c r="DP76" s="31"/>
      <c r="DR76" t="s">
        <v>529</v>
      </c>
      <c r="DS76" t="s">
        <v>479</v>
      </c>
      <c r="DT76" t="s">
        <v>583</v>
      </c>
      <c r="DU76" s="29" t="s">
        <v>1869</v>
      </c>
      <c r="DV76" t="s">
        <v>172</v>
      </c>
      <c r="DW76" t="s">
        <v>327</v>
      </c>
      <c r="DX76" t="s">
        <v>170</v>
      </c>
      <c r="DY76" t="s">
        <v>167</v>
      </c>
      <c r="DZ76" t="s">
        <v>168</v>
      </c>
      <c r="EA76" s="22">
        <v>43083.486793981479</v>
      </c>
      <c r="EB76" t="s">
        <v>1842</v>
      </c>
      <c r="EC76" t="s">
        <v>2003</v>
      </c>
    </row>
    <row r="77" spans="1:133" x14ac:dyDescent="0.4">
      <c r="A77" s="30"/>
      <c r="B77" s="22">
        <v>42935.654166666667</v>
      </c>
      <c r="C77" s="22" t="s">
        <v>1430</v>
      </c>
      <c r="D77" s="30" t="s">
        <v>477</v>
      </c>
      <c r="E77" s="30" t="s">
        <v>582</v>
      </c>
      <c r="F77" s="30" t="s">
        <v>169</v>
      </c>
      <c r="G77" s="30" t="s">
        <v>171</v>
      </c>
      <c r="H77" t="s">
        <v>94</v>
      </c>
      <c r="I77" t="s">
        <v>1431</v>
      </c>
      <c r="J77" t="s">
        <v>611</v>
      </c>
      <c r="K77" s="22">
        <v>43082.669247685182</v>
      </c>
      <c r="L77">
        <v>1</v>
      </c>
      <c r="M77" s="26">
        <v>4.18</v>
      </c>
      <c r="N77" t="s">
        <v>309</v>
      </c>
      <c r="Q77" s="29" t="s">
        <v>13</v>
      </c>
      <c r="R77" s="29" t="str">
        <f>IFERROR(MID(RADataTable[[#This Row],[RAtemplate]],1,LEN(RADataTable[[#This Row],[RAtemplate]])-8),"RA") &amp; " " &amp; RADataTable[[#This Row],[prop_id0]] &amp; " " &amp; RADataTable[[#This Row],[last0]]</f>
        <v>RA 1750893 Xie</v>
      </c>
      <c r="U77" s="21" t="str">
        <f>IF(signer1="PD",IF(ISBLANK(RADataTable[[#This Row],[sign_blck_name]]),"",RADataTable[[#This Row],[sign_blck_name]]),IF(ISBLANK(signer1),"",signer1))</f>
        <v>Tracy J. Kimbrel</v>
      </c>
      <c r="V77" s="29" t="str">
        <f t="shared" si="2"/>
        <v>Cognizant Program Director</v>
      </c>
      <c r="W77" s="15" t="str">
        <f>HYPERLINK("https://www.ejacket.nsf.gov/ej/showProposal.do?Continue=Y&amp;ID="&amp;RADataTable[[#This Row],[prop_id0]],"eJ")</f>
        <v>eJ</v>
      </c>
      <c r="X77" s="15" t="str">
        <f>HYPERLINK("mailto:"&amp;RADataTable[[#This Row],[email]]&amp;"&amp;subject=Your NSF Proposal:  "&amp;RADataTable[[#This Row],[Div]]&amp;" "&amp;RADataTable[[#This Row],[prop_id0]], RADataTable[[#This Row],[email]])</f>
        <v>nxie@cs.fiu.edu</v>
      </c>
      <c r="Y77" s="15" t="str">
        <f>HYPERLINK("mailto:"&amp;RADataTable[[#This Row],[allPIemail]]&amp;"&amp;subject=NSF Proposal:  "&amp;RADataTable[[#This Row],[Div]]&amp;" "&amp;RADataTable[[#This Row],[prop_id0]], "PIs@")</f>
        <v>PIs@</v>
      </c>
      <c r="Z77" t="s">
        <v>478</v>
      </c>
      <c r="AA77" t="s">
        <v>992</v>
      </c>
      <c r="AB77">
        <v>4</v>
      </c>
      <c r="AC77">
        <v>4</v>
      </c>
      <c r="AD77"/>
      <c r="AE77" s="21" t="str">
        <f>IF(RADataTable[[#This Row],[maxScore]]-RADataTable[[#This Row],[minScore]]&gt;4,"Y","")</f>
        <v/>
      </c>
      <c r="AF77" s="21">
        <v>3</v>
      </c>
      <c r="AG77" s="26">
        <v>3.5</v>
      </c>
      <c r="AH77">
        <v>5</v>
      </c>
      <c r="AI77" t="s">
        <v>1579</v>
      </c>
      <c r="AJ77" s="30">
        <v>43059.477083333331</v>
      </c>
      <c r="AK77" s="13">
        <v>520820</v>
      </c>
      <c r="AL77" s="13">
        <v>520820</v>
      </c>
      <c r="AM77">
        <v>0</v>
      </c>
      <c r="AN77" s="30">
        <v>43221</v>
      </c>
      <c r="AO77" s="21">
        <v>60</v>
      </c>
      <c r="AP77" s="21" t="s">
        <v>1580</v>
      </c>
      <c r="AQ77">
        <v>1</v>
      </c>
      <c r="AR77" t="s">
        <v>1917</v>
      </c>
      <c r="AS77" s="30">
        <v>43054.683333333334</v>
      </c>
      <c r="AT77" t="s">
        <v>714</v>
      </c>
      <c r="AU77" s="21" t="s">
        <v>546</v>
      </c>
      <c r="AV77" s="21">
        <v>18</v>
      </c>
      <c r="AW77" s="21" t="s">
        <v>1866</v>
      </c>
      <c r="AX77" s="30">
        <v>43060</v>
      </c>
      <c r="AY77" s="21" t="s">
        <v>1918</v>
      </c>
      <c r="AZ77" s="21" t="s">
        <v>1868</v>
      </c>
      <c r="BA77" s="21">
        <v>12</v>
      </c>
      <c r="BB77" s="21">
        <v>1</v>
      </c>
      <c r="BG77" s="30"/>
      <c r="BP77" s="30"/>
      <c r="BU77" t="s">
        <v>992</v>
      </c>
      <c r="BV77" s="21" t="s">
        <v>993</v>
      </c>
      <c r="BW77" s="21" t="s">
        <v>1577</v>
      </c>
      <c r="BX77" s="21" t="s">
        <v>1578</v>
      </c>
      <c r="BY77" s="31">
        <v>520820</v>
      </c>
      <c r="BZ77" s="31">
        <v>520820</v>
      </c>
      <c r="CA77" t="s">
        <v>1469</v>
      </c>
      <c r="CF77" s="31"/>
      <c r="CG77" s="31"/>
      <c r="CM77" s="31"/>
      <c r="CN77" s="31"/>
      <c r="CT77" s="31"/>
      <c r="CU77" s="31"/>
      <c r="CV77" s="31"/>
      <c r="DA77" s="31"/>
      <c r="DB77" s="31"/>
      <c r="DC77" s="31"/>
      <c r="DH77" s="31"/>
      <c r="DI77" s="31"/>
      <c r="DO77" s="31"/>
      <c r="DP77" s="31"/>
      <c r="DR77" t="s">
        <v>1850</v>
      </c>
      <c r="DS77" t="s">
        <v>479</v>
      </c>
      <c r="DT77" t="s">
        <v>583</v>
      </c>
      <c r="DU77" s="29" t="s">
        <v>1869</v>
      </c>
      <c r="DV77" t="s">
        <v>172</v>
      </c>
      <c r="DW77" t="s">
        <v>327</v>
      </c>
      <c r="DX77" t="s">
        <v>170</v>
      </c>
      <c r="DY77" t="s">
        <v>167</v>
      </c>
      <c r="DZ77" t="s">
        <v>168</v>
      </c>
      <c r="EA77" s="22">
        <v>43083.486793981479</v>
      </c>
      <c r="EB77" t="s">
        <v>1581</v>
      </c>
      <c r="EC77" t="s">
        <v>1919</v>
      </c>
    </row>
    <row r="78" spans="1:133" x14ac:dyDescent="0.4">
      <c r="A78" s="30"/>
      <c r="B78" s="22">
        <v>42930.554166666669</v>
      </c>
      <c r="C78" s="22" t="s">
        <v>1430</v>
      </c>
      <c r="D78" s="30" t="s">
        <v>477</v>
      </c>
      <c r="E78" s="30" t="s">
        <v>582</v>
      </c>
      <c r="F78" s="30" t="s">
        <v>169</v>
      </c>
      <c r="G78" s="30" t="s">
        <v>171</v>
      </c>
      <c r="H78" t="s">
        <v>94</v>
      </c>
      <c r="I78" t="s">
        <v>1431</v>
      </c>
      <c r="J78" t="s">
        <v>604</v>
      </c>
      <c r="K78" s="22">
        <v>43076.608981481484</v>
      </c>
      <c r="L78">
        <v>1</v>
      </c>
      <c r="M78" s="26">
        <v>4.22</v>
      </c>
      <c r="N78" t="s">
        <v>309</v>
      </c>
      <c r="Q78" s="29" t="s">
        <v>13</v>
      </c>
      <c r="R78" s="29" t="str">
        <f>IFERROR(MID(RADataTable[[#This Row],[RAtemplate]],1,LEN(RADataTable[[#This Row],[RAtemplate]])-8),"RA") &amp; " " &amp; RADataTable[[#This Row],[prop_id0]] &amp; " " &amp; RADataTable[[#This Row],[last0]]</f>
        <v>RA 1749173 Borgwardt</v>
      </c>
      <c r="U78" s="21" t="str">
        <f>IF(signer1="PD",IF(ISBLANK(RADataTable[[#This Row],[sign_blck_name]]),"",RADataTable[[#This Row],[sign_blck_name]]),IF(ISBLANK(signer1),"",signer1))</f>
        <v>Jack Snoeyink</v>
      </c>
      <c r="V78" s="29" t="str">
        <f t="shared" si="2"/>
        <v>Cognizant Program Director</v>
      </c>
      <c r="W78" s="15" t="str">
        <f>HYPERLINK("https://www.ejacket.nsf.gov/ej/showProposal.do?Continue=Y&amp;ID="&amp;RADataTable[[#This Row],[prop_id0]],"eJ")</f>
        <v>eJ</v>
      </c>
      <c r="X78" s="15" t="str">
        <f>HYPERLINK("mailto:"&amp;RADataTable[[#This Row],[email]]&amp;"&amp;subject=Your NSF Proposal:  "&amp;RADataTable[[#This Row],[Div]]&amp;" "&amp;RADataTable[[#This Row],[prop_id0]], RADataTable[[#This Row],[email]])</f>
        <v>steffen.borgwardt@ucdenver.edu</v>
      </c>
      <c r="Y78" s="15" t="str">
        <f>HYPERLINK("mailto:"&amp;RADataTable[[#This Row],[allPIemail]]&amp;"&amp;subject=NSF Proposal:  "&amp;RADataTable[[#This Row],[Div]]&amp;" "&amp;RADataTable[[#This Row],[prop_id0]], "PIs@")</f>
        <v>PIs@</v>
      </c>
      <c r="Z78" t="s">
        <v>478</v>
      </c>
      <c r="AA78" t="s">
        <v>602</v>
      </c>
      <c r="AB78">
        <v>4</v>
      </c>
      <c r="AC78">
        <v>4</v>
      </c>
      <c r="AD78"/>
      <c r="AE78" s="21" t="str">
        <f>IF(RADataTable[[#This Row],[maxScore]]-RADataTable[[#This Row],[minScore]]&gt;4,"Y","")</f>
        <v>Y</v>
      </c>
      <c r="AF78" s="21">
        <v>2</v>
      </c>
      <c r="AG78" s="26">
        <v>3.75</v>
      </c>
      <c r="AH78">
        <v>7</v>
      </c>
      <c r="AI78" t="s">
        <v>1436</v>
      </c>
      <c r="AJ78" s="30">
        <v>43031.583333333336</v>
      </c>
      <c r="AK78" s="13">
        <v>470400</v>
      </c>
      <c r="AL78" s="13">
        <v>470400</v>
      </c>
      <c r="AM78">
        <v>0</v>
      </c>
      <c r="AN78" s="30">
        <v>43101</v>
      </c>
      <c r="AO78" s="21">
        <v>60</v>
      </c>
      <c r="AP78" s="21" t="s">
        <v>1437</v>
      </c>
      <c r="AS78" s="30"/>
      <c r="AT78" t="s">
        <v>605</v>
      </c>
      <c r="AU78" s="21" t="s">
        <v>546</v>
      </c>
      <c r="AV78" s="21">
        <v>22</v>
      </c>
      <c r="AW78" s="21" t="s">
        <v>1847</v>
      </c>
      <c r="AX78" s="30">
        <v>43032</v>
      </c>
      <c r="AY78" s="21" t="s">
        <v>1848</v>
      </c>
      <c r="AZ78" s="21" t="s">
        <v>1849</v>
      </c>
      <c r="BA78" s="21">
        <v>14</v>
      </c>
      <c r="BG78" s="30"/>
      <c r="BP78" s="30"/>
      <c r="BU78" t="s">
        <v>602</v>
      </c>
      <c r="BV78" s="21" t="s">
        <v>603</v>
      </c>
      <c r="BW78" s="21" t="s">
        <v>1434</v>
      </c>
      <c r="BX78" s="21" t="s">
        <v>1435</v>
      </c>
      <c r="BY78" s="31">
        <v>470400</v>
      </c>
      <c r="BZ78" s="31">
        <v>470400</v>
      </c>
      <c r="CA78" t="s">
        <v>1432</v>
      </c>
      <c r="CF78" s="31"/>
      <c r="CG78" s="31"/>
      <c r="CM78" s="31"/>
      <c r="CN78" s="31"/>
      <c r="CT78" s="31"/>
      <c r="CU78" s="31"/>
      <c r="CV78" s="31"/>
      <c r="DA78" s="31"/>
      <c r="DB78" s="31"/>
      <c r="DC78" s="31"/>
      <c r="DH78" s="31"/>
      <c r="DI78" s="31"/>
      <c r="DO78" s="31"/>
      <c r="DP78" s="31"/>
      <c r="DR78" t="s">
        <v>1850</v>
      </c>
      <c r="DS78" t="s">
        <v>479</v>
      </c>
      <c r="DT78" t="s">
        <v>583</v>
      </c>
      <c r="DU78" s="29" t="s">
        <v>1851</v>
      </c>
      <c r="DV78" t="s">
        <v>172</v>
      </c>
      <c r="DW78" t="s">
        <v>327</v>
      </c>
      <c r="DX78" t="s">
        <v>170</v>
      </c>
      <c r="DY78" t="s">
        <v>167</v>
      </c>
      <c r="DZ78" t="s">
        <v>168</v>
      </c>
      <c r="EA78" s="22">
        <v>43083.486793981479</v>
      </c>
      <c r="EB78" t="s">
        <v>1438</v>
      </c>
      <c r="EC78" t="s">
        <v>1852</v>
      </c>
    </row>
    <row r="79" spans="1:133" x14ac:dyDescent="0.4">
      <c r="A79" s="30"/>
      <c r="B79" s="22">
        <v>42934.808333333334</v>
      </c>
      <c r="C79" s="22" t="s">
        <v>1430</v>
      </c>
      <c r="D79" s="30" t="s">
        <v>477</v>
      </c>
      <c r="E79" s="30" t="s">
        <v>582</v>
      </c>
      <c r="F79" s="30" t="s">
        <v>169</v>
      </c>
      <c r="G79" s="30" t="s">
        <v>171</v>
      </c>
      <c r="H79" t="s">
        <v>94</v>
      </c>
      <c r="I79" t="s">
        <v>1431</v>
      </c>
      <c r="J79" t="s">
        <v>604</v>
      </c>
      <c r="K79" s="22">
        <v>43076.609027777777</v>
      </c>
      <c r="L79">
        <v>1</v>
      </c>
      <c r="M79" s="26">
        <v>4.22</v>
      </c>
      <c r="N79" t="s">
        <v>309</v>
      </c>
      <c r="Q79" s="29" t="s">
        <v>13</v>
      </c>
      <c r="R79" s="29" t="str">
        <f>IFERROR(MID(RADataTable[[#This Row],[RAtemplate]],1,LEN(RADataTable[[#This Row],[RAtemplate]])-8),"RA") &amp; " " &amp; RADataTable[[#This Row],[prop_id0]] &amp; " " &amp; RADataTable[[#This Row],[last0]]</f>
        <v>RA 1750076 Schroeder</v>
      </c>
      <c r="U79" s="21" t="str">
        <f>IF(signer1="PD",IF(ISBLANK(RADataTable[[#This Row],[sign_blck_name]]),"",RADataTable[[#This Row],[sign_blck_name]]),IF(ISBLANK(signer1),"",signer1))</f>
        <v>Jack Snoeyink</v>
      </c>
      <c r="V79" s="29" t="str">
        <f t="shared" si="2"/>
        <v>Cognizant Program Director</v>
      </c>
      <c r="W79" s="15" t="str">
        <f>HYPERLINK("https://www.ejacket.nsf.gov/ej/showProposal.do?Continue=Y&amp;ID="&amp;RADataTable[[#This Row],[prop_id0]],"eJ")</f>
        <v>eJ</v>
      </c>
      <c r="X79" s="15" t="str">
        <f>HYPERLINK("mailto:"&amp;RADataTable[[#This Row],[email]]&amp;"&amp;subject=Your NSF Proposal:  "&amp;RADataTable[[#This Row],[Div]]&amp;" "&amp;RADataTable[[#This Row],[prop_id0]], RADataTable[[#This Row],[email]])</f>
        <v>craig@ucr.edu</v>
      </c>
      <c r="Y79" s="15" t="str">
        <f>HYPERLINK("mailto:"&amp;RADataTable[[#This Row],[allPIemail]]&amp;"&amp;subject=NSF Proposal:  "&amp;RADataTable[[#This Row],[Div]]&amp;" "&amp;RADataTable[[#This Row],[prop_id0]], "PIs@")</f>
        <v>PIs@</v>
      </c>
      <c r="Z79" t="s">
        <v>478</v>
      </c>
      <c r="AA79" t="s">
        <v>825</v>
      </c>
      <c r="AB79">
        <v>4</v>
      </c>
      <c r="AC79">
        <v>4</v>
      </c>
      <c r="AD79"/>
      <c r="AE79" s="21" t="str">
        <f>IF(RADataTable[[#This Row],[maxScore]]-RADataTable[[#This Row],[minScore]]&gt;4,"Y","")</f>
        <v/>
      </c>
      <c r="AF79" s="21">
        <v>3</v>
      </c>
      <c r="AG79" s="26">
        <v>4</v>
      </c>
      <c r="AH79">
        <v>7</v>
      </c>
      <c r="AI79" t="s">
        <v>1508</v>
      </c>
      <c r="AJ79" s="30">
        <v>43031.584027777775</v>
      </c>
      <c r="AK79" s="13">
        <v>440331</v>
      </c>
      <c r="AL79" s="13">
        <v>440331</v>
      </c>
      <c r="AM79">
        <v>0</v>
      </c>
      <c r="AN79" s="30">
        <v>43101</v>
      </c>
      <c r="AO79" s="21">
        <v>60</v>
      </c>
      <c r="AP79" s="21" t="s">
        <v>1509</v>
      </c>
      <c r="AS79" s="30"/>
      <c r="AT79" t="s">
        <v>605</v>
      </c>
      <c r="AU79" s="21" t="s">
        <v>546</v>
      </c>
      <c r="AV79" s="21">
        <v>22</v>
      </c>
      <c r="AW79" s="21" t="s">
        <v>1847</v>
      </c>
      <c r="AX79" s="30">
        <v>43032</v>
      </c>
      <c r="AY79" s="21" t="s">
        <v>1886</v>
      </c>
      <c r="AZ79" s="21" t="s">
        <v>1849</v>
      </c>
      <c r="BA79" s="21">
        <v>14</v>
      </c>
      <c r="BG79" s="30"/>
      <c r="BP79" s="30"/>
      <c r="BU79" t="s">
        <v>825</v>
      </c>
      <c r="BV79" s="21" t="s">
        <v>826</v>
      </c>
      <c r="BW79" s="21" t="s">
        <v>1506</v>
      </c>
      <c r="BX79" s="21" t="s">
        <v>1507</v>
      </c>
      <c r="BY79" s="31">
        <v>440331</v>
      </c>
      <c r="BZ79" s="31">
        <v>440331</v>
      </c>
      <c r="CA79" t="s">
        <v>1505</v>
      </c>
      <c r="CF79" s="31"/>
      <c r="CG79" s="31"/>
      <c r="CM79" s="31"/>
      <c r="CN79" s="31"/>
      <c r="CT79" s="31"/>
      <c r="CU79" s="31"/>
      <c r="CV79" s="31"/>
      <c r="DA79" s="31"/>
      <c r="DB79" s="31"/>
      <c r="DC79" s="31"/>
      <c r="DH79" s="31"/>
      <c r="DI79" s="31"/>
      <c r="DO79" s="31"/>
      <c r="DP79" s="31"/>
      <c r="DR79" t="s">
        <v>1850</v>
      </c>
      <c r="DS79" t="s">
        <v>479</v>
      </c>
      <c r="DT79" t="s">
        <v>583</v>
      </c>
      <c r="DU79" s="29" t="s">
        <v>1851</v>
      </c>
      <c r="DV79" t="s">
        <v>172</v>
      </c>
      <c r="DW79" t="s">
        <v>327</v>
      </c>
      <c r="DX79" t="s">
        <v>170</v>
      </c>
      <c r="DY79" t="s">
        <v>167</v>
      </c>
      <c r="DZ79" t="s">
        <v>168</v>
      </c>
      <c r="EA79" s="22">
        <v>43083.486793981479</v>
      </c>
      <c r="EB79" t="s">
        <v>1510</v>
      </c>
      <c r="EC79" t="s">
        <v>1887</v>
      </c>
    </row>
  </sheetData>
  <conditionalFormatting sqref="Q2:Q79">
    <cfRule type="expression" dxfId="157" priority="1">
      <formula>LEFT($AI2,1)="E"</formula>
    </cfRule>
  </conditionalFormatting>
  <dataValidations count="1">
    <dataValidation type="list" allowBlank="1" showInputMessage="1" showErrorMessage="1" sqref="O2:O79 Q2:Q79">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65314</xdr:rowOff>
                  </from>
                  <to>
                    <xdr:col>16</xdr:col>
                    <xdr:colOff>898071</xdr:colOff>
                    <xdr:row>0</xdr:row>
                    <xdr:rowOff>326571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AG2:AG79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tabSelected="1" workbookViewId="0">
      <selection activeCell="E14" sqref="E14"/>
    </sheetView>
  </sheetViews>
  <sheetFormatPr defaultRowHeight="14.6" x14ac:dyDescent="0.4"/>
  <cols>
    <col min="1" max="1" width="4" customWidth="1"/>
    <col min="2" max="2" width="10.3828125" style="6" customWidth="1"/>
    <col min="3" max="3" width="16.3046875" customWidth="1"/>
    <col min="4" max="4" width="3.3046875" style="5" customWidth="1"/>
    <col min="5" max="5" width="15.69140625" style="23" customWidth="1"/>
    <col min="6" max="6" width="14.3828125" customWidth="1"/>
    <col min="7" max="7" width="10.69140625" customWidth="1"/>
    <col min="8" max="8" width="8.15234375" customWidth="1"/>
    <col min="9" max="9" width="2.84375" customWidth="1"/>
    <col min="10" max="10" width="24.69140625" customWidth="1"/>
    <col min="11" max="11" width="6.84375" customWidth="1"/>
    <col min="12" max="12" width="9.84375" customWidth="1"/>
    <col min="13" max="13" width="5.69140625" customWidth="1"/>
    <col min="14" max="14" width="12.53515625" style="6" customWidth="1"/>
    <col min="15" max="15" width="4" customWidth="1"/>
    <col min="16" max="16" width="23.3828125" customWidth="1"/>
    <col min="17" max="17" width="12" customWidth="1"/>
    <col min="18" max="18" width="9.3828125" customWidth="1"/>
    <col min="19" max="19" width="10" customWidth="1"/>
    <col min="20" max="20" width="14" customWidth="1"/>
    <col min="21" max="22" width="11.15234375" customWidth="1"/>
    <col min="23" max="23" width="81.15234375" bestFit="1" customWidth="1"/>
    <col min="24" max="24" width="20.53515625" bestFit="1" customWidth="1"/>
    <col min="25" max="25" width="18.3046875" bestFit="1" customWidth="1"/>
    <col min="26" max="26" width="45.84375" bestFit="1" customWidth="1"/>
    <col min="27" max="27" width="36.69140625" bestFit="1" customWidth="1"/>
    <col min="28" max="28" width="10.53515625" bestFit="1" customWidth="1"/>
    <col min="29" max="29" width="9.84375" bestFit="1" customWidth="1"/>
    <col min="30" max="30" width="20.53515625" customWidth="1"/>
    <col min="31" max="31" width="37.15234375" customWidth="1"/>
    <col min="32" max="32" width="19" customWidth="1"/>
    <col min="33" max="33" width="19.15234375" bestFit="1" customWidth="1"/>
    <col min="34" max="34" width="14.53515625" bestFit="1" customWidth="1"/>
    <col min="35" max="35" width="10" bestFit="1" customWidth="1"/>
  </cols>
  <sheetData>
    <row r="1" spans="1:14" ht="16" customHeight="1" x14ac:dyDescent="0.4">
      <c r="A1" s="60" t="s">
        <v>259</v>
      </c>
      <c r="I1" s="3" t="s">
        <v>226</v>
      </c>
      <c r="N1" s="20" t="s">
        <v>102</v>
      </c>
    </row>
    <row r="2" spans="1:14" ht="16" customHeight="1" x14ac:dyDescent="0.4">
      <c r="B2" s="9" t="s">
        <v>485</v>
      </c>
      <c r="I2" s="3" t="s">
        <v>139</v>
      </c>
      <c r="K2" s="29"/>
      <c r="N2" s="19" t="s">
        <v>103</v>
      </c>
    </row>
    <row r="3" spans="1:14" ht="16" customHeight="1" x14ac:dyDescent="0.4">
      <c r="B3" s="9" t="s">
        <v>484</v>
      </c>
      <c r="I3" s="3" t="s">
        <v>140</v>
      </c>
      <c r="K3" s="29"/>
      <c r="N3" s="19" t="s">
        <v>98</v>
      </c>
    </row>
    <row r="4" spans="1:14" ht="16" customHeight="1" x14ac:dyDescent="0.4">
      <c r="B4" s="9" t="s">
        <v>482</v>
      </c>
      <c r="D4" s="16"/>
      <c r="F4" s="4"/>
      <c r="G4" s="29"/>
      <c r="I4" s="3" t="s">
        <v>225</v>
      </c>
      <c r="K4" s="29"/>
      <c r="N4" s="19" t="s">
        <v>104</v>
      </c>
    </row>
    <row r="5" spans="1:14" ht="16" customHeight="1" x14ac:dyDescent="0.4">
      <c r="B5" s="9" t="s">
        <v>483</v>
      </c>
      <c r="C5" s="4"/>
      <c r="F5" s="4"/>
      <c r="G5" s="29"/>
      <c r="I5" s="120" t="s">
        <v>517</v>
      </c>
      <c r="J5" s="121"/>
      <c r="K5" s="29"/>
      <c r="N5" s="19" t="s">
        <v>99</v>
      </c>
    </row>
    <row r="6" spans="1:14" ht="16" customHeight="1" x14ac:dyDescent="0.4">
      <c r="B6" s="9" t="s">
        <v>486</v>
      </c>
      <c r="F6" s="4"/>
      <c r="G6" s="29"/>
      <c r="J6" s="7" t="s">
        <v>2090</v>
      </c>
      <c r="K6" s="30"/>
      <c r="N6" s="19" t="s">
        <v>105</v>
      </c>
    </row>
    <row r="7" spans="1:14" ht="16" customHeight="1" x14ac:dyDescent="0.4">
      <c r="B7" s="9" t="s">
        <v>507</v>
      </c>
      <c r="F7" s="4"/>
      <c r="G7" s="29"/>
      <c r="I7" s="25" t="s">
        <v>518</v>
      </c>
      <c r="J7" s="24"/>
      <c r="K7" s="24"/>
      <c r="N7" s="19" t="s">
        <v>106</v>
      </c>
    </row>
    <row r="8" spans="1:14" ht="16" customHeight="1" x14ac:dyDescent="0.4">
      <c r="B8" s="9" t="s">
        <v>508</v>
      </c>
      <c r="F8" s="4"/>
      <c r="G8" s="43"/>
      <c r="J8" s="7" t="s">
        <v>530</v>
      </c>
      <c r="K8" s="24"/>
      <c r="N8" s="19" t="s">
        <v>100</v>
      </c>
    </row>
    <row r="9" spans="1:14" ht="16" customHeight="1" x14ac:dyDescent="0.4">
      <c r="B9" s="9"/>
      <c r="F9" s="4"/>
      <c r="G9" s="30"/>
      <c r="N9" s="19" t="s">
        <v>107</v>
      </c>
    </row>
    <row r="10" spans="1:14" ht="18.45" x14ac:dyDescent="0.4">
      <c r="B10" s="47"/>
      <c r="C10" s="127" t="s">
        <v>258</v>
      </c>
      <c r="D10" s="127"/>
      <c r="E10" s="127"/>
      <c r="F10" s="48"/>
      <c r="J10" s="25" t="s">
        <v>138</v>
      </c>
      <c r="L10" s="6"/>
      <c r="N10" s="19" t="s">
        <v>108</v>
      </c>
    </row>
    <row r="11" spans="1:14" ht="15.9" x14ac:dyDescent="0.4">
      <c r="B11" s="49"/>
      <c r="C11" s="50" t="s">
        <v>232</v>
      </c>
      <c r="D11" s="50"/>
      <c r="E11" s="50" t="s">
        <v>233</v>
      </c>
      <c r="F11" s="50"/>
      <c r="J11" s="25"/>
      <c r="L11" s="6"/>
      <c r="N11" s="19" t="s">
        <v>96</v>
      </c>
    </row>
    <row r="12" spans="1:14" ht="20.149999999999999" customHeight="1" x14ac:dyDescent="0.4">
      <c r="C12" s="51" t="s">
        <v>234</v>
      </c>
      <c r="D12" s="51"/>
      <c r="E12" s="59" t="s">
        <v>250</v>
      </c>
      <c r="F12" s="52" t="s">
        <v>251</v>
      </c>
      <c r="L12" s="6"/>
      <c r="N12" s="19" t="s">
        <v>109</v>
      </c>
    </row>
    <row r="13" spans="1:14" ht="20.149999999999999" customHeight="1" x14ac:dyDescent="0.4">
      <c r="C13" s="51" t="s">
        <v>245</v>
      </c>
      <c r="D13" s="51"/>
      <c r="E13" s="53" t="s">
        <v>577</v>
      </c>
      <c r="F13" s="54"/>
      <c r="L13" s="6"/>
      <c r="N13" s="19" t="s">
        <v>110</v>
      </c>
    </row>
    <row r="14" spans="1:14" ht="20.149999999999999" customHeight="1" x14ac:dyDescent="0.4">
      <c r="C14" s="51" t="s">
        <v>239</v>
      </c>
      <c r="D14" s="51"/>
      <c r="E14" s="53"/>
      <c r="F14" s="54"/>
      <c r="L14" s="6"/>
      <c r="N14" s="19" t="s">
        <v>111</v>
      </c>
    </row>
    <row r="15" spans="1:14" ht="20.149999999999999" customHeight="1" x14ac:dyDescent="0.4">
      <c r="C15" s="51" t="s">
        <v>235</v>
      </c>
      <c r="D15" s="51"/>
      <c r="E15" s="53" t="s">
        <v>254</v>
      </c>
      <c r="F15" s="54"/>
      <c r="H15" s="21"/>
      <c r="L15" s="6"/>
      <c r="N15" s="19" t="s">
        <v>492</v>
      </c>
    </row>
    <row r="16" spans="1:14" ht="20.149999999999999" customHeight="1" x14ac:dyDescent="0.4">
      <c r="C16" s="51" t="s">
        <v>236</v>
      </c>
      <c r="D16" s="51"/>
      <c r="E16" s="55" t="s">
        <v>253</v>
      </c>
      <c r="F16" s="56"/>
      <c r="H16" s="21"/>
      <c r="L16" s="6"/>
      <c r="N16" s="19" t="s">
        <v>112</v>
      </c>
    </row>
    <row r="17" spans="3:14" ht="20.149999999999999" customHeight="1" x14ac:dyDescent="0.4">
      <c r="C17" s="51" t="s">
        <v>237</v>
      </c>
      <c r="D17" s="51"/>
      <c r="E17" s="53" t="s">
        <v>252</v>
      </c>
      <c r="F17" s="54"/>
      <c r="H17" s="21"/>
      <c r="L17" s="6"/>
      <c r="N17" s="19" t="s">
        <v>113</v>
      </c>
    </row>
    <row r="18" spans="3:14" ht="20.149999999999999" customHeight="1" x14ac:dyDescent="0.4">
      <c r="C18" s="51" t="s">
        <v>238</v>
      </c>
      <c r="D18" s="51"/>
      <c r="E18" s="53" t="s">
        <v>256</v>
      </c>
      <c r="F18" s="54"/>
      <c r="L18" s="6"/>
      <c r="N18" s="19" t="s">
        <v>114</v>
      </c>
    </row>
    <row r="19" spans="3:14" ht="20.149999999999999" customHeight="1" x14ac:dyDescent="0.4">
      <c r="C19" s="51" t="s">
        <v>242</v>
      </c>
      <c r="D19" s="51"/>
      <c r="E19" s="53" t="s">
        <v>257</v>
      </c>
      <c r="F19" s="54"/>
      <c r="L19" s="6"/>
      <c r="N19" s="19" t="s">
        <v>115</v>
      </c>
    </row>
    <row r="20" spans="3:14" ht="20.149999999999999" customHeight="1" x14ac:dyDescent="0.4">
      <c r="C20" s="51" t="s">
        <v>243</v>
      </c>
      <c r="D20" s="51"/>
      <c r="E20" s="53" t="s">
        <v>244</v>
      </c>
      <c r="F20" s="54"/>
      <c r="L20" s="6"/>
      <c r="N20" s="19" t="s">
        <v>116</v>
      </c>
    </row>
    <row r="21" spans="3:14" ht="20.149999999999999" customHeight="1" x14ac:dyDescent="0.4">
      <c r="C21" s="51" t="s">
        <v>246</v>
      </c>
      <c r="D21" s="51"/>
      <c r="E21" s="53" t="s">
        <v>247</v>
      </c>
      <c r="F21" s="54"/>
      <c r="J21" s="23"/>
      <c r="L21" s="6"/>
      <c r="N21" s="19" t="s">
        <v>117</v>
      </c>
    </row>
    <row r="22" spans="3:14" ht="20.149999999999999" customHeight="1" x14ac:dyDescent="0.4">
      <c r="C22" s="51" t="s">
        <v>248</v>
      </c>
      <c r="D22" s="51"/>
      <c r="E22" s="53" t="s">
        <v>249</v>
      </c>
      <c r="F22" s="54"/>
      <c r="J22" s="23"/>
      <c r="L22" s="6"/>
      <c r="N22" s="19" t="s">
        <v>118</v>
      </c>
    </row>
    <row r="23" spans="3:14" ht="20.149999999999999" customHeight="1" x14ac:dyDescent="0.4">
      <c r="C23" s="51" t="s">
        <v>241</v>
      </c>
      <c r="D23" s="57"/>
      <c r="E23" s="117" t="str">
        <f>INDEX(codes_prop_stts,select_prop_stts)</f>
        <v>0[01289]</v>
      </c>
      <c r="F23" s="58"/>
      <c r="J23" s="23"/>
      <c r="N23" s="19" t="s">
        <v>97</v>
      </c>
    </row>
    <row r="24" spans="3:14" ht="20.149999999999999" customHeight="1" x14ac:dyDescent="0.4">
      <c r="C24" s="3"/>
      <c r="D24" s="3"/>
      <c r="E24" s="3"/>
      <c r="F24" s="3"/>
      <c r="J24" s="23"/>
      <c r="N24" s="19" t="s">
        <v>119</v>
      </c>
    </row>
    <row r="25" spans="3:14" ht="20.149999999999999" customHeight="1" x14ac:dyDescent="0.4">
      <c r="D25"/>
      <c r="E25"/>
      <c r="N25" s="19" t="s">
        <v>120</v>
      </c>
    </row>
    <row r="26" spans="3:14" ht="19.75" customHeight="1" x14ac:dyDescent="0.4">
      <c r="D26"/>
      <c r="E26"/>
      <c r="N26" s="19" t="s">
        <v>121</v>
      </c>
    </row>
    <row r="27" spans="3:14" x14ac:dyDescent="0.4">
      <c r="C27" s="25"/>
      <c r="D27"/>
      <c r="E27" s="25"/>
      <c r="F27" s="25"/>
      <c r="I27" s="5"/>
      <c r="N27" s="19" t="s">
        <v>122</v>
      </c>
    </row>
    <row r="28" spans="3:14" x14ac:dyDescent="0.4">
      <c r="C28" s="25"/>
      <c r="D28"/>
      <c r="E28" s="25"/>
      <c r="F28" s="25"/>
      <c r="I28" s="5"/>
      <c r="N28" s="19" t="s">
        <v>123</v>
      </c>
    </row>
    <row r="29" spans="3:14" x14ac:dyDescent="0.4">
      <c r="C29" s="25"/>
      <c r="D29"/>
      <c r="E29" s="25"/>
      <c r="H29" s="12"/>
      <c r="I29" s="5"/>
      <c r="N29" s="19" t="s">
        <v>124</v>
      </c>
    </row>
    <row r="30" spans="3:14" x14ac:dyDescent="0.4">
      <c r="N30" s="123">
        <f>SUBTOTAL(103,EpscorTable[Epscor])</f>
        <v>27</v>
      </c>
    </row>
  </sheetData>
  <mergeCells count="1">
    <mergeCell ref="C10:E10"/>
  </mergeCells>
  <conditionalFormatting sqref="E12:F22">
    <cfRule type="expression" dxfId="57" priority="1">
      <formula>SEARCH("eg:",E12)=1</formula>
    </cfRule>
  </conditionalFormatting>
  <dataValidations count="1">
    <dataValidation type="list" allowBlank="1" showInputMessage="1" showErrorMessage="1" sqref="C25 E25:F25">
      <formula1>INDIRECT("AvailableTemplates[Available templates:]")</formula1>
    </dataValidation>
  </dataValidations>
  <hyperlinks>
    <hyperlink ref="J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7</xdr:col>
                    <xdr:colOff>288471</xdr:colOff>
                    <xdr:row>5</xdr:row>
                    <xdr:rowOff>59871</xdr:rowOff>
                  </from>
                  <to>
                    <xdr:col>8</xdr:col>
                    <xdr:colOff>152400</xdr:colOff>
                    <xdr:row>6</xdr:row>
                    <xdr:rowOff>10886</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7</xdr:col>
                    <xdr:colOff>266700</xdr:colOff>
                    <xdr:row>7</xdr:row>
                    <xdr:rowOff>38100</xdr:rowOff>
                  </from>
                  <to>
                    <xdr:col>8</xdr:col>
                    <xdr:colOff>163286</xdr:colOff>
                    <xdr:row>7</xdr:row>
                    <xdr:rowOff>201386</xdr:rowOff>
                  </to>
                </anchor>
              </controlPr>
            </control>
          </mc:Choice>
        </mc:AlternateContent>
        <mc:AlternateContent xmlns:mc="http://schemas.openxmlformats.org/markup-compatibility/2006">
          <mc:Choice Requires="x14">
            <control shapeId="1056" r:id="rId7" name="Drop Down 32">
              <controlPr defaultSize="0" autoLine="0" autoPict="0">
                <anchor moveWithCells="1">
                  <from>
                    <xdr:col>3</xdr:col>
                    <xdr:colOff>217714</xdr:colOff>
                    <xdr:row>22</xdr:row>
                    <xdr:rowOff>10886</xdr:rowOff>
                  </from>
                  <to>
                    <xdr:col>6</xdr:col>
                    <xdr:colOff>255814</xdr:colOff>
                    <xdr:row>23</xdr:row>
                    <xdr:rowOff>10886</xdr:rowOff>
                  </to>
                </anchor>
              </controlPr>
            </control>
          </mc:Choice>
        </mc:AlternateContent>
        <mc:AlternateContent xmlns:mc="http://schemas.openxmlformats.org/markup-compatibility/2006">
          <mc:Choice Requires="x14">
            <control shapeId="1058" r:id="rId8" name="Button 34">
              <controlPr defaultSize="0" print="0" autoFill="0" autoPict="0" macro="[0]!makeProjText">
                <anchor moveWithCells="1">
                  <from>
                    <xdr:col>2</xdr:col>
                    <xdr:colOff>97971</xdr:colOff>
                    <xdr:row>4</xdr:row>
                    <xdr:rowOff>201386</xdr:rowOff>
                  </from>
                  <to>
                    <xdr:col>3</xdr:col>
                    <xdr:colOff>163286</xdr:colOff>
                    <xdr:row>6</xdr:row>
                    <xdr:rowOff>21771</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9"/>
  <sheetViews>
    <sheetView workbookViewId="0">
      <selection activeCell="H28" sqref="H28"/>
    </sheetView>
  </sheetViews>
  <sheetFormatPr defaultRowHeight="14.6" x14ac:dyDescent="0.4"/>
  <cols>
    <col min="1" max="2" width="8.69140625" style="30" customWidth="1"/>
    <col min="3" max="3" width="12.3828125" customWidth="1"/>
    <col min="4" max="4" width="12.15234375" style="30" customWidth="1"/>
    <col min="5" max="5" width="5.3828125" style="30" customWidth="1"/>
    <col min="6" max="6" width="5.3046875" style="30" customWidth="1"/>
    <col min="7" max="7" width="8.84375" style="30" bestFit="1" customWidth="1"/>
    <col min="8" max="8" width="8.84375" bestFit="1" customWidth="1"/>
    <col min="9" max="9" width="5.3046875" customWidth="1"/>
    <col min="10" max="10" width="5.53515625" customWidth="1"/>
    <col min="11" max="12" width="9.3046875" bestFit="1" customWidth="1"/>
    <col min="13" max="13" width="6.3046875" style="22" customWidth="1"/>
    <col min="14" max="14" width="5.84375" style="39" customWidth="1"/>
    <col min="15" max="16" width="6.15234375" customWidth="1"/>
    <col min="17" max="17" width="3.3828125" customWidth="1"/>
    <col min="18" max="18" width="11.3828125" customWidth="1"/>
    <col min="19" max="19" width="4.3828125" style="21"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2.53515625" style="21" customWidth="1"/>
    <col min="38" max="38" width="14.23046875" style="82" customWidth="1"/>
    <col min="39" max="39" width="15.15234375" style="82" customWidth="1"/>
    <col min="40" max="40" width="10.69140625" style="82" customWidth="1"/>
    <col min="41" max="41" width="11.15234375" style="82" customWidth="1"/>
    <col min="42" max="42" width="12.15234375" style="82" customWidth="1"/>
    <col min="43" max="43" width="9.53515625" style="21" customWidth="1"/>
    <col min="44" max="44" width="12.15234375" style="21" customWidth="1"/>
    <col min="45" max="47" width="5.53515625" style="21" customWidth="1"/>
    <col min="48" max="49" width="11.84375" customWidth="1"/>
    <col min="50" max="50" width="4.3828125" customWidth="1"/>
    <col min="51" max="51" width="3.69140625" customWidth="1"/>
    <col min="52" max="52" width="8.69140625" style="30" customWidth="1"/>
    <col min="53" max="53" width="3.69140625" customWidth="1"/>
    <col min="54" max="54" width="9.3046875" style="30"/>
    <col min="55" max="55" width="9.53515625" style="30"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x14ac:dyDescent="0.4">
      <c r="A1" s="30" t="s">
        <v>87</v>
      </c>
      <c r="B1" s="30" t="s">
        <v>7</v>
      </c>
      <c r="C1" t="s">
        <v>17</v>
      </c>
      <c r="D1" s="14" t="s">
        <v>8</v>
      </c>
      <c r="E1" t="s">
        <v>400</v>
      </c>
      <c r="F1" t="s">
        <v>401</v>
      </c>
      <c r="G1" t="s">
        <v>367</v>
      </c>
      <c r="H1" t="s">
        <v>368</v>
      </c>
      <c r="I1" t="s">
        <v>369</v>
      </c>
      <c r="J1" t="s">
        <v>370</v>
      </c>
      <c r="K1" t="s">
        <v>371</v>
      </c>
      <c r="L1" t="s">
        <v>372</v>
      </c>
      <c r="M1" t="s">
        <v>165</v>
      </c>
      <c r="N1" t="s">
        <v>163</v>
      </c>
      <c r="O1" t="s">
        <v>373</v>
      </c>
      <c r="P1" s="21" t="s">
        <v>375</v>
      </c>
      <c r="Q1" t="s">
        <v>376</v>
      </c>
      <c r="R1" s="32" t="s">
        <v>377</v>
      </c>
      <c r="S1" s="21" t="s">
        <v>101</v>
      </c>
      <c r="T1" t="s">
        <v>88</v>
      </c>
      <c r="U1" t="s">
        <v>9</v>
      </c>
      <c r="V1" t="s">
        <v>1</v>
      </c>
      <c r="W1" t="s">
        <v>143</v>
      </c>
      <c r="X1" t="s">
        <v>0</v>
      </c>
      <c r="Y1" t="s">
        <v>10</v>
      </c>
      <c r="Z1" t="s">
        <v>18</v>
      </c>
      <c r="AA1" t="s">
        <v>287</v>
      </c>
      <c r="AB1" s="14" t="s">
        <v>403</v>
      </c>
      <c r="AC1" t="s">
        <v>145</v>
      </c>
      <c r="AD1" t="s">
        <v>288</v>
      </c>
      <c r="AE1" t="s">
        <v>378</v>
      </c>
      <c r="AF1" t="s">
        <v>374</v>
      </c>
      <c r="AG1" t="s">
        <v>166</v>
      </c>
      <c r="AH1" t="s">
        <v>36</v>
      </c>
      <c r="AK1" s="88" t="s">
        <v>406</v>
      </c>
      <c r="AL1"/>
      <c r="AM1" s="88" t="s">
        <v>404</v>
      </c>
      <c r="AN1"/>
      <c r="AO1"/>
      <c r="AP1"/>
      <c r="AQ1"/>
      <c r="AR1"/>
      <c r="AS1"/>
      <c r="AT1"/>
      <c r="AU1"/>
      <c r="AZ1"/>
      <c r="BB1"/>
      <c r="BC1"/>
      <c r="BO1"/>
      <c r="BS1"/>
    </row>
    <row r="2" spans="1:71" x14ac:dyDescent="0.4">
      <c r="D2"/>
      <c r="E2" s="8"/>
      <c r="F2" s="8"/>
      <c r="G2"/>
      <c r="M2"/>
      <c r="N2" s="8"/>
      <c r="O2" s="8"/>
      <c r="P2" s="21"/>
      <c r="Q2" s="8"/>
      <c r="R2" s="32"/>
      <c r="T2" s="8"/>
      <c r="U2" s="8"/>
      <c r="V2" s="87"/>
      <c r="W2" s="8"/>
      <c r="X2" s="8"/>
      <c r="Y2" s="8"/>
      <c r="Z2" s="8"/>
      <c r="AA2" s="8"/>
      <c r="AB2" s="87"/>
      <c r="AC2" s="8"/>
      <c r="AD2" s="8"/>
      <c r="AE2" s="8"/>
      <c r="AF2" s="8"/>
      <c r="AG2" s="8"/>
      <c r="AH2" s="8"/>
      <c r="AK2" s="88" t="s">
        <v>407</v>
      </c>
      <c r="AL2" s="88" t="s">
        <v>10</v>
      </c>
      <c r="AM2" t="s">
        <v>481</v>
      </c>
      <c r="AN2" t="s">
        <v>405</v>
      </c>
      <c r="AO2"/>
      <c r="AP2"/>
      <c r="AQ2"/>
      <c r="AR2"/>
      <c r="AS2"/>
      <c r="AT2"/>
      <c r="AU2"/>
      <c r="AZ2"/>
      <c r="BB2"/>
      <c r="BC2"/>
      <c r="BO2"/>
      <c r="BS2"/>
    </row>
    <row r="3" spans="1:71" x14ac:dyDescent="0.4">
      <c r="AK3" s="25" t="s">
        <v>481</v>
      </c>
      <c r="AL3" s="25" t="s">
        <v>481</v>
      </c>
      <c r="AM3" s="31"/>
      <c r="AN3" s="31"/>
      <c r="AO3"/>
      <c r="AP3"/>
      <c r="AQ3"/>
      <c r="AR3"/>
      <c r="AS3"/>
      <c r="AT3"/>
      <c r="AU3"/>
      <c r="AZ3"/>
      <c r="BB3"/>
      <c r="BC3"/>
      <c r="BO3"/>
      <c r="BS3"/>
    </row>
    <row r="4" spans="1:71" x14ac:dyDescent="0.4">
      <c r="AK4"/>
      <c r="AL4" s="89" t="s">
        <v>481</v>
      </c>
      <c r="AM4" s="31"/>
      <c r="AN4" s="31"/>
      <c r="AO4"/>
      <c r="AP4"/>
      <c r="AQ4"/>
      <c r="AR4"/>
      <c r="AS4"/>
      <c r="AT4"/>
      <c r="AU4"/>
      <c r="AZ4"/>
      <c r="BB4"/>
      <c r="BC4"/>
      <c r="BO4"/>
      <c r="BS4"/>
    </row>
    <row r="5" spans="1:71" x14ac:dyDescent="0.4">
      <c r="AK5" s="25" t="s">
        <v>405</v>
      </c>
      <c r="AL5"/>
      <c r="AM5" s="31"/>
      <c r="AN5" s="31"/>
      <c r="AO5"/>
      <c r="AP5"/>
      <c r="AQ5"/>
      <c r="AR5"/>
      <c r="AS5"/>
      <c r="AT5"/>
      <c r="AU5"/>
      <c r="AZ5"/>
      <c r="BB5"/>
      <c r="BC5"/>
      <c r="BO5"/>
      <c r="BS5"/>
    </row>
    <row r="6" spans="1:71" x14ac:dyDescent="0.4">
      <c r="AK6"/>
      <c r="AL6"/>
      <c r="AM6"/>
      <c r="AN6"/>
      <c r="AO6"/>
      <c r="AP6"/>
      <c r="AQ6"/>
      <c r="AR6"/>
      <c r="AS6"/>
      <c r="AT6"/>
      <c r="AU6"/>
      <c r="AZ6"/>
      <c r="BB6"/>
      <c r="BC6"/>
      <c r="BO6"/>
      <c r="BS6"/>
    </row>
    <row r="7" spans="1:71" x14ac:dyDescent="0.4">
      <c r="AK7"/>
      <c r="AL7"/>
      <c r="AM7"/>
      <c r="AN7"/>
      <c r="AO7"/>
      <c r="AP7"/>
      <c r="AQ7"/>
      <c r="AR7"/>
      <c r="AS7"/>
      <c r="AT7"/>
      <c r="AU7"/>
      <c r="AZ7"/>
      <c r="BB7"/>
      <c r="BC7"/>
      <c r="BO7"/>
      <c r="BS7"/>
    </row>
    <row r="8" spans="1:71" x14ac:dyDescent="0.4">
      <c r="AK8"/>
      <c r="AL8"/>
      <c r="AM8"/>
      <c r="AN8"/>
      <c r="AO8"/>
      <c r="AP8"/>
      <c r="AQ8"/>
      <c r="AR8"/>
      <c r="AS8"/>
      <c r="AT8"/>
      <c r="AU8"/>
      <c r="AZ8"/>
      <c r="BB8"/>
      <c r="BC8"/>
      <c r="BO8"/>
      <c r="BS8"/>
    </row>
    <row r="9" spans="1:71" x14ac:dyDescent="0.4">
      <c r="AK9"/>
      <c r="AL9"/>
      <c r="AM9"/>
      <c r="AN9"/>
      <c r="AO9"/>
      <c r="AP9"/>
      <c r="AQ9"/>
      <c r="AR9"/>
      <c r="AS9"/>
      <c r="AT9"/>
      <c r="AU9"/>
      <c r="AZ9"/>
      <c r="BB9"/>
      <c r="BC9"/>
      <c r="BO9"/>
      <c r="BS9"/>
    </row>
  </sheetData>
  <conditionalFormatting sqref="A2:AH2">
    <cfRule type="expression" dxfId="2" priority="3">
      <formula>MOD($S2,2)</formula>
    </cfRule>
    <cfRule type="expression" dxfId="1" priority="2">
      <formula>$U1&lt;&gt;$U2</formula>
    </cfRule>
  </conditionalFormatting>
  <conditionalFormatting sqref="F2 H2 J2 L2 AE2">
    <cfRule type="expression" dxfId="0"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515"/>
  <sheetViews>
    <sheetView workbookViewId="0">
      <selection activeCell="G2" sqref="G2"/>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8" customWidth="1"/>
    <col min="12" max="12" width="16.15234375" customWidth="1"/>
    <col min="13" max="14" width="6.3046875" style="21" customWidth="1"/>
    <col min="15" max="15" width="5.15234375" customWidth="1"/>
    <col min="16" max="16" width="80.53515625" bestFit="1" customWidth="1"/>
  </cols>
  <sheetData>
    <row r="1" spans="1:16" ht="51.45" customHeight="1" x14ac:dyDescent="0.4">
      <c r="A1" t="s">
        <v>101</v>
      </c>
      <c r="B1" t="s">
        <v>9</v>
      </c>
      <c r="C1" t="s">
        <v>10</v>
      </c>
      <c r="D1" t="s">
        <v>179</v>
      </c>
      <c r="E1" t="s">
        <v>180</v>
      </c>
      <c r="F1" t="s">
        <v>181</v>
      </c>
      <c r="G1" t="s">
        <v>182</v>
      </c>
      <c r="H1" t="s">
        <v>183</v>
      </c>
      <c r="I1" t="s">
        <v>184</v>
      </c>
      <c r="J1" t="s">
        <v>185</v>
      </c>
      <c r="K1" s="28" t="s">
        <v>186</v>
      </c>
      <c r="L1" t="s">
        <v>187</v>
      </c>
      <c r="M1" s="21" t="s">
        <v>188</v>
      </c>
      <c r="N1" s="21" t="s">
        <v>189</v>
      </c>
      <c r="O1" t="s">
        <v>190</v>
      </c>
      <c r="P1" t="s">
        <v>191</v>
      </c>
    </row>
    <row r="2" spans="1:16" x14ac:dyDescent="0.4">
      <c r="A2">
        <f t="shared" ref="A2:A65" si="0">A1+(B2&lt;&gt;B1)</f>
        <v>1</v>
      </c>
      <c r="B2" t="s">
        <v>602</v>
      </c>
      <c r="C2" t="s">
        <v>603</v>
      </c>
      <c r="D2" t="s">
        <v>533</v>
      </c>
      <c r="E2" t="s">
        <v>604</v>
      </c>
      <c r="F2" t="s">
        <v>605</v>
      </c>
      <c r="G2" t="s">
        <v>606</v>
      </c>
      <c r="H2" t="s">
        <v>546</v>
      </c>
      <c r="I2" t="s">
        <v>538</v>
      </c>
      <c r="J2" t="s">
        <v>607</v>
      </c>
      <c r="K2" s="30">
        <v>43031</v>
      </c>
      <c r="L2" s="8">
        <v>43032.595011574071</v>
      </c>
      <c r="M2" s="21">
        <f>LEN(ProjTextTable[[#This Row],[text]])</f>
        <v>3392</v>
      </c>
      <c r="N2" s="21">
        <f>LEN(TRIM(CLEAN(SUBSTITUTE(ProjTextTable[[#This Row],[text]],CHAR(10)," "))))+1 - LEN(SUBSTITUTE(CLEAN(SUBSTITUTE(ProjTextTable[[#This Row],[text]],CHAR(10)," "))," ",""))</f>
        <v>513</v>
      </c>
      <c r="O2" t="s">
        <v>309</v>
      </c>
      <c r="P2" t="s">
        <v>608</v>
      </c>
    </row>
    <row r="3" spans="1:16" x14ac:dyDescent="0.4">
      <c r="A3">
        <f t="shared" si="0"/>
        <v>1</v>
      </c>
      <c r="B3" t="s">
        <v>602</v>
      </c>
      <c r="C3" t="s">
        <v>603</v>
      </c>
      <c r="D3" t="s">
        <v>2</v>
      </c>
      <c r="E3" t="s">
        <v>604</v>
      </c>
      <c r="F3" t="s">
        <v>13</v>
      </c>
      <c r="G3" t="s">
        <v>609</v>
      </c>
      <c r="H3" t="s">
        <v>13</v>
      </c>
      <c r="I3" t="s">
        <v>13</v>
      </c>
      <c r="K3" s="30"/>
      <c r="L3" s="8">
        <v>43076.608981481484</v>
      </c>
      <c r="M3" s="21">
        <f>LEN(ProjTextTable[[#This Row],[text]])</f>
        <v>1932</v>
      </c>
      <c r="N3" s="21">
        <f>LEN(TRIM(CLEAN(SUBSTITUTE(ProjTextTable[[#This Row],[text]],CHAR(10)," "))))+1 - LEN(SUBSTITUTE(CLEAN(SUBSTITUTE(ProjTextTable[[#This Row],[text]],CHAR(10)," "))," ",""))</f>
        <v>283</v>
      </c>
      <c r="O3" t="s">
        <v>13</v>
      </c>
      <c r="P3" t="s">
        <v>610</v>
      </c>
    </row>
    <row r="4" spans="1:16" x14ac:dyDescent="0.4">
      <c r="A4">
        <f t="shared" si="0"/>
        <v>1</v>
      </c>
      <c r="B4" t="s">
        <v>602</v>
      </c>
      <c r="C4" t="s">
        <v>603</v>
      </c>
      <c r="D4" t="s">
        <v>192</v>
      </c>
      <c r="E4" t="s">
        <v>611</v>
      </c>
      <c r="F4" t="s">
        <v>612</v>
      </c>
      <c r="G4" t="s">
        <v>613</v>
      </c>
      <c r="H4" t="s">
        <v>614</v>
      </c>
      <c r="I4" t="s">
        <v>201</v>
      </c>
      <c r="J4" t="s">
        <v>175</v>
      </c>
      <c r="K4" s="30">
        <v>43032</v>
      </c>
      <c r="L4" s="8">
        <v>43031.583935185183</v>
      </c>
      <c r="M4" s="21">
        <f>LEN(ProjTextTable[[#This Row],[text]])</f>
        <v>3353</v>
      </c>
      <c r="N4" s="21">
        <f>LEN(TRIM(CLEAN(SUBSTITUTE(ProjTextTable[[#This Row],[text]],CHAR(10)," "))))+1 - LEN(SUBSTITUTE(CLEAN(SUBSTITUTE(ProjTextTable[[#This Row],[text]],CHAR(10)," "))," ",""))</f>
        <v>545</v>
      </c>
      <c r="O4" t="s">
        <v>615</v>
      </c>
      <c r="P4" t="s">
        <v>616</v>
      </c>
    </row>
    <row r="5" spans="1:16" x14ac:dyDescent="0.4">
      <c r="A5">
        <f t="shared" si="0"/>
        <v>1</v>
      </c>
      <c r="B5" t="s">
        <v>602</v>
      </c>
      <c r="C5" t="s">
        <v>603</v>
      </c>
      <c r="D5" t="s">
        <v>192</v>
      </c>
      <c r="E5" t="s">
        <v>611</v>
      </c>
      <c r="F5" t="s">
        <v>617</v>
      </c>
      <c r="G5" t="s">
        <v>618</v>
      </c>
      <c r="H5" t="s">
        <v>619</v>
      </c>
      <c r="I5" t="s">
        <v>201</v>
      </c>
      <c r="J5" t="s">
        <v>175</v>
      </c>
      <c r="K5" s="30">
        <v>43032</v>
      </c>
      <c r="L5" s="8">
        <v>43031.52008101852</v>
      </c>
      <c r="M5" s="21">
        <f>LEN(ProjTextTable[[#This Row],[text]])</f>
        <v>1749</v>
      </c>
      <c r="N5" s="21">
        <f>LEN(TRIM(CLEAN(SUBSTITUTE(ProjTextTable[[#This Row],[text]],CHAR(10)," "))))+1 - LEN(SUBSTITUTE(CLEAN(SUBSTITUTE(ProjTextTable[[#This Row],[text]],CHAR(10)," "))," ",""))</f>
        <v>271</v>
      </c>
      <c r="O5" t="s">
        <v>197</v>
      </c>
      <c r="P5" t="s">
        <v>620</v>
      </c>
    </row>
    <row r="6" spans="1:16" x14ac:dyDescent="0.4">
      <c r="A6">
        <f t="shared" si="0"/>
        <v>1</v>
      </c>
      <c r="B6" t="s">
        <v>602</v>
      </c>
      <c r="C6" t="s">
        <v>603</v>
      </c>
      <c r="D6" t="s">
        <v>192</v>
      </c>
      <c r="E6" t="s">
        <v>611</v>
      </c>
      <c r="F6" t="s">
        <v>621</v>
      </c>
      <c r="G6" t="s">
        <v>622</v>
      </c>
      <c r="H6" t="s">
        <v>623</v>
      </c>
      <c r="I6" t="s">
        <v>201</v>
      </c>
      <c r="J6" t="s">
        <v>175</v>
      </c>
      <c r="K6" s="30">
        <v>43032</v>
      </c>
      <c r="L6" s="8">
        <v>43026.508344907408</v>
      </c>
      <c r="M6" s="21">
        <f>LEN(ProjTextTable[[#This Row],[text]])</f>
        <v>3446</v>
      </c>
      <c r="N6" s="21">
        <f>LEN(TRIM(CLEAN(SUBSTITUTE(ProjTextTable[[#This Row],[text]],CHAR(10)," "))))+1 - LEN(SUBSTITUTE(CLEAN(SUBSTITUTE(ProjTextTable[[#This Row],[text]],CHAR(10)," "))," ",""))</f>
        <v>531</v>
      </c>
      <c r="O6" t="s">
        <v>196</v>
      </c>
      <c r="P6" t="s">
        <v>624</v>
      </c>
    </row>
    <row r="7" spans="1:16" x14ac:dyDescent="0.4">
      <c r="A7">
        <f t="shared" si="0"/>
        <v>1</v>
      </c>
      <c r="B7" t="s">
        <v>602</v>
      </c>
      <c r="C7" t="s">
        <v>603</v>
      </c>
      <c r="D7" t="s">
        <v>192</v>
      </c>
      <c r="E7" t="s">
        <v>604</v>
      </c>
      <c r="F7" t="s">
        <v>625</v>
      </c>
      <c r="G7" t="s">
        <v>626</v>
      </c>
      <c r="H7" t="s">
        <v>627</v>
      </c>
      <c r="I7" t="s">
        <v>201</v>
      </c>
      <c r="J7" t="s">
        <v>175</v>
      </c>
      <c r="K7" s="30">
        <v>43032</v>
      </c>
      <c r="L7" s="8">
        <v>43018.840243055558</v>
      </c>
      <c r="M7" s="21">
        <f>LEN(ProjTextTable[[#This Row],[text]])</f>
        <v>2975</v>
      </c>
      <c r="N7" s="21">
        <f>LEN(TRIM(CLEAN(SUBSTITUTE(ProjTextTable[[#This Row],[text]],CHAR(10)," "))))+1 - LEN(SUBSTITUTE(CLEAN(SUBSTITUTE(ProjTextTable[[#This Row],[text]],CHAR(10)," "))," ",""))</f>
        <v>476</v>
      </c>
      <c r="O7" t="s">
        <v>197</v>
      </c>
      <c r="P7" t="s">
        <v>628</v>
      </c>
    </row>
    <row r="8" spans="1:16" x14ac:dyDescent="0.4">
      <c r="A8">
        <f t="shared" si="0"/>
        <v>1</v>
      </c>
      <c r="B8" t="s">
        <v>602</v>
      </c>
      <c r="C8" t="s">
        <v>603</v>
      </c>
      <c r="D8" t="s">
        <v>194</v>
      </c>
      <c r="E8" t="s">
        <v>604</v>
      </c>
      <c r="F8" t="s">
        <v>13</v>
      </c>
      <c r="G8" t="s">
        <v>13</v>
      </c>
      <c r="H8" t="s">
        <v>13</v>
      </c>
      <c r="K8" s="30"/>
      <c r="L8" s="8">
        <v>42931.442777777775</v>
      </c>
      <c r="M8" s="21">
        <f>LEN(ProjTextTable[[#This Row],[text]])</f>
        <v>3950</v>
      </c>
      <c r="N8" s="21">
        <f>LEN(TRIM(CLEAN(SUBSTITUTE(ProjTextTable[[#This Row],[text]],CHAR(10)," "))))+1 - LEN(SUBSTITUTE(CLEAN(SUBSTITUTE(ProjTextTable[[#This Row],[text]],CHAR(10)," "))," ",""))</f>
        <v>602</v>
      </c>
      <c r="O8" t="s">
        <v>13</v>
      </c>
      <c r="P8" t="s">
        <v>629</v>
      </c>
    </row>
    <row r="9" spans="1:16" x14ac:dyDescent="0.4">
      <c r="A9">
        <f t="shared" si="0"/>
        <v>2</v>
      </c>
      <c r="B9" t="s">
        <v>2015</v>
      </c>
      <c r="C9" t="s">
        <v>2016</v>
      </c>
      <c r="D9" t="s">
        <v>533</v>
      </c>
      <c r="E9" t="s">
        <v>1166</v>
      </c>
      <c r="F9" t="s">
        <v>714</v>
      </c>
      <c r="G9" t="s">
        <v>715</v>
      </c>
      <c r="H9" t="s">
        <v>541</v>
      </c>
      <c r="I9" t="s">
        <v>536</v>
      </c>
      <c r="J9" t="s">
        <v>877</v>
      </c>
      <c r="K9" s="30">
        <v>43059</v>
      </c>
      <c r="L9" s="8">
        <v>43060.618368055555</v>
      </c>
      <c r="M9" s="21">
        <f>LEN(ProjTextTable[[#This Row],[text]])</f>
        <v>1704</v>
      </c>
      <c r="N9" s="21">
        <f>LEN(TRIM(CLEAN(SUBSTITUTE(ProjTextTable[[#This Row],[text]],CHAR(10)," "))))+1 - LEN(SUBSTITUTE(CLEAN(SUBSTITUTE(ProjTextTable[[#This Row],[text]],CHAR(10)," "))," ",""))</f>
        <v>241</v>
      </c>
      <c r="O9" t="s">
        <v>542</v>
      </c>
      <c r="P9" t="s">
        <v>2017</v>
      </c>
    </row>
    <row r="10" spans="1:16" x14ac:dyDescent="0.4">
      <c r="A10">
        <f t="shared" si="0"/>
        <v>2</v>
      </c>
      <c r="B10" t="s">
        <v>2015</v>
      </c>
      <c r="C10" t="s">
        <v>2016</v>
      </c>
      <c r="D10" t="s">
        <v>533</v>
      </c>
      <c r="E10" t="s">
        <v>1166</v>
      </c>
      <c r="F10" t="s">
        <v>2018</v>
      </c>
      <c r="G10" t="s">
        <v>2019</v>
      </c>
      <c r="H10" t="s">
        <v>541</v>
      </c>
      <c r="I10" t="s">
        <v>536</v>
      </c>
      <c r="K10" s="30">
        <v>43034</v>
      </c>
      <c r="L10" s="8">
        <v>43035.475856481484</v>
      </c>
      <c r="M10" s="21">
        <f>LEN(ProjTextTable[[#This Row],[text]])</f>
        <v>2465</v>
      </c>
      <c r="N10" s="21">
        <f>LEN(TRIM(CLEAN(SUBSTITUTE(ProjTextTable[[#This Row],[text]],CHAR(10)," "))))+1 - LEN(SUBSTITUTE(CLEAN(SUBSTITUTE(ProjTextTable[[#This Row],[text]],CHAR(10)," "))," ",""))</f>
        <v>346</v>
      </c>
      <c r="O10" t="s">
        <v>542</v>
      </c>
      <c r="P10" t="s">
        <v>2020</v>
      </c>
    </row>
    <row r="11" spans="1:16" x14ac:dyDescent="0.4">
      <c r="A11">
        <f t="shared" si="0"/>
        <v>2</v>
      </c>
      <c r="B11" t="s">
        <v>2015</v>
      </c>
      <c r="C11" t="s">
        <v>2016</v>
      </c>
      <c r="D11" t="s">
        <v>2</v>
      </c>
      <c r="E11" t="s">
        <v>1166</v>
      </c>
      <c r="F11" t="s">
        <v>13</v>
      </c>
      <c r="G11" t="s">
        <v>609</v>
      </c>
      <c r="H11" t="s">
        <v>13</v>
      </c>
      <c r="I11" t="s">
        <v>13</v>
      </c>
      <c r="K11" s="30"/>
      <c r="L11" s="8">
        <v>43068.644884259258</v>
      </c>
      <c r="M11" s="21">
        <f>LEN(ProjTextTable[[#This Row],[text]])</f>
        <v>4027</v>
      </c>
      <c r="N11" s="21">
        <f>LEN(TRIM(CLEAN(SUBSTITUTE(ProjTextTable[[#This Row],[text]],CHAR(10)," "))))+1 - LEN(SUBSTITUTE(CLEAN(SUBSTITUTE(ProjTextTable[[#This Row],[text]],CHAR(10)," "))," ",""))</f>
        <v>623</v>
      </c>
      <c r="O11" t="s">
        <v>13</v>
      </c>
      <c r="P11" t="s">
        <v>2021</v>
      </c>
    </row>
    <row r="12" spans="1:16" x14ac:dyDescent="0.4">
      <c r="A12">
        <f t="shared" si="0"/>
        <v>2</v>
      </c>
      <c r="B12" t="s">
        <v>2015</v>
      </c>
      <c r="C12" t="s">
        <v>2016</v>
      </c>
      <c r="D12" t="s">
        <v>192</v>
      </c>
      <c r="E12" t="s">
        <v>1166</v>
      </c>
      <c r="F12" t="s">
        <v>2022</v>
      </c>
      <c r="G12" t="s">
        <v>2023</v>
      </c>
      <c r="H12" t="s">
        <v>2024</v>
      </c>
      <c r="I12" t="s">
        <v>175</v>
      </c>
      <c r="J12" t="s">
        <v>175</v>
      </c>
      <c r="K12" s="30">
        <v>43032</v>
      </c>
      <c r="L12" s="8">
        <v>43032.891342592593</v>
      </c>
      <c r="M12" s="21">
        <f>LEN(ProjTextTable[[#This Row],[text]])</f>
        <v>3596</v>
      </c>
      <c r="N12" s="21">
        <f>LEN(TRIM(CLEAN(SUBSTITUTE(ProjTextTable[[#This Row],[text]],CHAR(10)," "))))+1 - LEN(SUBSTITUTE(CLEAN(SUBSTITUTE(ProjTextTable[[#This Row],[text]],CHAR(10)," "))," ",""))</f>
        <v>563</v>
      </c>
      <c r="O12" t="s">
        <v>196</v>
      </c>
      <c r="P12" t="s">
        <v>2025</v>
      </c>
    </row>
    <row r="13" spans="1:16" x14ac:dyDescent="0.4">
      <c r="A13">
        <f t="shared" si="0"/>
        <v>2</v>
      </c>
      <c r="B13" t="s">
        <v>2015</v>
      </c>
      <c r="C13" t="s">
        <v>2016</v>
      </c>
      <c r="D13" t="s">
        <v>192</v>
      </c>
      <c r="E13" t="s">
        <v>1166</v>
      </c>
      <c r="F13" t="s">
        <v>745</v>
      </c>
      <c r="G13" t="s">
        <v>746</v>
      </c>
      <c r="H13" t="s">
        <v>747</v>
      </c>
      <c r="I13" t="s">
        <v>201</v>
      </c>
      <c r="J13" t="s">
        <v>175</v>
      </c>
      <c r="K13" s="30">
        <v>43060</v>
      </c>
      <c r="L13" s="8">
        <v>43060.395636574074</v>
      </c>
      <c r="M13" s="21">
        <f>LEN(ProjTextTable[[#This Row],[text]])</f>
        <v>2035</v>
      </c>
      <c r="N13" s="21">
        <f>LEN(TRIM(CLEAN(SUBSTITUTE(ProjTextTable[[#This Row],[text]],CHAR(10)," "))))+1 - LEN(SUBSTITUTE(CLEAN(SUBSTITUTE(ProjTextTable[[#This Row],[text]],CHAR(10)," "))," ",""))</f>
        <v>286</v>
      </c>
      <c r="O13" t="s">
        <v>193</v>
      </c>
      <c r="P13" t="s">
        <v>2026</v>
      </c>
    </row>
    <row r="14" spans="1:16" x14ac:dyDescent="0.4">
      <c r="A14">
        <f t="shared" si="0"/>
        <v>2</v>
      </c>
      <c r="B14" t="s">
        <v>2015</v>
      </c>
      <c r="C14" t="s">
        <v>2016</v>
      </c>
      <c r="D14" t="s">
        <v>192</v>
      </c>
      <c r="E14" t="s">
        <v>1166</v>
      </c>
      <c r="F14" t="s">
        <v>2027</v>
      </c>
      <c r="G14" t="s">
        <v>1752</v>
      </c>
      <c r="H14" t="s">
        <v>2028</v>
      </c>
      <c r="I14" t="s">
        <v>201</v>
      </c>
      <c r="J14" t="s">
        <v>175</v>
      </c>
      <c r="K14" s="30">
        <v>43035</v>
      </c>
      <c r="L14" s="8">
        <v>43033.33861111111</v>
      </c>
      <c r="M14" s="21">
        <f>LEN(ProjTextTable[[#This Row],[text]])</f>
        <v>2406</v>
      </c>
      <c r="N14" s="21">
        <f>LEN(TRIM(CLEAN(SUBSTITUTE(ProjTextTable[[#This Row],[text]],CHAR(10)," "))))+1 - LEN(SUBSTITUTE(CLEAN(SUBSTITUTE(ProjTextTable[[#This Row],[text]],CHAR(10)," "))," ",""))</f>
        <v>370</v>
      </c>
      <c r="O14" t="s">
        <v>195</v>
      </c>
      <c r="P14" t="s">
        <v>2029</v>
      </c>
    </row>
    <row r="15" spans="1:16" x14ac:dyDescent="0.4">
      <c r="A15">
        <f t="shared" si="0"/>
        <v>2</v>
      </c>
      <c r="B15" t="s">
        <v>2015</v>
      </c>
      <c r="C15" t="s">
        <v>2016</v>
      </c>
      <c r="D15" t="s">
        <v>192</v>
      </c>
      <c r="E15" t="s">
        <v>1166</v>
      </c>
      <c r="F15" t="s">
        <v>753</v>
      </c>
      <c r="G15" t="s">
        <v>754</v>
      </c>
      <c r="H15" t="s">
        <v>755</v>
      </c>
      <c r="I15" t="s">
        <v>201</v>
      </c>
      <c r="J15" t="s">
        <v>175</v>
      </c>
      <c r="K15" s="30">
        <v>43060</v>
      </c>
      <c r="L15" s="8">
        <v>43054.481851851851</v>
      </c>
      <c r="M15" s="21">
        <f>LEN(ProjTextTable[[#This Row],[text]])</f>
        <v>2921</v>
      </c>
      <c r="N15" s="21">
        <f>LEN(TRIM(CLEAN(SUBSTITUTE(ProjTextTable[[#This Row],[text]],CHAR(10)," "))))+1 - LEN(SUBSTITUTE(CLEAN(SUBSTITUTE(ProjTextTable[[#This Row],[text]],CHAR(10)," "))," ",""))</f>
        <v>437</v>
      </c>
      <c r="O15" t="s">
        <v>193</v>
      </c>
      <c r="P15" t="s">
        <v>2030</v>
      </c>
    </row>
    <row r="16" spans="1:16" x14ac:dyDescent="0.4">
      <c r="A16">
        <f t="shared" si="0"/>
        <v>2</v>
      </c>
      <c r="B16" t="s">
        <v>2015</v>
      </c>
      <c r="C16" t="s">
        <v>2016</v>
      </c>
      <c r="D16" t="s">
        <v>192</v>
      </c>
      <c r="E16" t="s">
        <v>1166</v>
      </c>
      <c r="F16" t="s">
        <v>2031</v>
      </c>
      <c r="G16" t="s">
        <v>2032</v>
      </c>
      <c r="H16" t="s">
        <v>2033</v>
      </c>
      <c r="I16" t="s">
        <v>201</v>
      </c>
      <c r="J16" t="s">
        <v>175</v>
      </c>
      <c r="K16" s="30">
        <v>43035</v>
      </c>
      <c r="L16" s="8">
        <v>43034.79310185185</v>
      </c>
      <c r="M16" s="21">
        <f>LEN(ProjTextTable[[#This Row],[text]])</f>
        <v>1855</v>
      </c>
      <c r="N16" s="21">
        <f>LEN(TRIM(CLEAN(SUBSTITUTE(ProjTextTable[[#This Row],[text]],CHAR(10)," "))))+1 - LEN(SUBSTITUTE(CLEAN(SUBSTITUTE(ProjTextTable[[#This Row],[text]],CHAR(10)," "))," ",""))</f>
        <v>275</v>
      </c>
      <c r="O16" t="s">
        <v>199</v>
      </c>
      <c r="P16" t="s">
        <v>2034</v>
      </c>
    </row>
    <row r="17" spans="1:16" x14ac:dyDescent="0.4">
      <c r="A17">
        <f t="shared" si="0"/>
        <v>2</v>
      </c>
      <c r="B17" t="s">
        <v>2015</v>
      </c>
      <c r="C17" t="s">
        <v>2016</v>
      </c>
      <c r="D17" t="s">
        <v>192</v>
      </c>
      <c r="E17" t="s">
        <v>1166</v>
      </c>
      <c r="F17" t="s">
        <v>717</v>
      </c>
      <c r="G17" t="s">
        <v>718</v>
      </c>
      <c r="H17" t="s">
        <v>719</v>
      </c>
      <c r="I17" t="s">
        <v>201</v>
      </c>
      <c r="J17" t="s">
        <v>175</v>
      </c>
      <c r="K17" s="30">
        <v>43011</v>
      </c>
      <c r="L17" s="8">
        <v>43059.329062500001</v>
      </c>
      <c r="M17" s="21">
        <f>LEN(ProjTextTable[[#This Row],[text]])</f>
        <v>2481</v>
      </c>
      <c r="N17" s="21">
        <f>LEN(TRIM(CLEAN(SUBSTITUTE(ProjTextTable[[#This Row],[text]],CHAR(10)," "))))+1 - LEN(SUBSTITUTE(CLEAN(SUBSTITUTE(ProjTextTable[[#This Row],[text]],CHAR(10)," "))," ",""))</f>
        <v>347</v>
      </c>
      <c r="O17" t="s">
        <v>198</v>
      </c>
      <c r="P17" t="s">
        <v>2035</v>
      </c>
    </row>
    <row r="18" spans="1:16" x14ac:dyDescent="0.4">
      <c r="A18">
        <f t="shared" si="0"/>
        <v>2</v>
      </c>
      <c r="B18" t="s">
        <v>2015</v>
      </c>
      <c r="C18" t="s">
        <v>2016</v>
      </c>
      <c r="D18" t="s">
        <v>192</v>
      </c>
      <c r="E18" t="s">
        <v>1166</v>
      </c>
      <c r="F18" t="s">
        <v>2036</v>
      </c>
      <c r="G18" t="s">
        <v>2037</v>
      </c>
      <c r="H18" t="s">
        <v>2038</v>
      </c>
      <c r="I18" t="s">
        <v>201</v>
      </c>
      <c r="J18" t="s">
        <v>175</v>
      </c>
      <c r="K18" s="30">
        <v>43035</v>
      </c>
      <c r="L18" s="8">
        <v>43032.405798611115</v>
      </c>
      <c r="M18" s="21">
        <f>LEN(ProjTextTable[[#This Row],[text]])</f>
        <v>3911</v>
      </c>
      <c r="N18" s="21">
        <f>LEN(TRIM(CLEAN(SUBSTITUTE(ProjTextTable[[#This Row],[text]],CHAR(10)," "))))+1 - LEN(SUBSTITUTE(CLEAN(SUBSTITUTE(ProjTextTable[[#This Row],[text]],CHAR(10)," "))," ",""))</f>
        <v>621</v>
      </c>
      <c r="O18" t="s">
        <v>196</v>
      </c>
      <c r="P18" t="s">
        <v>2039</v>
      </c>
    </row>
    <row r="19" spans="1:16" x14ac:dyDescent="0.4">
      <c r="A19">
        <f t="shared" si="0"/>
        <v>2</v>
      </c>
      <c r="B19" t="s">
        <v>2015</v>
      </c>
      <c r="C19" t="s">
        <v>2016</v>
      </c>
      <c r="D19" t="s">
        <v>192</v>
      </c>
      <c r="E19" t="s">
        <v>1166</v>
      </c>
      <c r="F19" t="s">
        <v>721</v>
      </c>
      <c r="G19" t="s">
        <v>722</v>
      </c>
      <c r="H19" t="s">
        <v>723</v>
      </c>
      <c r="I19" t="s">
        <v>201</v>
      </c>
      <c r="J19" t="s">
        <v>175</v>
      </c>
      <c r="K19" s="30">
        <v>43011</v>
      </c>
      <c r="L19" s="8">
        <v>43058.874664351853</v>
      </c>
      <c r="M19" s="21">
        <f>LEN(ProjTextTable[[#This Row],[text]])</f>
        <v>1169</v>
      </c>
      <c r="N19" s="21">
        <f>LEN(TRIM(CLEAN(SUBSTITUTE(ProjTextTable[[#This Row],[text]],CHAR(10)," "))))+1 - LEN(SUBSTITUTE(CLEAN(SUBSTITUTE(ProjTextTable[[#This Row],[text]],CHAR(10)," "))," ",""))</f>
        <v>190</v>
      </c>
      <c r="O19" t="s">
        <v>175</v>
      </c>
      <c r="P19" t="s">
        <v>2040</v>
      </c>
    </row>
    <row r="20" spans="1:16" x14ac:dyDescent="0.4">
      <c r="A20">
        <f t="shared" si="0"/>
        <v>2</v>
      </c>
      <c r="B20" t="s">
        <v>2015</v>
      </c>
      <c r="C20" t="s">
        <v>2016</v>
      </c>
      <c r="D20" t="s">
        <v>576</v>
      </c>
      <c r="E20" t="s">
        <v>1166</v>
      </c>
      <c r="F20" t="s">
        <v>2015</v>
      </c>
      <c r="G20" t="s">
        <v>2041</v>
      </c>
      <c r="H20" t="s">
        <v>2042</v>
      </c>
      <c r="K20" s="30"/>
      <c r="L20" s="8">
        <v>43069.468333333331</v>
      </c>
      <c r="M20" s="21">
        <f>LEN(ProjTextTable[[#This Row],[text]])</f>
        <v>146</v>
      </c>
      <c r="N20" s="21">
        <f>LEN(TRIM(CLEAN(SUBSTITUTE(ProjTextTable[[#This Row],[text]],CHAR(10)," "))))+1 - LEN(SUBSTITUTE(CLEAN(SUBSTITUTE(ProjTextTable[[#This Row],[text]],CHAR(10)," "))," ",""))</f>
        <v>28</v>
      </c>
      <c r="O20" t="s">
        <v>13</v>
      </c>
      <c r="P20" t="s">
        <v>2043</v>
      </c>
    </row>
    <row r="21" spans="1:16" x14ac:dyDescent="0.4">
      <c r="A21">
        <f t="shared" si="0"/>
        <v>3</v>
      </c>
      <c r="B21" t="s">
        <v>630</v>
      </c>
      <c r="C21" t="s">
        <v>631</v>
      </c>
      <c r="D21" t="s">
        <v>533</v>
      </c>
      <c r="E21" t="s">
        <v>604</v>
      </c>
      <c r="F21" t="s">
        <v>605</v>
      </c>
      <c r="G21" t="s">
        <v>606</v>
      </c>
      <c r="H21" t="s">
        <v>541</v>
      </c>
      <c r="I21" t="s">
        <v>536</v>
      </c>
      <c r="J21" t="s">
        <v>632</v>
      </c>
      <c r="K21" s="30">
        <v>43031</v>
      </c>
      <c r="L21" s="8">
        <v>43032.567291666666</v>
      </c>
      <c r="M21" s="21">
        <f>LEN(ProjTextTable[[#This Row],[text]])</f>
        <v>4739</v>
      </c>
      <c r="N21" s="21">
        <f>LEN(TRIM(CLEAN(SUBSTITUTE(ProjTextTable[[#This Row],[text]],CHAR(10)," "))))+1 - LEN(SUBSTITUTE(CLEAN(SUBSTITUTE(ProjTextTable[[#This Row],[text]],CHAR(10)," "))," ",""))</f>
        <v>677</v>
      </c>
      <c r="O21" t="s">
        <v>542</v>
      </c>
      <c r="P21" t="s">
        <v>633</v>
      </c>
    </row>
    <row r="22" spans="1:16" x14ac:dyDescent="0.4">
      <c r="A22">
        <f t="shared" si="0"/>
        <v>3</v>
      </c>
      <c r="B22" t="s">
        <v>630</v>
      </c>
      <c r="C22" t="s">
        <v>631</v>
      </c>
      <c r="D22" t="s">
        <v>2</v>
      </c>
      <c r="E22" t="s">
        <v>604</v>
      </c>
      <c r="F22" t="s">
        <v>13</v>
      </c>
      <c r="G22" t="s">
        <v>609</v>
      </c>
      <c r="H22" t="s">
        <v>13</v>
      </c>
      <c r="I22" t="s">
        <v>13</v>
      </c>
      <c r="K22" s="30"/>
      <c r="L22" s="8">
        <v>43082.662557870368</v>
      </c>
      <c r="M22" s="21">
        <f>LEN(ProjTextTable[[#This Row],[text]])</f>
        <v>1938</v>
      </c>
      <c r="N22" s="21">
        <f>LEN(TRIM(CLEAN(SUBSTITUTE(ProjTextTable[[#This Row],[text]],CHAR(10)," "))))+1 - LEN(SUBSTITUTE(CLEAN(SUBSTITUTE(ProjTextTable[[#This Row],[text]],CHAR(10)," "))," ",""))</f>
        <v>285</v>
      </c>
      <c r="O22" t="s">
        <v>13</v>
      </c>
      <c r="P22" t="s">
        <v>634</v>
      </c>
    </row>
    <row r="23" spans="1:16" x14ac:dyDescent="0.4">
      <c r="A23">
        <f t="shared" si="0"/>
        <v>3</v>
      </c>
      <c r="B23" t="s">
        <v>630</v>
      </c>
      <c r="C23" t="s">
        <v>631</v>
      </c>
      <c r="D23" t="s">
        <v>192</v>
      </c>
      <c r="E23" t="s">
        <v>611</v>
      </c>
      <c r="F23" t="s">
        <v>635</v>
      </c>
      <c r="G23" t="s">
        <v>636</v>
      </c>
      <c r="H23" t="s">
        <v>637</v>
      </c>
      <c r="I23" t="s">
        <v>201</v>
      </c>
      <c r="J23" t="s">
        <v>175</v>
      </c>
      <c r="K23" s="30">
        <v>43032</v>
      </c>
      <c r="L23" s="8">
        <v>43029.002870370372</v>
      </c>
      <c r="M23" s="21">
        <f>LEN(ProjTextTable[[#This Row],[text]])</f>
        <v>3294</v>
      </c>
      <c r="N23" s="21">
        <f>LEN(TRIM(CLEAN(SUBSTITUTE(ProjTextTable[[#This Row],[text]],CHAR(10)," "))))+1 - LEN(SUBSTITUTE(CLEAN(SUBSTITUTE(ProjTextTable[[#This Row],[text]],CHAR(10)," "))," ",""))</f>
        <v>495</v>
      </c>
      <c r="O23" t="s">
        <v>193</v>
      </c>
      <c r="P23" t="s">
        <v>638</v>
      </c>
    </row>
    <row r="24" spans="1:16" x14ac:dyDescent="0.4">
      <c r="A24">
        <f t="shared" si="0"/>
        <v>3</v>
      </c>
      <c r="B24" t="s">
        <v>630</v>
      </c>
      <c r="C24" t="s">
        <v>631</v>
      </c>
      <c r="D24" t="s">
        <v>192</v>
      </c>
      <c r="E24" t="s">
        <v>604</v>
      </c>
      <c r="F24" t="s">
        <v>639</v>
      </c>
      <c r="G24" t="s">
        <v>640</v>
      </c>
      <c r="H24" t="s">
        <v>641</v>
      </c>
      <c r="I24" t="s">
        <v>201</v>
      </c>
      <c r="J24" t="s">
        <v>175</v>
      </c>
      <c r="K24" s="30">
        <v>43032</v>
      </c>
      <c r="L24" s="8">
        <v>43030.179826388892</v>
      </c>
      <c r="M24" s="21">
        <f>LEN(ProjTextTable[[#This Row],[text]])</f>
        <v>2298</v>
      </c>
      <c r="N24" s="21">
        <f>LEN(TRIM(CLEAN(SUBSTITUTE(ProjTextTable[[#This Row],[text]],CHAR(10)," "))))+1 - LEN(SUBSTITUTE(CLEAN(SUBSTITUTE(ProjTextTable[[#This Row],[text]],CHAR(10)," "))," ",""))</f>
        <v>339</v>
      </c>
      <c r="O24" t="s">
        <v>196</v>
      </c>
      <c r="P24" t="s">
        <v>642</v>
      </c>
    </row>
    <row r="25" spans="1:16" x14ac:dyDescent="0.4">
      <c r="A25">
        <f t="shared" si="0"/>
        <v>3</v>
      </c>
      <c r="B25" t="s">
        <v>630</v>
      </c>
      <c r="C25" t="s">
        <v>631</v>
      </c>
      <c r="D25" t="s">
        <v>192</v>
      </c>
      <c r="E25" t="s">
        <v>611</v>
      </c>
      <c r="F25" t="s">
        <v>643</v>
      </c>
      <c r="G25" t="s">
        <v>644</v>
      </c>
      <c r="H25" t="s">
        <v>645</v>
      </c>
      <c r="I25" t="s">
        <v>201</v>
      </c>
      <c r="J25" t="s">
        <v>175</v>
      </c>
      <c r="K25" s="30">
        <v>43032</v>
      </c>
      <c r="L25" s="8">
        <v>43028.861863425926</v>
      </c>
      <c r="M25" s="21">
        <f>LEN(ProjTextTable[[#This Row],[text]])</f>
        <v>2774</v>
      </c>
      <c r="N25" s="21">
        <f>LEN(TRIM(CLEAN(SUBSTITUTE(ProjTextTable[[#This Row],[text]],CHAR(10)," "))))+1 - LEN(SUBSTITUTE(CLEAN(SUBSTITUTE(ProjTextTable[[#This Row],[text]],CHAR(10)," "))," ",""))</f>
        <v>392</v>
      </c>
      <c r="O25" t="s">
        <v>229</v>
      </c>
      <c r="P25" t="s">
        <v>646</v>
      </c>
    </row>
    <row r="26" spans="1:16" x14ac:dyDescent="0.4">
      <c r="A26">
        <f t="shared" si="0"/>
        <v>3</v>
      </c>
      <c r="B26" t="s">
        <v>630</v>
      </c>
      <c r="C26" t="s">
        <v>631</v>
      </c>
      <c r="D26" t="s">
        <v>192</v>
      </c>
      <c r="E26" t="s">
        <v>611</v>
      </c>
      <c r="F26" t="s">
        <v>647</v>
      </c>
      <c r="G26" t="s">
        <v>648</v>
      </c>
      <c r="H26" t="s">
        <v>649</v>
      </c>
      <c r="I26" t="s">
        <v>201</v>
      </c>
      <c r="J26" t="s">
        <v>175</v>
      </c>
      <c r="K26" s="30">
        <v>43032</v>
      </c>
      <c r="L26" s="8">
        <v>43029.985185185185</v>
      </c>
      <c r="M26" s="21">
        <f>LEN(ProjTextTable[[#This Row],[text]])</f>
        <v>3648</v>
      </c>
      <c r="N26" s="21">
        <f>LEN(TRIM(CLEAN(SUBSTITUTE(ProjTextTable[[#This Row],[text]],CHAR(10)," "))))+1 - LEN(SUBSTITUTE(CLEAN(SUBSTITUTE(ProjTextTable[[#This Row],[text]],CHAR(10)," "))," ",""))</f>
        <v>547</v>
      </c>
      <c r="O26" t="s">
        <v>199</v>
      </c>
      <c r="P26" t="s">
        <v>650</v>
      </c>
    </row>
    <row r="27" spans="1:16" x14ac:dyDescent="0.4">
      <c r="A27">
        <f t="shared" si="0"/>
        <v>3</v>
      </c>
      <c r="B27" t="s">
        <v>630</v>
      </c>
      <c r="C27" t="s">
        <v>631</v>
      </c>
      <c r="D27" t="s">
        <v>194</v>
      </c>
      <c r="E27" t="s">
        <v>604</v>
      </c>
      <c r="F27" t="s">
        <v>13</v>
      </c>
      <c r="G27" t="s">
        <v>13</v>
      </c>
      <c r="H27" t="s">
        <v>13</v>
      </c>
      <c r="K27" s="30"/>
      <c r="L27" s="8">
        <v>42934.042766203704</v>
      </c>
      <c r="M27" s="21">
        <f>LEN(ProjTextTable[[#This Row],[text]])</f>
        <v>3482</v>
      </c>
      <c r="N27" s="21">
        <f>LEN(TRIM(CLEAN(SUBSTITUTE(ProjTextTable[[#This Row],[text]],CHAR(10)," "))))+1 - LEN(SUBSTITUTE(CLEAN(SUBSTITUTE(ProjTextTable[[#This Row],[text]],CHAR(10)," "))," ",""))</f>
        <v>489</v>
      </c>
      <c r="O27" t="s">
        <v>13</v>
      </c>
      <c r="P27" t="s">
        <v>651</v>
      </c>
    </row>
    <row r="28" spans="1:16" x14ac:dyDescent="0.4">
      <c r="A28">
        <f t="shared" si="0"/>
        <v>4</v>
      </c>
      <c r="B28" t="s">
        <v>652</v>
      </c>
      <c r="C28" t="s">
        <v>653</v>
      </c>
      <c r="D28" t="s">
        <v>533</v>
      </c>
      <c r="E28" t="s">
        <v>654</v>
      </c>
      <c r="F28" t="s">
        <v>605</v>
      </c>
      <c r="G28" t="s">
        <v>606</v>
      </c>
      <c r="H28" t="s">
        <v>541</v>
      </c>
      <c r="I28" t="s">
        <v>536</v>
      </c>
      <c r="J28" t="s">
        <v>632</v>
      </c>
      <c r="K28" s="30">
        <v>43031</v>
      </c>
      <c r="L28" s="8">
        <v>43032.613020833334</v>
      </c>
      <c r="M28" s="21">
        <f>LEN(ProjTextTable[[#This Row],[text]])</f>
        <v>4890</v>
      </c>
      <c r="N28" s="21">
        <f>LEN(TRIM(CLEAN(SUBSTITUTE(ProjTextTable[[#This Row],[text]],CHAR(10)," "))))+1 - LEN(SUBSTITUTE(CLEAN(SUBSTITUTE(ProjTextTable[[#This Row],[text]],CHAR(10)," "))," ",""))</f>
        <v>733</v>
      </c>
      <c r="O28" t="s">
        <v>542</v>
      </c>
      <c r="P28" t="s">
        <v>655</v>
      </c>
    </row>
    <row r="29" spans="1:16" x14ac:dyDescent="0.4">
      <c r="A29">
        <f t="shared" si="0"/>
        <v>4</v>
      </c>
      <c r="B29" t="s">
        <v>652</v>
      </c>
      <c r="C29" t="s">
        <v>653</v>
      </c>
      <c r="D29" t="s">
        <v>2</v>
      </c>
      <c r="E29" t="s">
        <v>654</v>
      </c>
      <c r="F29" t="s">
        <v>13</v>
      </c>
      <c r="G29" t="s">
        <v>609</v>
      </c>
      <c r="H29" t="s">
        <v>13</v>
      </c>
      <c r="I29" t="s">
        <v>13</v>
      </c>
      <c r="K29" s="30"/>
      <c r="L29" s="8">
        <v>43082.662615740737</v>
      </c>
      <c r="M29" s="21">
        <f>LEN(ProjTextTable[[#This Row],[text]])</f>
        <v>1941</v>
      </c>
      <c r="N29" s="21">
        <f>LEN(TRIM(CLEAN(SUBSTITUTE(ProjTextTable[[#This Row],[text]],CHAR(10)," "))))+1 - LEN(SUBSTITUTE(CLEAN(SUBSTITUTE(ProjTextTable[[#This Row],[text]],CHAR(10)," "))," ",""))</f>
        <v>284</v>
      </c>
      <c r="O29" t="s">
        <v>13</v>
      </c>
      <c r="P29" t="s">
        <v>656</v>
      </c>
    </row>
    <row r="30" spans="1:16" x14ac:dyDescent="0.4">
      <c r="A30">
        <f t="shared" si="0"/>
        <v>4</v>
      </c>
      <c r="B30" t="s">
        <v>652</v>
      </c>
      <c r="C30" t="s">
        <v>653</v>
      </c>
      <c r="D30" t="s">
        <v>192</v>
      </c>
      <c r="E30" t="s">
        <v>611</v>
      </c>
      <c r="F30" t="s">
        <v>617</v>
      </c>
      <c r="G30" t="s">
        <v>618</v>
      </c>
      <c r="H30" t="s">
        <v>619</v>
      </c>
      <c r="I30" t="s">
        <v>201</v>
      </c>
      <c r="J30" t="s">
        <v>175</v>
      </c>
      <c r="K30" s="30">
        <v>43032</v>
      </c>
      <c r="L30" s="8">
        <v>43032.397743055553</v>
      </c>
      <c r="M30" s="21">
        <f>LEN(ProjTextTable[[#This Row],[text]])</f>
        <v>3674</v>
      </c>
      <c r="N30" s="21">
        <f>LEN(TRIM(CLEAN(SUBSTITUTE(ProjTextTable[[#This Row],[text]],CHAR(10)," "))))+1 - LEN(SUBSTITUTE(CLEAN(SUBSTITUTE(ProjTextTable[[#This Row],[text]],CHAR(10)," "))," ",""))</f>
        <v>555</v>
      </c>
      <c r="O30" t="s">
        <v>193</v>
      </c>
      <c r="P30" t="s">
        <v>657</v>
      </c>
    </row>
    <row r="31" spans="1:16" x14ac:dyDescent="0.4">
      <c r="A31">
        <f t="shared" si="0"/>
        <v>4</v>
      </c>
      <c r="B31" t="s">
        <v>652</v>
      </c>
      <c r="C31" t="s">
        <v>653</v>
      </c>
      <c r="D31" t="s">
        <v>192</v>
      </c>
      <c r="E31" t="s">
        <v>611</v>
      </c>
      <c r="F31" t="s">
        <v>621</v>
      </c>
      <c r="G31" t="s">
        <v>622</v>
      </c>
      <c r="H31" t="s">
        <v>623</v>
      </c>
      <c r="I31" t="s">
        <v>201</v>
      </c>
      <c r="J31" t="s">
        <v>175</v>
      </c>
      <c r="K31" s="30">
        <v>43032</v>
      </c>
      <c r="L31" s="8">
        <v>43026.400833333333</v>
      </c>
      <c r="M31" s="21">
        <f>LEN(ProjTextTable[[#This Row],[text]])</f>
        <v>2867</v>
      </c>
      <c r="N31" s="21">
        <f>LEN(TRIM(CLEAN(SUBSTITUTE(ProjTextTable[[#This Row],[text]],CHAR(10)," "))))+1 - LEN(SUBSTITUTE(CLEAN(SUBSTITUTE(ProjTextTable[[#This Row],[text]],CHAR(10)," "))," ",""))</f>
        <v>428</v>
      </c>
      <c r="O31" t="s">
        <v>195</v>
      </c>
      <c r="P31" t="s">
        <v>658</v>
      </c>
    </row>
    <row r="32" spans="1:16" x14ac:dyDescent="0.4">
      <c r="A32">
        <f t="shared" si="0"/>
        <v>4</v>
      </c>
      <c r="B32" t="s">
        <v>652</v>
      </c>
      <c r="C32" t="s">
        <v>653</v>
      </c>
      <c r="D32" t="s">
        <v>192</v>
      </c>
      <c r="E32" t="s">
        <v>611</v>
      </c>
      <c r="F32" t="s">
        <v>659</v>
      </c>
      <c r="G32" t="s">
        <v>660</v>
      </c>
      <c r="H32" t="s">
        <v>661</v>
      </c>
      <c r="I32" t="s">
        <v>201</v>
      </c>
      <c r="J32" t="s">
        <v>175</v>
      </c>
      <c r="K32" s="30">
        <v>43032</v>
      </c>
      <c r="L32" s="8">
        <v>43032.510775462964</v>
      </c>
      <c r="M32" s="21">
        <f>LEN(ProjTextTable[[#This Row],[text]])</f>
        <v>6678</v>
      </c>
      <c r="N32" s="21">
        <f>LEN(TRIM(CLEAN(SUBSTITUTE(ProjTextTable[[#This Row],[text]],CHAR(10)," "))))+1 - LEN(SUBSTITUTE(CLEAN(SUBSTITUTE(ProjTextTable[[#This Row],[text]],CHAR(10)," "))," ",""))</f>
        <v>1128</v>
      </c>
      <c r="O32" t="s">
        <v>196</v>
      </c>
      <c r="P32" t="s">
        <v>662</v>
      </c>
    </row>
    <row r="33" spans="1:16" x14ac:dyDescent="0.4">
      <c r="A33">
        <f t="shared" si="0"/>
        <v>4</v>
      </c>
      <c r="B33" t="s">
        <v>652</v>
      </c>
      <c r="C33" t="s">
        <v>653</v>
      </c>
      <c r="D33" t="s">
        <v>192</v>
      </c>
      <c r="E33" t="s">
        <v>611</v>
      </c>
      <c r="F33" t="s">
        <v>647</v>
      </c>
      <c r="G33" t="s">
        <v>648</v>
      </c>
      <c r="H33" t="s">
        <v>649</v>
      </c>
      <c r="I33" t="s">
        <v>201</v>
      </c>
      <c r="J33" t="s">
        <v>175</v>
      </c>
      <c r="K33" s="30">
        <v>43032</v>
      </c>
      <c r="L33" s="8">
        <v>43030.016840277778</v>
      </c>
      <c r="M33" s="21">
        <f>LEN(ProjTextTable[[#This Row],[text]])</f>
        <v>2387</v>
      </c>
      <c r="N33" s="21">
        <f>LEN(TRIM(CLEAN(SUBSTITUTE(ProjTextTable[[#This Row],[text]],CHAR(10)," "))))+1 - LEN(SUBSTITUTE(CLEAN(SUBSTITUTE(ProjTextTable[[#This Row],[text]],CHAR(10)," "))," ",""))</f>
        <v>347</v>
      </c>
      <c r="O33" t="s">
        <v>229</v>
      </c>
      <c r="P33" t="s">
        <v>663</v>
      </c>
    </row>
    <row r="34" spans="1:16" x14ac:dyDescent="0.4">
      <c r="A34">
        <f t="shared" si="0"/>
        <v>4</v>
      </c>
      <c r="B34" t="s">
        <v>652</v>
      </c>
      <c r="C34" t="s">
        <v>653</v>
      </c>
      <c r="D34" t="s">
        <v>192</v>
      </c>
      <c r="E34" t="s">
        <v>611</v>
      </c>
      <c r="F34" t="s">
        <v>664</v>
      </c>
      <c r="G34" t="s">
        <v>665</v>
      </c>
      <c r="H34" t="s">
        <v>666</v>
      </c>
      <c r="I34" t="s">
        <v>201</v>
      </c>
      <c r="J34" t="s">
        <v>175</v>
      </c>
      <c r="K34" s="30">
        <v>43032</v>
      </c>
      <c r="L34" s="8">
        <v>43028.956053240741</v>
      </c>
      <c r="M34" s="21">
        <f>LEN(ProjTextTable[[#This Row],[text]])</f>
        <v>1695</v>
      </c>
      <c r="N34" s="21">
        <f>LEN(TRIM(CLEAN(SUBSTITUTE(ProjTextTable[[#This Row],[text]],CHAR(10)," "))))+1 - LEN(SUBSTITUTE(CLEAN(SUBSTITUTE(ProjTextTable[[#This Row],[text]],CHAR(10)," "))," ",""))</f>
        <v>264</v>
      </c>
      <c r="O34" t="s">
        <v>193</v>
      </c>
      <c r="P34" t="s">
        <v>667</v>
      </c>
    </row>
    <row r="35" spans="1:16" x14ac:dyDescent="0.4">
      <c r="A35">
        <f t="shared" si="0"/>
        <v>4</v>
      </c>
      <c r="B35" t="s">
        <v>652</v>
      </c>
      <c r="C35" t="s">
        <v>653</v>
      </c>
      <c r="D35" t="s">
        <v>194</v>
      </c>
      <c r="E35" t="s">
        <v>654</v>
      </c>
      <c r="F35" t="s">
        <v>13</v>
      </c>
      <c r="G35" t="s">
        <v>13</v>
      </c>
      <c r="H35" t="s">
        <v>13</v>
      </c>
      <c r="K35" s="30"/>
      <c r="L35" s="8">
        <v>42934.04283564815</v>
      </c>
      <c r="M35" s="21">
        <f>LEN(ProjTextTable[[#This Row],[text]])</f>
        <v>3485</v>
      </c>
      <c r="N35" s="21">
        <f>LEN(TRIM(CLEAN(SUBSTITUTE(ProjTextTable[[#This Row],[text]],CHAR(10)," "))))+1 - LEN(SUBSTITUTE(CLEAN(SUBSTITUTE(ProjTextTable[[#This Row],[text]],CHAR(10)," "))," ",""))</f>
        <v>473</v>
      </c>
      <c r="O35" t="s">
        <v>13</v>
      </c>
      <c r="P35" t="s">
        <v>668</v>
      </c>
    </row>
    <row r="36" spans="1:16" x14ac:dyDescent="0.4">
      <c r="A36">
        <f t="shared" si="0"/>
        <v>5</v>
      </c>
      <c r="B36" t="s">
        <v>669</v>
      </c>
      <c r="C36" t="s">
        <v>670</v>
      </c>
      <c r="D36" t="s">
        <v>533</v>
      </c>
      <c r="E36" t="s">
        <v>604</v>
      </c>
      <c r="F36" t="s">
        <v>605</v>
      </c>
      <c r="G36" t="s">
        <v>606</v>
      </c>
      <c r="H36" t="s">
        <v>539</v>
      </c>
      <c r="I36" t="s">
        <v>535</v>
      </c>
      <c r="J36" t="s">
        <v>536</v>
      </c>
      <c r="K36" s="30">
        <v>43031</v>
      </c>
      <c r="L36" s="8">
        <v>43032.60560185185</v>
      </c>
      <c r="M36" s="21">
        <f>LEN(ProjTextTable[[#This Row],[text]])</f>
        <v>4547</v>
      </c>
      <c r="N36" s="21">
        <f>LEN(TRIM(CLEAN(SUBSTITUTE(ProjTextTable[[#This Row],[text]],CHAR(10)," "))))+1 - LEN(SUBSTITUTE(CLEAN(SUBSTITUTE(ProjTextTable[[#This Row],[text]],CHAR(10)," "))," ",""))</f>
        <v>673</v>
      </c>
      <c r="O36" t="s">
        <v>540</v>
      </c>
      <c r="P36" t="s">
        <v>671</v>
      </c>
    </row>
    <row r="37" spans="1:16" x14ac:dyDescent="0.4">
      <c r="A37">
        <f t="shared" si="0"/>
        <v>5</v>
      </c>
      <c r="B37" t="s">
        <v>669</v>
      </c>
      <c r="C37" t="s">
        <v>670</v>
      </c>
      <c r="D37" t="s">
        <v>192</v>
      </c>
      <c r="E37" t="s">
        <v>611</v>
      </c>
      <c r="F37" t="s">
        <v>612</v>
      </c>
      <c r="G37" t="s">
        <v>613</v>
      </c>
      <c r="H37" t="s">
        <v>614</v>
      </c>
      <c r="I37" t="s">
        <v>201</v>
      </c>
      <c r="J37" t="s">
        <v>175</v>
      </c>
      <c r="K37" s="30">
        <v>43032</v>
      </c>
      <c r="L37" s="8">
        <v>43031.584305555552</v>
      </c>
      <c r="M37" s="21">
        <f>LEN(ProjTextTable[[#This Row],[text]])</f>
        <v>2413</v>
      </c>
      <c r="N37" s="21">
        <f>LEN(TRIM(CLEAN(SUBSTITUTE(ProjTextTable[[#This Row],[text]],CHAR(10)," "))))+1 - LEN(SUBSTITUTE(CLEAN(SUBSTITUTE(ProjTextTable[[#This Row],[text]],CHAR(10)," "))," ",""))</f>
        <v>378</v>
      </c>
      <c r="O37" t="s">
        <v>195</v>
      </c>
      <c r="P37" t="s">
        <v>672</v>
      </c>
    </row>
    <row r="38" spans="1:16" x14ac:dyDescent="0.4">
      <c r="A38">
        <f t="shared" si="0"/>
        <v>5</v>
      </c>
      <c r="B38" t="s">
        <v>669</v>
      </c>
      <c r="C38" t="s">
        <v>670</v>
      </c>
      <c r="D38" t="s">
        <v>192</v>
      </c>
      <c r="E38" t="s">
        <v>611</v>
      </c>
      <c r="F38" t="s">
        <v>617</v>
      </c>
      <c r="G38" t="s">
        <v>618</v>
      </c>
      <c r="H38" t="s">
        <v>619</v>
      </c>
      <c r="I38" t="s">
        <v>201</v>
      </c>
      <c r="J38" t="s">
        <v>175</v>
      </c>
      <c r="K38" s="30">
        <v>43032</v>
      </c>
      <c r="L38" s="8">
        <v>43031.433321759258</v>
      </c>
      <c r="M38" s="21">
        <f>LEN(ProjTextTable[[#This Row],[text]])</f>
        <v>2325</v>
      </c>
      <c r="N38" s="21">
        <f>LEN(TRIM(CLEAN(SUBSTITUTE(ProjTextTable[[#This Row],[text]],CHAR(10)," "))))+1 - LEN(SUBSTITUTE(CLEAN(SUBSTITUTE(ProjTextTable[[#This Row],[text]],CHAR(10)," "))," ",""))</f>
        <v>359</v>
      </c>
      <c r="O38" t="s">
        <v>198</v>
      </c>
      <c r="P38" t="s">
        <v>673</v>
      </c>
    </row>
    <row r="39" spans="1:16" x14ac:dyDescent="0.4">
      <c r="A39">
        <f t="shared" si="0"/>
        <v>5</v>
      </c>
      <c r="B39" t="s">
        <v>669</v>
      </c>
      <c r="C39" t="s">
        <v>670</v>
      </c>
      <c r="D39" t="s">
        <v>192</v>
      </c>
      <c r="E39" t="s">
        <v>604</v>
      </c>
      <c r="F39" t="s">
        <v>625</v>
      </c>
      <c r="G39" t="s">
        <v>626</v>
      </c>
      <c r="H39" t="s">
        <v>627</v>
      </c>
      <c r="I39" t="s">
        <v>201</v>
      </c>
      <c r="J39" t="s">
        <v>175</v>
      </c>
      <c r="K39" s="30">
        <v>43032</v>
      </c>
      <c r="L39" s="8">
        <v>43018.886724537035</v>
      </c>
      <c r="M39" s="21">
        <f>LEN(ProjTextTable[[#This Row],[text]])</f>
        <v>1961</v>
      </c>
      <c r="N39" s="21">
        <f>LEN(TRIM(CLEAN(SUBSTITUTE(ProjTextTable[[#This Row],[text]],CHAR(10)," "))))+1 - LEN(SUBSTITUTE(CLEAN(SUBSTITUTE(ProjTextTable[[#This Row],[text]],CHAR(10)," "))," ",""))</f>
        <v>296</v>
      </c>
      <c r="O39" t="s">
        <v>196</v>
      </c>
      <c r="P39" t="s">
        <v>674</v>
      </c>
    </row>
    <row r="40" spans="1:16" x14ac:dyDescent="0.4">
      <c r="A40">
        <f t="shared" si="0"/>
        <v>5</v>
      </c>
      <c r="B40" t="s">
        <v>669</v>
      </c>
      <c r="C40" t="s">
        <v>670</v>
      </c>
      <c r="D40" t="s">
        <v>192</v>
      </c>
      <c r="E40" t="s">
        <v>611</v>
      </c>
      <c r="F40" t="s">
        <v>664</v>
      </c>
      <c r="G40" t="s">
        <v>665</v>
      </c>
      <c r="H40" t="s">
        <v>666</v>
      </c>
      <c r="I40" t="s">
        <v>201</v>
      </c>
      <c r="J40" t="s">
        <v>175</v>
      </c>
      <c r="K40" s="30">
        <v>43032</v>
      </c>
      <c r="L40" s="8">
        <v>43029.019606481481</v>
      </c>
      <c r="M40" s="21">
        <f>LEN(ProjTextTable[[#This Row],[text]])</f>
        <v>1910</v>
      </c>
      <c r="N40" s="21">
        <f>LEN(TRIM(CLEAN(SUBSTITUTE(ProjTextTable[[#This Row],[text]],CHAR(10)," "))))+1 - LEN(SUBSTITUTE(CLEAN(SUBSTITUTE(ProjTextTable[[#This Row],[text]],CHAR(10)," "))," ",""))</f>
        <v>279</v>
      </c>
      <c r="O40" t="s">
        <v>196</v>
      </c>
      <c r="P40" t="s">
        <v>675</v>
      </c>
    </row>
    <row r="41" spans="1:16" x14ac:dyDescent="0.4">
      <c r="A41">
        <f t="shared" si="0"/>
        <v>5</v>
      </c>
      <c r="B41" t="s">
        <v>669</v>
      </c>
      <c r="C41" t="s">
        <v>670</v>
      </c>
      <c r="D41" t="s">
        <v>194</v>
      </c>
      <c r="E41" t="s">
        <v>604</v>
      </c>
      <c r="F41" t="s">
        <v>13</v>
      </c>
      <c r="G41" t="s">
        <v>13</v>
      </c>
      <c r="H41" t="s">
        <v>13</v>
      </c>
      <c r="K41" s="30"/>
      <c r="L41" s="8">
        <v>42934.043171296296</v>
      </c>
      <c r="M41" s="21">
        <f>LEN(ProjTextTable[[#This Row],[text]])</f>
        <v>4358</v>
      </c>
      <c r="N41" s="21">
        <f>LEN(TRIM(CLEAN(SUBSTITUTE(ProjTextTable[[#This Row],[text]],CHAR(10)," "))))+1 - LEN(SUBSTITUTE(CLEAN(SUBSTITUTE(ProjTextTable[[#This Row],[text]],CHAR(10)," "))," ",""))</f>
        <v>666</v>
      </c>
      <c r="O41" t="s">
        <v>13</v>
      </c>
      <c r="P41" t="s">
        <v>676</v>
      </c>
    </row>
    <row r="42" spans="1:16" x14ac:dyDescent="0.4">
      <c r="A42">
        <f t="shared" si="0"/>
        <v>6</v>
      </c>
      <c r="B42" t="s">
        <v>677</v>
      </c>
      <c r="C42" t="s">
        <v>678</v>
      </c>
      <c r="D42" t="s">
        <v>533</v>
      </c>
      <c r="E42" t="s">
        <v>604</v>
      </c>
      <c r="F42" t="s">
        <v>605</v>
      </c>
      <c r="G42" t="s">
        <v>606</v>
      </c>
      <c r="H42" t="s">
        <v>543</v>
      </c>
      <c r="I42" t="s">
        <v>537</v>
      </c>
      <c r="J42" t="s">
        <v>537</v>
      </c>
      <c r="K42" s="30">
        <v>43031</v>
      </c>
      <c r="L42" s="8">
        <v>43032.642650462964</v>
      </c>
      <c r="M42" s="21">
        <f>LEN(ProjTextTable[[#This Row],[text]])</f>
        <v>3611</v>
      </c>
      <c r="N42" s="21">
        <f>LEN(TRIM(CLEAN(SUBSTITUTE(ProjTextTable[[#This Row],[text]],CHAR(10)," "))))+1 - LEN(SUBSTITUTE(CLEAN(SUBSTITUTE(ProjTextTable[[#This Row],[text]],CHAR(10)," "))," ",""))</f>
        <v>527</v>
      </c>
      <c r="O42" t="s">
        <v>544</v>
      </c>
      <c r="P42" t="s">
        <v>679</v>
      </c>
    </row>
    <row r="43" spans="1:16" x14ac:dyDescent="0.4">
      <c r="A43">
        <f t="shared" si="0"/>
        <v>6</v>
      </c>
      <c r="B43" t="s">
        <v>677</v>
      </c>
      <c r="C43" t="s">
        <v>678</v>
      </c>
      <c r="D43" t="s">
        <v>192</v>
      </c>
      <c r="E43" t="s">
        <v>611</v>
      </c>
      <c r="F43" t="s">
        <v>643</v>
      </c>
      <c r="G43" t="s">
        <v>644</v>
      </c>
      <c r="H43" t="s">
        <v>645</v>
      </c>
      <c r="I43" t="s">
        <v>201</v>
      </c>
      <c r="J43" t="s">
        <v>175</v>
      </c>
      <c r="K43" s="30">
        <v>43032</v>
      </c>
      <c r="L43" s="8">
        <v>43028.861875000002</v>
      </c>
      <c r="M43" s="21">
        <f>LEN(ProjTextTable[[#This Row],[text]])</f>
        <v>2647</v>
      </c>
      <c r="N43" s="21">
        <f>LEN(TRIM(CLEAN(SUBSTITUTE(ProjTextTable[[#This Row],[text]],CHAR(10)," "))))+1 - LEN(SUBSTITUTE(CLEAN(SUBSTITUTE(ProjTextTable[[#This Row],[text]],CHAR(10)," "))," ",""))</f>
        <v>399</v>
      </c>
      <c r="O43" t="s">
        <v>229</v>
      </c>
      <c r="P43" t="s">
        <v>680</v>
      </c>
    </row>
    <row r="44" spans="1:16" x14ac:dyDescent="0.4">
      <c r="A44">
        <f t="shared" si="0"/>
        <v>6</v>
      </c>
      <c r="B44" t="s">
        <v>677</v>
      </c>
      <c r="C44" t="s">
        <v>678</v>
      </c>
      <c r="D44" t="s">
        <v>192</v>
      </c>
      <c r="E44" t="s">
        <v>611</v>
      </c>
      <c r="F44" t="s">
        <v>617</v>
      </c>
      <c r="G44" t="s">
        <v>618</v>
      </c>
      <c r="H44" t="s">
        <v>619</v>
      </c>
      <c r="I44" t="s">
        <v>201</v>
      </c>
      <c r="J44" t="s">
        <v>175</v>
      </c>
      <c r="K44" s="30">
        <v>43032</v>
      </c>
      <c r="L44" s="8">
        <v>43031.376006944447</v>
      </c>
      <c r="M44" s="21">
        <f>LEN(ProjTextTable[[#This Row],[text]])</f>
        <v>2191</v>
      </c>
      <c r="N44" s="21">
        <f>LEN(TRIM(CLEAN(SUBSTITUTE(ProjTextTable[[#This Row],[text]],CHAR(10)," "))))+1 - LEN(SUBSTITUTE(CLEAN(SUBSTITUTE(ProjTextTable[[#This Row],[text]],CHAR(10)," "))," ",""))</f>
        <v>350</v>
      </c>
      <c r="O44" t="s">
        <v>229</v>
      </c>
      <c r="P44" t="s">
        <v>681</v>
      </c>
    </row>
    <row r="45" spans="1:16" x14ac:dyDescent="0.4">
      <c r="A45">
        <f t="shared" si="0"/>
        <v>6</v>
      </c>
      <c r="B45" t="s">
        <v>677</v>
      </c>
      <c r="C45" t="s">
        <v>678</v>
      </c>
      <c r="D45" t="s">
        <v>192</v>
      </c>
      <c r="E45" t="s">
        <v>611</v>
      </c>
      <c r="F45" t="s">
        <v>621</v>
      </c>
      <c r="G45" t="s">
        <v>622</v>
      </c>
      <c r="H45" t="s">
        <v>623</v>
      </c>
      <c r="I45" t="s">
        <v>201</v>
      </c>
      <c r="J45" t="s">
        <v>175</v>
      </c>
      <c r="K45" s="30">
        <v>43032</v>
      </c>
      <c r="L45" s="8">
        <v>43030.878263888888</v>
      </c>
      <c r="M45" s="21">
        <f>LEN(ProjTextTable[[#This Row],[text]])</f>
        <v>1995</v>
      </c>
      <c r="N45" s="21">
        <f>LEN(TRIM(CLEAN(SUBSTITUTE(ProjTextTable[[#This Row],[text]],CHAR(10)," "))))+1 - LEN(SUBSTITUTE(CLEAN(SUBSTITUTE(ProjTextTable[[#This Row],[text]],CHAR(10)," "))," ",""))</f>
        <v>300</v>
      </c>
      <c r="O45" t="s">
        <v>195</v>
      </c>
      <c r="P45" t="s">
        <v>682</v>
      </c>
    </row>
    <row r="46" spans="1:16" x14ac:dyDescent="0.4">
      <c r="A46">
        <f t="shared" si="0"/>
        <v>6</v>
      </c>
      <c r="B46" t="s">
        <v>677</v>
      </c>
      <c r="C46" t="s">
        <v>678</v>
      </c>
      <c r="D46" t="s">
        <v>192</v>
      </c>
      <c r="E46" t="s">
        <v>604</v>
      </c>
      <c r="F46" t="s">
        <v>625</v>
      </c>
      <c r="G46" t="s">
        <v>626</v>
      </c>
      <c r="H46" t="s">
        <v>627</v>
      </c>
      <c r="I46" t="s">
        <v>201</v>
      </c>
      <c r="J46" t="s">
        <v>175</v>
      </c>
      <c r="K46" s="30">
        <v>43032</v>
      </c>
      <c r="L46" s="8">
        <v>43023.931284722225</v>
      </c>
      <c r="M46" s="21">
        <f>LEN(ProjTextTable[[#This Row],[text]])</f>
        <v>2561</v>
      </c>
      <c r="N46" s="21">
        <f>LEN(TRIM(CLEAN(SUBSTITUTE(ProjTextTable[[#This Row],[text]],CHAR(10)," "))))+1 - LEN(SUBSTITUTE(CLEAN(SUBSTITUTE(ProjTextTable[[#This Row],[text]],CHAR(10)," "))," ",""))</f>
        <v>401</v>
      </c>
      <c r="O46" t="s">
        <v>198</v>
      </c>
      <c r="P46" t="s">
        <v>683</v>
      </c>
    </row>
    <row r="47" spans="1:16" x14ac:dyDescent="0.4">
      <c r="A47">
        <f t="shared" si="0"/>
        <v>6</v>
      </c>
      <c r="B47" t="s">
        <v>677</v>
      </c>
      <c r="C47" t="s">
        <v>678</v>
      </c>
      <c r="D47" t="s">
        <v>194</v>
      </c>
      <c r="E47" t="s">
        <v>604</v>
      </c>
      <c r="F47" t="s">
        <v>13</v>
      </c>
      <c r="G47" t="s">
        <v>13</v>
      </c>
      <c r="H47" t="s">
        <v>13</v>
      </c>
      <c r="K47" s="30"/>
      <c r="L47" s="8">
        <v>42934.043275462966</v>
      </c>
      <c r="M47" s="21">
        <f>LEN(ProjTextTable[[#This Row],[text]])</f>
        <v>3506</v>
      </c>
      <c r="N47" s="21">
        <f>LEN(TRIM(CLEAN(SUBSTITUTE(ProjTextTable[[#This Row],[text]],CHAR(10)," "))))+1 - LEN(SUBSTITUTE(CLEAN(SUBSTITUTE(ProjTextTable[[#This Row],[text]],CHAR(10)," "))," ",""))</f>
        <v>480</v>
      </c>
      <c r="O47" t="s">
        <v>13</v>
      </c>
      <c r="P47" t="s">
        <v>684</v>
      </c>
    </row>
    <row r="48" spans="1:16" x14ac:dyDescent="0.4">
      <c r="A48">
        <f t="shared" si="0"/>
        <v>7</v>
      </c>
      <c r="B48" t="s">
        <v>685</v>
      </c>
      <c r="C48" t="s">
        <v>686</v>
      </c>
      <c r="D48" t="s">
        <v>533</v>
      </c>
      <c r="E48" t="s">
        <v>654</v>
      </c>
      <c r="F48" t="s">
        <v>605</v>
      </c>
      <c r="G48" t="s">
        <v>606</v>
      </c>
      <c r="H48" t="s">
        <v>539</v>
      </c>
      <c r="I48" t="s">
        <v>535</v>
      </c>
      <c r="J48" t="s">
        <v>355</v>
      </c>
      <c r="K48" s="30">
        <v>43031</v>
      </c>
      <c r="L48" s="8">
        <v>43032.565138888887</v>
      </c>
      <c r="M48" s="21">
        <f>LEN(ProjTextTable[[#This Row],[text]])</f>
        <v>3363</v>
      </c>
      <c r="N48" s="21">
        <f>LEN(TRIM(CLEAN(SUBSTITUTE(ProjTextTable[[#This Row],[text]],CHAR(10)," "))))+1 - LEN(SUBSTITUTE(CLEAN(SUBSTITUTE(ProjTextTable[[#This Row],[text]],CHAR(10)," "))," ",""))</f>
        <v>509</v>
      </c>
      <c r="O48" t="s">
        <v>540</v>
      </c>
      <c r="P48" t="s">
        <v>687</v>
      </c>
    </row>
    <row r="49" spans="1:16" x14ac:dyDescent="0.4">
      <c r="A49">
        <f t="shared" si="0"/>
        <v>7</v>
      </c>
      <c r="B49" t="s">
        <v>685</v>
      </c>
      <c r="C49" t="s">
        <v>686</v>
      </c>
      <c r="D49" t="s">
        <v>192</v>
      </c>
      <c r="E49" t="s">
        <v>611</v>
      </c>
      <c r="F49" t="s">
        <v>688</v>
      </c>
      <c r="G49" t="s">
        <v>689</v>
      </c>
      <c r="H49" t="s">
        <v>690</v>
      </c>
      <c r="I49" t="s">
        <v>201</v>
      </c>
      <c r="J49" t="s">
        <v>175</v>
      </c>
      <c r="K49" s="30">
        <v>43032</v>
      </c>
      <c r="L49" s="8">
        <v>43030.868946759256</v>
      </c>
      <c r="M49" s="21">
        <f>LEN(ProjTextTable[[#This Row],[text]])</f>
        <v>3913</v>
      </c>
      <c r="N49" s="21">
        <f>LEN(TRIM(CLEAN(SUBSTITUTE(ProjTextTable[[#This Row],[text]],CHAR(10)," "))))+1 - LEN(SUBSTITUTE(CLEAN(SUBSTITUTE(ProjTextTable[[#This Row],[text]],CHAR(10)," "))," ",""))</f>
        <v>608</v>
      </c>
      <c r="O49" t="s">
        <v>196</v>
      </c>
      <c r="P49" t="s">
        <v>691</v>
      </c>
    </row>
    <row r="50" spans="1:16" x14ac:dyDescent="0.4">
      <c r="A50">
        <f t="shared" si="0"/>
        <v>7</v>
      </c>
      <c r="B50" t="s">
        <v>685</v>
      </c>
      <c r="C50" t="s">
        <v>686</v>
      </c>
      <c r="D50" t="s">
        <v>192</v>
      </c>
      <c r="E50" t="s">
        <v>611</v>
      </c>
      <c r="F50" t="s">
        <v>692</v>
      </c>
      <c r="G50" t="s">
        <v>693</v>
      </c>
      <c r="H50" t="s">
        <v>694</v>
      </c>
      <c r="I50" t="s">
        <v>201</v>
      </c>
      <c r="J50" t="s">
        <v>175</v>
      </c>
      <c r="K50" s="30">
        <v>43032</v>
      </c>
      <c r="L50" s="8">
        <v>43027.621539351851</v>
      </c>
      <c r="M50" s="21">
        <f>LEN(ProjTextTable[[#This Row],[text]])</f>
        <v>2023</v>
      </c>
      <c r="N50" s="21">
        <f>LEN(TRIM(CLEAN(SUBSTITUTE(ProjTextTable[[#This Row],[text]],CHAR(10)," "))))+1 - LEN(SUBSTITUTE(CLEAN(SUBSTITUTE(ProjTextTable[[#This Row],[text]],CHAR(10)," "))," ",""))</f>
        <v>292</v>
      </c>
      <c r="O50" t="s">
        <v>196</v>
      </c>
      <c r="P50" t="s">
        <v>695</v>
      </c>
    </row>
    <row r="51" spans="1:16" x14ac:dyDescent="0.4">
      <c r="A51">
        <f t="shared" si="0"/>
        <v>7</v>
      </c>
      <c r="B51" t="s">
        <v>685</v>
      </c>
      <c r="C51" t="s">
        <v>686</v>
      </c>
      <c r="D51" t="s">
        <v>192</v>
      </c>
      <c r="E51" t="s">
        <v>611</v>
      </c>
      <c r="F51" t="s">
        <v>659</v>
      </c>
      <c r="G51" t="s">
        <v>660</v>
      </c>
      <c r="H51" t="s">
        <v>661</v>
      </c>
      <c r="I51" t="s">
        <v>201</v>
      </c>
      <c r="J51" t="s">
        <v>175</v>
      </c>
      <c r="K51" s="30">
        <v>43032</v>
      </c>
      <c r="L51" s="8">
        <v>43032.51840277778</v>
      </c>
      <c r="M51" s="21">
        <f>LEN(ProjTextTable[[#This Row],[text]])</f>
        <v>6091</v>
      </c>
      <c r="N51" s="21">
        <f>LEN(TRIM(CLEAN(SUBSTITUTE(ProjTextTable[[#This Row],[text]],CHAR(10)," "))))+1 - LEN(SUBSTITUTE(CLEAN(SUBSTITUTE(ProjTextTable[[#This Row],[text]],CHAR(10)," "))," ",""))</f>
        <v>1005</v>
      </c>
      <c r="O51" t="s">
        <v>196</v>
      </c>
      <c r="P51" t="s">
        <v>696</v>
      </c>
    </row>
    <row r="52" spans="1:16" x14ac:dyDescent="0.4">
      <c r="A52">
        <f t="shared" si="0"/>
        <v>7</v>
      </c>
      <c r="B52" t="s">
        <v>685</v>
      </c>
      <c r="C52" t="s">
        <v>686</v>
      </c>
      <c r="D52" t="s">
        <v>192</v>
      </c>
      <c r="E52" t="s">
        <v>611</v>
      </c>
      <c r="F52" t="s">
        <v>697</v>
      </c>
      <c r="G52" t="s">
        <v>698</v>
      </c>
      <c r="H52" t="s">
        <v>699</v>
      </c>
      <c r="I52" t="s">
        <v>201</v>
      </c>
      <c r="J52" t="s">
        <v>175</v>
      </c>
      <c r="K52" s="30">
        <v>43032</v>
      </c>
      <c r="L52" s="8">
        <v>43026.70616898148</v>
      </c>
      <c r="M52" s="21">
        <f>LEN(ProjTextTable[[#This Row],[text]])</f>
        <v>2375</v>
      </c>
      <c r="N52" s="21">
        <f>LEN(TRIM(CLEAN(SUBSTITUTE(ProjTextTable[[#This Row],[text]],CHAR(10)," "))))+1 - LEN(SUBSTITUTE(CLEAN(SUBSTITUTE(ProjTextTable[[#This Row],[text]],CHAR(10)," "))," ",""))</f>
        <v>373</v>
      </c>
      <c r="O52" t="s">
        <v>193</v>
      </c>
      <c r="P52" t="s">
        <v>700</v>
      </c>
    </row>
    <row r="53" spans="1:16" x14ac:dyDescent="0.4">
      <c r="A53">
        <f t="shared" si="0"/>
        <v>7</v>
      </c>
      <c r="B53" t="s">
        <v>685</v>
      </c>
      <c r="C53" t="s">
        <v>686</v>
      </c>
      <c r="D53" t="s">
        <v>194</v>
      </c>
      <c r="E53" t="s">
        <v>654</v>
      </c>
      <c r="F53" t="s">
        <v>13</v>
      </c>
      <c r="G53" t="s">
        <v>13</v>
      </c>
      <c r="H53" t="s">
        <v>13</v>
      </c>
      <c r="K53" s="30"/>
      <c r="L53" s="8">
        <v>42935.042743055557</v>
      </c>
      <c r="M53" s="21">
        <f>LEN(ProjTextTable[[#This Row],[text]])</f>
        <v>4068</v>
      </c>
      <c r="N53" s="21">
        <f>LEN(TRIM(CLEAN(SUBSTITUTE(ProjTextTable[[#This Row],[text]],CHAR(10)," "))))+1 - LEN(SUBSTITUTE(CLEAN(SUBSTITUTE(ProjTextTable[[#This Row],[text]],CHAR(10)," "))," ",""))</f>
        <v>585</v>
      </c>
      <c r="O53" t="s">
        <v>13</v>
      </c>
      <c r="P53" t="s">
        <v>701</v>
      </c>
    </row>
    <row r="54" spans="1:16" x14ac:dyDescent="0.4">
      <c r="A54">
        <f t="shared" si="0"/>
        <v>8</v>
      </c>
      <c r="B54" t="s">
        <v>702</v>
      </c>
      <c r="C54" t="s">
        <v>703</v>
      </c>
      <c r="D54" t="s">
        <v>533</v>
      </c>
      <c r="E54" t="s">
        <v>654</v>
      </c>
      <c r="F54" t="s">
        <v>605</v>
      </c>
      <c r="G54" t="s">
        <v>606</v>
      </c>
      <c r="H54" t="s">
        <v>539</v>
      </c>
      <c r="I54" t="s">
        <v>535</v>
      </c>
      <c r="J54" t="s">
        <v>545</v>
      </c>
      <c r="K54" s="30">
        <v>43031</v>
      </c>
      <c r="L54" s="8">
        <v>43032.644236111111</v>
      </c>
      <c r="M54" s="21">
        <f>LEN(ProjTextTable[[#This Row],[text]])</f>
        <v>4027</v>
      </c>
      <c r="N54" s="21">
        <f>LEN(TRIM(CLEAN(SUBSTITUTE(ProjTextTable[[#This Row],[text]],CHAR(10)," "))))+1 - LEN(SUBSTITUTE(CLEAN(SUBSTITUTE(ProjTextTable[[#This Row],[text]],CHAR(10)," "))," ",""))</f>
        <v>611</v>
      </c>
      <c r="O54" t="s">
        <v>540</v>
      </c>
      <c r="P54" t="s">
        <v>704</v>
      </c>
    </row>
    <row r="55" spans="1:16" x14ac:dyDescent="0.4">
      <c r="A55">
        <f t="shared" si="0"/>
        <v>8</v>
      </c>
      <c r="B55" t="s">
        <v>702</v>
      </c>
      <c r="C55" t="s">
        <v>703</v>
      </c>
      <c r="D55" t="s">
        <v>192</v>
      </c>
      <c r="E55" t="s">
        <v>611</v>
      </c>
      <c r="F55" t="s">
        <v>643</v>
      </c>
      <c r="G55" t="s">
        <v>644</v>
      </c>
      <c r="H55" t="s">
        <v>645</v>
      </c>
      <c r="I55" t="s">
        <v>201</v>
      </c>
      <c r="J55" t="s">
        <v>175</v>
      </c>
      <c r="K55" s="30">
        <v>43032</v>
      </c>
      <c r="L55" s="8">
        <v>43028.861875000002</v>
      </c>
      <c r="M55" s="21">
        <f>LEN(ProjTextTable[[#This Row],[text]])</f>
        <v>2572</v>
      </c>
      <c r="N55" s="21">
        <f>LEN(TRIM(CLEAN(SUBSTITUTE(ProjTextTable[[#This Row],[text]],CHAR(10)," "))))+1 - LEN(SUBSTITUTE(CLEAN(SUBSTITUTE(ProjTextTable[[#This Row],[text]],CHAR(10)," "))," ",""))</f>
        <v>393</v>
      </c>
      <c r="O55" t="s">
        <v>196</v>
      </c>
      <c r="P55" t="s">
        <v>705</v>
      </c>
    </row>
    <row r="56" spans="1:16" x14ac:dyDescent="0.4">
      <c r="A56">
        <f t="shared" si="0"/>
        <v>8</v>
      </c>
      <c r="B56" t="s">
        <v>702</v>
      </c>
      <c r="C56" t="s">
        <v>703</v>
      </c>
      <c r="D56" t="s">
        <v>192</v>
      </c>
      <c r="E56" t="s">
        <v>654</v>
      </c>
      <c r="F56" t="s">
        <v>625</v>
      </c>
      <c r="G56" t="s">
        <v>626</v>
      </c>
      <c r="H56" t="s">
        <v>627</v>
      </c>
      <c r="I56" t="s">
        <v>201</v>
      </c>
      <c r="J56" t="s">
        <v>175</v>
      </c>
      <c r="K56" s="30">
        <v>43032</v>
      </c>
      <c r="L56" s="8">
        <v>43017.899826388886</v>
      </c>
      <c r="M56" s="21">
        <f>LEN(ProjTextTable[[#This Row],[text]])</f>
        <v>3376</v>
      </c>
      <c r="N56" s="21">
        <f>LEN(TRIM(CLEAN(SUBSTITUTE(ProjTextTable[[#This Row],[text]],CHAR(10)," "))))+1 - LEN(SUBSTITUTE(CLEAN(SUBSTITUTE(ProjTextTable[[#This Row],[text]],CHAR(10)," "))," ",""))</f>
        <v>539</v>
      </c>
      <c r="O56" t="s">
        <v>196</v>
      </c>
      <c r="P56" t="s">
        <v>706</v>
      </c>
    </row>
    <row r="57" spans="1:16" x14ac:dyDescent="0.4">
      <c r="A57">
        <f t="shared" si="0"/>
        <v>8</v>
      </c>
      <c r="B57" t="s">
        <v>702</v>
      </c>
      <c r="C57" t="s">
        <v>703</v>
      </c>
      <c r="D57" t="s">
        <v>192</v>
      </c>
      <c r="E57" t="s">
        <v>611</v>
      </c>
      <c r="F57" t="s">
        <v>659</v>
      </c>
      <c r="G57" t="s">
        <v>660</v>
      </c>
      <c r="H57" t="s">
        <v>661</v>
      </c>
      <c r="I57" t="s">
        <v>201</v>
      </c>
      <c r="J57" t="s">
        <v>175</v>
      </c>
      <c r="K57" s="30">
        <v>43032</v>
      </c>
      <c r="L57" s="8">
        <v>43032.515555555554</v>
      </c>
      <c r="M57" s="21">
        <f>LEN(ProjTextTable[[#This Row],[text]])</f>
        <v>5884</v>
      </c>
      <c r="N57" s="21">
        <f>LEN(TRIM(CLEAN(SUBSTITUTE(ProjTextTable[[#This Row],[text]],CHAR(10)," "))))+1 - LEN(SUBSTITUTE(CLEAN(SUBSTITUTE(ProjTextTable[[#This Row],[text]],CHAR(10)," "))," ",""))</f>
        <v>993</v>
      </c>
      <c r="O57" t="s">
        <v>196</v>
      </c>
      <c r="P57" t="s">
        <v>707</v>
      </c>
    </row>
    <row r="58" spans="1:16" x14ac:dyDescent="0.4">
      <c r="A58">
        <f t="shared" si="0"/>
        <v>8</v>
      </c>
      <c r="B58" t="s">
        <v>702</v>
      </c>
      <c r="C58" t="s">
        <v>703</v>
      </c>
      <c r="D58" t="s">
        <v>192</v>
      </c>
      <c r="E58" t="s">
        <v>611</v>
      </c>
      <c r="F58" t="s">
        <v>708</v>
      </c>
      <c r="G58" t="s">
        <v>709</v>
      </c>
      <c r="H58" t="s">
        <v>710</v>
      </c>
      <c r="I58" t="s">
        <v>201</v>
      </c>
      <c r="J58" t="s">
        <v>175</v>
      </c>
      <c r="K58" s="30">
        <v>43032</v>
      </c>
      <c r="L58" s="8">
        <v>43030.115324074075</v>
      </c>
      <c r="M58" s="21">
        <f>LEN(ProjTextTable[[#This Row],[text]])</f>
        <v>2904</v>
      </c>
      <c r="N58" s="21">
        <f>LEN(TRIM(CLEAN(SUBSTITUTE(ProjTextTable[[#This Row],[text]],CHAR(10)," "))))+1 - LEN(SUBSTITUTE(CLEAN(SUBSTITUTE(ProjTextTable[[#This Row],[text]],CHAR(10)," "))," ",""))</f>
        <v>453</v>
      </c>
      <c r="O58" t="s">
        <v>229</v>
      </c>
      <c r="P58" t="s">
        <v>711</v>
      </c>
    </row>
    <row r="59" spans="1:16" x14ac:dyDescent="0.4">
      <c r="A59">
        <f t="shared" si="0"/>
        <v>9</v>
      </c>
      <c r="B59" t="s">
        <v>712</v>
      </c>
      <c r="C59" t="s">
        <v>713</v>
      </c>
      <c r="D59" t="s">
        <v>533</v>
      </c>
      <c r="E59" t="s">
        <v>611</v>
      </c>
      <c r="F59" t="s">
        <v>714</v>
      </c>
      <c r="G59" t="s">
        <v>715</v>
      </c>
      <c r="H59" t="s">
        <v>539</v>
      </c>
      <c r="I59" t="s">
        <v>535</v>
      </c>
      <c r="J59" t="s">
        <v>545</v>
      </c>
      <c r="K59" s="30">
        <v>43059</v>
      </c>
      <c r="L59" s="8">
        <v>43060.603310185186</v>
      </c>
      <c r="M59" s="21">
        <f>LEN(ProjTextTable[[#This Row],[text]])</f>
        <v>2457</v>
      </c>
      <c r="N59" s="21">
        <f>LEN(TRIM(CLEAN(SUBSTITUTE(ProjTextTable[[#This Row],[text]],CHAR(10)," "))))+1 - LEN(SUBSTITUTE(CLEAN(SUBSTITUTE(ProjTextTable[[#This Row],[text]],CHAR(10)," "))," ",""))</f>
        <v>367</v>
      </c>
      <c r="O59" t="s">
        <v>540</v>
      </c>
      <c r="P59" t="s">
        <v>716</v>
      </c>
    </row>
    <row r="60" spans="1:16" x14ac:dyDescent="0.4">
      <c r="A60">
        <f t="shared" si="0"/>
        <v>9</v>
      </c>
      <c r="B60" t="s">
        <v>712</v>
      </c>
      <c r="C60" t="s">
        <v>713</v>
      </c>
      <c r="D60" t="s">
        <v>192</v>
      </c>
      <c r="E60" t="s">
        <v>611</v>
      </c>
      <c r="F60" t="s">
        <v>717</v>
      </c>
      <c r="G60" t="s">
        <v>718</v>
      </c>
      <c r="H60" t="s">
        <v>719</v>
      </c>
      <c r="I60" t="s">
        <v>201</v>
      </c>
      <c r="J60" t="s">
        <v>175</v>
      </c>
      <c r="K60" s="30">
        <v>43060</v>
      </c>
      <c r="L60" s="8">
        <v>43058.884155092594</v>
      </c>
      <c r="M60" s="21">
        <f>LEN(ProjTextTable[[#This Row],[text]])</f>
        <v>3205</v>
      </c>
      <c r="N60" s="21">
        <f>LEN(TRIM(CLEAN(SUBSTITUTE(ProjTextTable[[#This Row],[text]],CHAR(10)," "))))+1 - LEN(SUBSTITUTE(CLEAN(SUBSTITUTE(ProjTextTable[[#This Row],[text]],CHAR(10)," "))," ",""))</f>
        <v>478</v>
      </c>
      <c r="O60" t="s">
        <v>196</v>
      </c>
      <c r="P60" t="s">
        <v>720</v>
      </c>
    </row>
    <row r="61" spans="1:16" x14ac:dyDescent="0.4">
      <c r="A61">
        <f t="shared" si="0"/>
        <v>9</v>
      </c>
      <c r="B61" t="s">
        <v>712</v>
      </c>
      <c r="C61" t="s">
        <v>713</v>
      </c>
      <c r="D61" t="s">
        <v>192</v>
      </c>
      <c r="E61" t="s">
        <v>611</v>
      </c>
      <c r="F61" t="s">
        <v>721</v>
      </c>
      <c r="G61" t="s">
        <v>722</v>
      </c>
      <c r="H61" t="s">
        <v>723</v>
      </c>
      <c r="I61" t="s">
        <v>201</v>
      </c>
      <c r="J61" t="s">
        <v>175</v>
      </c>
      <c r="K61" s="30">
        <v>43060</v>
      </c>
      <c r="L61" s="8">
        <v>43055.8827662037</v>
      </c>
      <c r="M61" s="21">
        <f>LEN(ProjTextTable[[#This Row],[text]])</f>
        <v>1731</v>
      </c>
      <c r="N61" s="21">
        <f>LEN(TRIM(CLEAN(SUBSTITUTE(ProjTextTable[[#This Row],[text]],CHAR(10)," "))))+1 - LEN(SUBSTITUTE(CLEAN(SUBSTITUTE(ProjTextTable[[#This Row],[text]],CHAR(10)," "))," ",""))</f>
        <v>268</v>
      </c>
      <c r="O61" t="s">
        <v>229</v>
      </c>
      <c r="P61" t="s">
        <v>724</v>
      </c>
    </row>
    <row r="62" spans="1:16" x14ac:dyDescent="0.4">
      <c r="A62">
        <f t="shared" si="0"/>
        <v>9</v>
      </c>
      <c r="B62" t="s">
        <v>712</v>
      </c>
      <c r="C62" t="s">
        <v>713</v>
      </c>
      <c r="D62" t="s">
        <v>192</v>
      </c>
      <c r="E62" t="s">
        <v>611</v>
      </c>
      <c r="F62" t="s">
        <v>725</v>
      </c>
      <c r="G62" t="s">
        <v>726</v>
      </c>
      <c r="H62" t="s">
        <v>727</v>
      </c>
      <c r="I62" t="s">
        <v>201</v>
      </c>
      <c r="J62" t="s">
        <v>175</v>
      </c>
      <c r="K62" s="30">
        <v>43060</v>
      </c>
      <c r="L62" s="8">
        <v>43059.920208333337</v>
      </c>
      <c r="M62" s="21">
        <f>LEN(ProjTextTable[[#This Row],[text]])</f>
        <v>1340</v>
      </c>
      <c r="N62" s="21">
        <f>LEN(TRIM(CLEAN(SUBSTITUTE(ProjTextTable[[#This Row],[text]],CHAR(10)," "))))+1 - LEN(SUBSTITUTE(CLEAN(SUBSTITUTE(ProjTextTable[[#This Row],[text]],CHAR(10)," "))," ",""))</f>
        <v>195</v>
      </c>
      <c r="O62" t="s">
        <v>193</v>
      </c>
      <c r="P62" t="s">
        <v>728</v>
      </c>
    </row>
    <row r="63" spans="1:16" x14ac:dyDescent="0.4">
      <c r="A63">
        <f t="shared" si="0"/>
        <v>9</v>
      </c>
      <c r="B63" t="s">
        <v>712</v>
      </c>
      <c r="C63" t="s">
        <v>713</v>
      </c>
      <c r="D63" t="s">
        <v>192</v>
      </c>
      <c r="E63" t="s">
        <v>611</v>
      </c>
      <c r="F63" t="s">
        <v>729</v>
      </c>
      <c r="G63" t="s">
        <v>730</v>
      </c>
      <c r="H63" t="s">
        <v>731</v>
      </c>
      <c r="I63" t="s">
        <v>201</v>
      </c>
      <c r="J63" t="s">
        <v>175</v>
      </c>
      <c r="K63" s="30">
        <v>43060</v>
      </c>
      <c r="L63" s="8">
        <v>43056.618009259262</v>
      </c>
      <c r="M63" s="21">
        <f>LEN(ProjTextTable[[#This Row],[text]])</f>
        <v>1555</v>
      </c>
      <c r="N63" s="21">
        <f>LEN(TRIM(CLEAN(SUBSTITUTE(ProjTextTable[[#This Row],[text]],CHAR(10)," "))))+1 - LEN(SUBSTITUTE(CLEAN(SUBSTITUTE(ProjTextTable[[#This Row],[text]],CHAR(10)," "))," ",""))</f>
        <v>240</v>
      </c>
      <c r="O63" t="s">
        <v>196</v>
      </c>
      <c r="P63" t="s">
        <v>732</v>
      </c>
    </row>
    <row r="64" spans="1:16" x14ac:dyDescent="0.4">
      <c r="A64">
        <f t="shared" si="0"/>
        <v>10</v>
      </c>
      <c r="B64" t="s">
        <v>733</v>
      </c>
      <c r="C64" t="s">
        <v>734</v>
      </c>
      <c r="D64" t="s">
        <v>533</v>
      </c>
      <c r="E64" t="s">
        <v>611</v>
      </c>
      <c r="F64" t="s">
        <v>605</v>
      </c>
      <c r="G64" t="s">
        <v>606</v>
      </c>
      <c r="H64" t="s">
        <v>539</v>
      </c>
      <c r="I64" t="s">
        <v>535</v>
      </c>
      <c r="J64" t="s">
        <v>735</v>
      </c>
      <c r="K64" s="30">
        <v>43031</v>
      </c>
      <c r="L64" s="8">
        <v>43032.670335648145</v>
      </c>
      <c r="M64" s="21">
        <f>LEN(ProjTextTable[[#This Row],[text]])</f>
        <v>3492</v>
      </c>
      <c r="N64" s="21">
        <f>LEN(TRIM(CLEAN(SUBSTITUTE(ProjTextTable[[#This Row],[text]],CHAR(10)," "))))+1 - LEN(SUBSTITUTE(CLEAN(SUBSTITUTE(ProjTextTable[[#This Row],[text]],CHAR(10)," "))," ",""))</f>
        <v>501</v>
      </c>
      <c r="O64" t="s">
        <v>540</v>
      </c>
      <c r="P64" t="s">
        <v>736</v>
      </c>
    </row>
    <row r="65" spans="1:16" x14ac:dyDescent="0.4">
      <c r="A65">
        <f t="shared" si="0"/>
        <v>10</v>
      </c>
      <c r="B65" t="s">
        <v>733</v>
      </c>
      <c r="C65" t="s">
        <v>734</v>
      </c>
      <c r="D65" t="s">
        <v>192</v>
      </c>
      <c r="E65" t="s">
        <v>611</v>
      </c>
      <c r="F65" t="s">
        <v>708</v>
      </c>
      <c r="G65" t="s">
        <v>709</v>
      </c>
      <c r="H65" t="s">
        <v>710</v>
      </c>
      <c r="I65" t="s">
        <v>201</v>
      </c>
      <c r="J65" t="s">
        <v>175</v>
      </c>
      <c r="K65" s="30">
        <v>43032</v>
      </c>
      <c r="L65" s="8">
        <v>43030.723078703704</v>
      </c>
      <c r="M65" s="21">
        <f>LEN(ProjTextTable[[#This Row],[text]])</f>
        <v>2678</v>
      </c>
      <c r="N65" s="21">
        <f>LEN(TRIM(CLEAN(SUBSTITUTE(ProjTextTable[[#This Row],[text]],CHAR(10)," "))))+1 - LEN(SUBSTITUTE(CLEAN(SUBSTITUTE(ProjTextTable[[#This Row],[text]],CHAR(10)," "))," ",""))</f>
        <v>407</v>
      </c>
      <c r="O65" t="s">
        <v>196</v>
      </c>
      <c r="P65" t="s">
        <v>737</v>
      </c>
    </row>
    <row r="66" spans="1:16" x14ac:dyDescent="0.4">
      <c r="A66">
        <f t="shared" ref="A66:A129" si="1">A65+(B66&lt;&gt;B65)</f>
        <v>10</v>
      </c>
      <c r="B66" t="s">
        <v>733</v>
      </c>
      <c r="C66" t="s">
        <v>734</v>
      </c>
      <c r="D66" t="s">
        <v>192</v>
      </c>
      <c r="E66" t="s">
        <v>611</v>
      </c>
      <c r="F66" t="s">
        <v>647</v>
      </c>
      <c r="G66" t="s">
        <v>648</v>
      </c>
      <c r="H66" t="s">
        <v>649</v>
      </c>
      <c r="I66" t="s">
        <v>201</v>
      </c>
      <c r="J66" t="s">
        <v>175</v>
      </c>
      <c r="K66" s="30">
        <v>43032</v>
      </c>
      <c r="L66" s="8">
        <v>43030.031655092593</v>
      </c>
      <c r="M66" s="21">
        <f>LEN(ProjTextTable[[#This Row],[text]])</f>
        <v>2970</v>
      </c>
      <c r="N66" s="21">
        <f>LEN(TRIM(CLEAN(SUBSTITUTE(ProjTextTable[[#This Row],[text]],CHAR(10)," "))))+1 - LEN(SUBSTITUTE(CLEAN(SUBSTITUTE(ProjTextTable[[#This Row],[text]],CHAR(10)," "))," ",""))</f>
        <v>441</v>
      </c>
      <c r="O66" t="s">
        <v>196</v>
      </c>
      <c r="P66" t="s">
        <v>738</v>
      </c>
    </row>
    <row r="67" spans="1:16" x14ac:dyDescent="0.4">
      <c r="A67">
        <f t="shared" si="1"/>
        <v>10</v>
      </c>
      <c r="B67" t="s">
        <v>733</v>
      </c>
      <c r="C67" t="s">
        <v>734</v>
      </c>
      <c r="D67" t="s">
        <v>192</v>
      </c>
      <c r="E67" t="s">
        <v>611</v>
      </c>
      <c r="F67" t="s">
        <v>664</v>
      </c>
      <c r="G67" t="s">
        <v>665</v>
      </c>
      <c r="H67" t="s">
        <v>666</v>
      </c>
      <c r="I67" t="s">
        <v>201</v>
      </c>
      <c r="J67" t="s">
        <v>175</v>
      </c>
      <c r="K67" s="30">
        <v>43032</v>
      </c>
      <c r="L67" s="8">
        <v>43029.774409722224</v>
      </c>
      <c r="M67" s="21">
        <f>LEN(ProjTextTable[[#This Row],[text]])</f>
        <v>1606</v>
      </c>
      <c r="N67" s="21">
        <f>LEN(TRIM(CLEAN(SUBSTITUTE(ProjTextTable[[#This Row],[text]],CHAR(10)," "))))+1 - LEN(SUBSTITUTE(CLEAN(SUBSTITUTE(ProjTextTable[[#This Row],[text]],CHAR(10)," "))," ",""))</f>
        <v>239</v>
      </c>
      <c r="O67" t="s">
        <v>193</v>
      </c>
      <c r="P67" t="s">
        <v>739</v>
      </c>
    </row>
    <row r="68" spans="1:16" x14ac:dyDescent="0.4">
      <c r="A68">
        <f t="shared" si="1"/>
        <v>10</v>
      </c>
      <c r="B68" t="s">
        <v>733</v>
      </c>
      <c r="C68" t="s">
        <v>734</v>
      </c>
      <c r="D68" t="s">
        <v>192</v>
      </c>
      <c r="E68" t="s">
        <v>611</v>
      </c>
      <c r="F68" t="s">
        <v>697</v>
      </c>
      <c r="G68" t="s">
        <v>698</v>
      </c>
      <c r="H68" t="s">
        <v>699</v>
      </c>
      <c r="I68" t="s">
        <v>201</v>
      </c>
      <c r="J68" t="s">
        <v>175</v>
      </c>
      <c r="K68" s="30">
        <v>43032</v>
      </c>
      <c r="L68" s="8">
        <v>43027.338993055557</v>
      </c>
      <c r="M68" s="21">
        <f>LEN(ProjTextTable[[#This Row],[text]])</f>
        <v>3261</v>
      </c>
      <c r="N68" s="21">
        <f>LEN(TRIM(CLEAN(SUBSTITUTE(ProjTextTable[[#This Row],[text]],CHAR(10)," "))))+1 - LEN(SUBSTITUTE(CLEAN(SUBSTITUTE(ProjTextTable[[#This Row],[text]],CHAR(10)," "))," ",""))</f>
        <v>511</v>
      </c>
      <c r="O68" t="s">
        <v>195</v>
      </c>
      <c r="P68" t="s">
        <v>740</v>
      </c>
    </row>
    <row r="69" spans="1:16" x14ac:dyDescent="0.4">
      <c r="A69">
        <f t="shared" si="1"/>
        <v>10</v>
      </c>
      <c r="B69" t="s">
        <v>733</v>
      </c>
      <c r="C69" t="s">
        <v>734</v>
      </c>
      <c r="D69" t="s">
        <v>194</v>
      </c>
      <c r="E69" t="s">
        <v>611</v>
      </c>
      <c r="F69" t="s">
        <v>13</v>
      </c>
      <c r="G69" t="s">
        <v>13</v>
      </c>
      <c r="H69" t="s">
        <v>13</v>
      </c>
      <c r="K69" s="30"/>
      <c r="L69" s="8">
        <v>42935.042881944442</v>
      </c>
      <c r="M69" s="21">
        <f>LEN(ProjTextTable[[#This Row],[text]])</f>
        <v>4012</v>
      </c>
      <c r="N69" s="21">
        <f>LEN(TRIM(CLEAN(SUBSTITUTE(ProjTextTable[[#This Row],[text]],CHAR(10)," "))))+1 - LEN(SUBSTITUTE(CLEAN(SUBSTITUTE(ProjTextTable[[#This Row],[text]],CHAR(10)," "))," ",""))</f>
        <v>584</v>
      </c>
      <c r="O69" t="s">
        <v>13</v>
      </c>
      <c r="P69" t="s">
        <v>741</v>
      </c>
    </row>
    <row r="70" spans="1:16" x14ac:dyDescent="0.4">
      <c r="A70">
        <f t="shared" si="1"/>
        <v>11</v>
      </c>
      <c r="B70" t="s">
        <v>742</v>
      </c>
      <c r="C70" t="s">
        <v>743</v>
      </c>
      <c r="D70" t="s">
        <v>533</v>
      </c>
      <c r="E70" t="s">
        <v>604</v>
      </c>
      <c r="F70" t="s">
        <v>714</v>
      </c>
      <c r="G70" t="s">
        <v>715</v>
      </c>
      <c r="H70" t="s">
        <v>539</v>
      </c>
      <c r="I70" t="s">
        <v>535</v>
      </c>
      <c r="J70" t="s">
        <v>538</v>
      </c>
      <c r="K70" s="30">
        <v>43059</v>
      </c>
      <c r="L70" s="8">
        <v>43060.598819444444</v>
      </c>
      <c r="M70" s="21">
        <f>LEN(ProjTextTable[[#This Row],[text]])</f>
        <v>2672</v>
      </c>
      <c r="N70" s="21">
        <f>LEN(TRIM(CLEAN(SUBSTITUTE(ProjTextTable[[#This Row],[text]],CHAR(10)," "))))+1 - LEN(SUBSTITUTE(CLEAN(SUBSTITUTE(ProjTextTable[[#This Row],[text]],CHAR(10)," "))," ",""))</f>
        <v>394</v>
      </c>
      <c r="O70" t="s">
        <v>540</v>
      </c>
      <c r="P70" t="s">
        <v>744</v>
      </c>
    </row>
    <row r="71" spans="1:16" x14ac:dyDescent="0.4">
      <c r="A71">
        <f t="shared" si="1"/>
        <v>11</v>
      </c>
      <c r="B71" t="s">
        <v>742</v>
      </c>
      <c r="C71" t="s">
        <v>743</v>
      </c>
      <c r="D71" t="s">
        <v>192</v>
      </c>
      <c r="E71" t="s">
        <v>604</v>
      </c>
      <c r="F71" t="s">
        <v>745</v>
      </c>
      <c r="G71" t="s">
        <v>746</v>
      </c>
      <c r="H71" t="s">
        <v>747</v>
      </c>
      <c r="I71" t="s">
        <v>201</v>
      </c>
      <c r="J71" t="s">
        <v>175</v>
      </c>
      <c r="K71" s="30">
        <v>43060</v>
      </c>
      <c r="L71" s="8">
        <v>43059.664166666669</v>
      </c>
      <c r="M71" s="21">
        <f>LEN(ProjTextTable[[#This Row],[text]])</f>
        <v>1844</v>
      </c>
      <c r="N71" s="21">
        <f>LEN(TRIM(CLEAN(SUBSTITUTE(ProjTextTable[[#This Row],[text]],CHAR(10)," "))))+1 - LEN(SUBSTITUTE(CLEAN(SUBSTITUTE(ProjTextTable[[#This Row],[text]],CHAR(10)," "))," ",""))</f>
        <v>267</v>
      </c>
      <c r="O71" t="s">
        <v>229</v>
      </c>
      <c r="P71" t="s">
        <v>748</v>
      </c>
    </row>
    <row r="72" spans="1:16" x14ac:dyDescent="0.4">
      <c r="A72">
        <f t="shared" si="1"/>
        <v>11</v>
      </c>
      <c r="B72" t="s">
        <v>742</v>
      </c>
      <c r="C72" t="s">
        <v>743</v>
      </c>
      <c r="D72" t="s">
        <v>192</v>
      </c>
      <c r="E72" t="s">
        <v>611</v>
      </c>
      <c r="F72" t="s">
        <v>749</v>
      </c>
      <c r="G72" t="s">
        <v>750</v>
      </c>
      <c r="H72" t="s">
        <v>751</v>
      </c>
      <c r="I72" t="s">
        <v>201</v>
      </c>
      <c r="J72" t="s">
        <v>175</v>
      </c>
      <c r="K72" s="30">
        <v>43060</v>
      </c>
      <c r="L72" s="8">
        <v>43059.226400462961</v>
      </c>
      <c r="M72" s="21">
        <f>LEN(ProjTextTable[[#This Row],[text]])</f>
        <v>3132</v>
      </c>
      <c r="N72" s="21">
        <f>LEN(TRIM(CLEAN(SUBSTITUTE(ProjTextTable[[#This Row],[text]],CHAR(10)," "))))+1 - LEN(SUBSTITUTE(CLEAN(SUBSTITUTE(ProjTextTable[[#This Row],[text]],CHAR(10)," "))," ",""))</f>
        <v>456</v>
      </c>
      <c r="O72" t="s">
        <v>196</v>
      </c>
      <c r="P72" t="s">
        <v>752</v>
      </c>
    </row>
    <row r="73" spans="1:16" x14ac:dyDescent="0.4">
      <c r="A73">
        <f t="shared" si="1"/>
        <v>11</v>
      </c>
      <c r="B73" t="s">
        <v>742</v>
      </c>
      <c r="C73" t="s">
        <v>743</v>
      </c>
      <c r="D73" t="s">
        <v>192</v>
      </c>
      <c r="E73" t="s">
        <v>604</v>
      </c>
      <c r="F73" t="s">
        <v>753</v>
      </c>
      <c r="G73" t="s">
        <v>754</v>
      </c>
      <c r="H73" t="s">
        <v>755</v>
      </c>
      <c r="I73" t="s">
        <v>201</v>
      </c>
      <c r="J73" t="s">
        <v>175</v>
      </c>
      <c r="K73" s="30">
        <v>43060</v>
      </c>
      <c r="L73" s="8">
        <v>43054.497754629629</v>
      </c>
      <c r="M73" s="21">
        <f>LEN(ProjTextTable[[#This Row],[text]])</f>
        <v>2925</v>
      </c>
      <c r="N73" s="21">
        <f>LEN(TRIM(CLEAN(SUBSTITUTE(ProjTextTable[[#This Row],[text]],CHAR(10)," "))))+1 - LEN(SUBSTITUTE(CLEAN(SUBSTITUTE(ProjTextTable[[#This Row],[text]],CHAR(10)," "))," ",""))</f>
        <v>433</v>
      </c>
      <c r="O73" t="s">
        <v>196</v>
      </c>
      <c r="P73" t="s">
        <v>756</v>
      </c>
    </row>
    <row r="74" spans="1:16" x14ac:dyDescent="0.4">
      <c r="A74">
        <f t="shared" si="1"/>
        <v>11</v>
      </c>
      <c r="B74" t="s">
        <v>742</v>
      </c>
      <c r="C74" t="s">
        <v>743</v>
      </c>
      <c r="D74" t="s">
        <v>192</v>
      </c>
      <c r="E74" t="s">
        <v>611</v>
      </c>
      <c r="F74" t="s">
        <v>757</v>
      </c>
      <c r="G74" t="s">
        <v>758</v>
      </c>
      <c r="H74" t="s">
        <v>759</v>
      </c>
      <c r="I74" t="s">
        <v>201</v>
      </c>
      <c r="J74" t="s">
        <v>175</v>
      </c>
      <c r="K74" s="30">
        <v>43060</v>
      </c>
      <c r="L74" s="8">
        <v>43056.703969907408</v>
      </c>
      <c r="M74" s="21">
        <f>LEN(ProjTextTable[[#This Row],[text]])</f>
        <v>4277</v>
      </c>
      <c r="N74" s="21">
        <f>LEN(TRIM(CLEAN(SUBSTITUTE(ProjTextTable[[#This Row],[text]],CHAR(10)," "))))+1 - LEN(SUBSTITUTE(CLEAN(SUBSTITUTE(ProjTextTable[[#This Row],[text]],CHAR(10)," "))," ",""))</f>
        <v>627</v>
      </c>
      <c r="O74" t="s">
        <v>229</v>
      </c>
      <c r="P74" t="s">
        <v>760</v>
      </c>
    </row>
    <row r="75" spans="1:16" x14ac:dyDescent="0.4">
      <c r="A75">
        <f t="shared" si="1"/>
        <v>11</v>
      </c>
      <c r="B75" t="s">
        <v>742</v>
      </c>
      <c r="C75" t="s">
        <v>743</v>
      </c>
      <c r="D75" t="s">
        <v>194</v>
      </c>
      <c r="E75" t="s">
        <v>604</v>
      </c>
      <c r="F75" t="s">
        <v>13</v>
      </c>
      <c r="G75" t="s">
        <v>13</v>
      </c>
      <c r="H75" t="s">
        <v>13</v>
      </c>
      <c r="K75" s="30"/>
      <c r="L75" s="8">
        <v>42935.043124999997</v>
      </c>
      <c r="M75" s="21">
        <f>LEN(ProjTextTable[[#This Row],[text]])</f>
        <v>3824</v>
      </c>
      <c r="N75" s="21">
        <f>LEN(TRIM(CLEAN(SUBSTITUTE(ProjTextTable[[#This Row],[text]],CHAR(10)," "))))+1 - LEN(SUBSTITUTE(CLEAN(SUBSTITUTE(ProjTextTable[[#This Row],[text]],CHAR(10)," "))," ",""))</f>
        <v>539</v>
      </c>
      <c r="O75" t="s">
        <v>13</v>
      </c>
      <c r="P75" t="s">
        <v>761</v>
      </c>
    </row>
    <row r="76" spans="1:16" x14ac:dyDescent="0.4">
      <c r="A76">
        <f t="shared" si="1"/>
        <v>12</v>
      </c>
      <c r="B76" t="s">
        <v>762</v>
      </c>
      <c r="C76" t="s">
        <v>763</v>
      </c>
      <c r="D76" t="s">
        <v>533</v>
      </c>
      <c r="E76" t="s">
        <v>604</v>
      </c>
      <c r="F76" t="s">
        <v>605</v>
      </c>
      <c r="G76" t="s">
        <v>606</v>
      </c>
      <c r="H76" t="s">
        <v>541</v>
      </c>
      <c r="I76" t="s">
        <v>536</v>
      </c>
      <c r="J76" t="s">
        <v>632</v>
      </c>
      <c r="K76" s="30">
        <v>43031</v>
      </c>
      <c r="L76" s="8">
        <v>43032.563090277778</v>
      </c>
      <c r="M76" s="21">
        <f>LEN(ProjTextTable[[#This Row],[text]])</f>
        <v>3155</v>
      </c>
      <c r="N76" s="21">
        <f>LEN(TRIM(CLEAN(SUBSTITUTE(ProjTextTable[[#This Row],[text]],CHAR(10)," "))))+1 - LEN(SUBSTITUTE(CLEAN(SUBSTITUTE(ProjTextTable[[#This Row],[text]],CHAR(10)," "))," ",""))</f>
        <v>468</v>
      </c>
      <c r="O76" t="s">
        <v>542</v>
      </c>
      <c r="P76" t="s">
        <v>764</v>
      </c>
    </row>
    <row r="77" spans="1:16" x14ac:dyDescent="0.4">
      <c r="A77">
        <f t="shared" si="1"/>
        <v>12</v>
      </c>
      <c r="B77" t="s">
        <v>762</v>
      </c>
      <c r="C77" t="s">
        <v>763</v>
      </c>
      <c r="D77" t="s">
        <v>2</v>
      </c>
      <c r="E77" t="s">
        <v>604</v>
      </c>
      <c r="F77" t="s">
        <v>13</v>
      </c>
      <c r="G77" t="s">
        <v>609</v>
      </c>
      <c r="H77" t="s">
        <v>13</v>
      </c>
      <c r="I77" t="s">
        <v>13</v>
      </c>
      <c r="K77" s="30"/>
      <c r="L77" s="8">
        <v>43082.662685185183</v>
      </c>
      <c r="M77" s="21">
        <f>LEN(ProjTextTable[[#This Row],[text]])</f>
        <v>1907</v>
      </c>
      <c r="N77" s="21">
        <f>LEN(TRIM(CLEAN(SUBSTITUTE(ProjTextTable[[#This Row],[text]],CHAR(10)," "))))+1 - LEN(SUBSTITUTE(CLEAN(SUBSTITUTE(ProjTextTable[[#This Row],[text]],CHAR(10)," "))," ",""))</f>
        <v>281</v>
      </c>
      <c r="O77" t="s">
        <v>13</v>
      </c>
      <c r="P77" t="s">
        <v>765</v>
      </c>
    </row>
    <row r="78" spans="1:16" x14ac:dyDescent="0.4">
      <c r="A78">
        <f t="shared" si="1"/>
        <v>12</v>
      </c>
      <c r="B78" t="s">
        <v>762</v>
      </c>
      <c r="C78" t="s">
        <v>763</v>
      </c>
      <c r="D78" t="s">
        <v>192</v>
      </c>
      <c r="E78" t="s">
        <v>611</v>
      </c>
      <c r="F78" t="s">
        <v>635</v>
      </c>
      <c r="G78" t="s">
        <v>636</v>
      </c>
      <c r="H78" t="s">
        <v>637</v>
      </c>
      <c r="I78" t="s">
        <v>201</v>
      </c>
      <c r="J78" t="s">
        <v>175</v>
      </c>
      <c r="K78" s="30">
        <v>43032</v>
      </c>
      <c r="L78" s="8">
        <v>43022.920254629629</v>
      </c>
      <c r="M78" s="21">
        <f>LEN(ProjTextTable[[#This Row],[text]])</f>
        <v>1892</v>
      </c>
      <c r="N78" s="21">
        <f>LEN(TRIM(CLEAN(SUBSTITUTE(ProjTextTable[[#This Row],[text]],CHAR(10)," "))))+1 - LEN(SUBSTITUTE(CLEAN(SUBSTITUTE(ProjTextTable[[#This Row],[text]],CHAR(10)," "))," ",""))</f>
        <v>282</v>
      </c>
      <c r="O78" t="s">
        <v>229</v>
      </c>
      <c r="P78" t="s">
        <v>766</v>
      </c>
    </row>
    <row r="79" spans="1:16" x14ac:dyDescent="0.4">
      <c r="A79">
        <f t="shared" si="1"/>
        <v>12</v>
      </c>
      <c r="B79" t="s">
        <v>762</v>
      </c>
      <c r="C79" t="s">
        <v>763</v>
      </c>
      <c r="D79" t="s">
        <v>192</v>
      </c>
      <c r="E79" t="s">
        <v>611</v>
      </c>
      <c r="F79" t="s">
        <v>643</v>
      </c>
      <c r="G79" t="s">
        <v>644</v>
      </c>
      <c r="H79" t="s">
        <v>645</v>
      </c>
      <c r="I79" t="s">
        <v>201</v>
      </c>
      <c r="J79" t="s">
        <v>175</v>
      </c>
      <c r="K79" s="30">
        <v>43032</v>
      </c>
      <c r="L79" s="8">
        <v>43028.861875000002</v>
      </c>
      <c r="M79" s="21">
        <f>LEN(ProjTextTable[[#This Row],[text]])</f>
        <v>1845</v>
      </c>
      <c r="N79" s="21">
        <f>LEN(TRIM(CLEAN(SUBSTITUTE(ProjTextTable[[#This Row],[text]],CHAR(10)," "))))+1 - LEN(SUBSTITUTE(CLEAN(SUBSTITUTE(ProjTextTable[[#This Row],[text]],CHAR(10)," "))," ",""))</f>
        <v>272</v>
      </c>
      <c r="O79" t="s">
        <v>197</v>
      </c>
      <c r="P79" t="s">
        <v>767</v>
      </c>
    </row>
    <row r="80" spans="1:16" x14ac:dyDescent="0.4">
      <c r="A80">
        <f t="shared" si="1"/>
        <v>12</v>
      </c>
      <c r="B80" t="s">
        <v>762</v>
      </c>
      <c r="C80" t="s">
        <v>763</v>
      </c>
      <c r="D80" t="s">
        <v>192</v>
      </c>
      <c r="E80" t="s">
        <v>604</v>
      </c>
      <c r="F80" t="s">
        <v>625</v>
      </c>
      <c r="G80" t="s">
        <v>626</v>
      </c>
      <c r="H80" t="s">
        <v>627</v>
      </c>
      <c r="I80" t="s">
        <v>201</v>
      </c>
      <c r="J80" t="s">
        <v>175</v>
      </c>
      <c r="K80" s="30">
        <v>43032</v>
      </c>
      <c r="L80" s="8">
        <v>43028.683356481481</v>
      </c>
      <c r="M80" s="21">
        <f>LEN(ProjTextTable[[#This Row],[text]])</f>
        <v>2593</v>
      </c>
      <c r="N80" s="21">
        <f>LEN(TRIM(CLEAN(SUBSTITUTE(ProjTextTable[[#This Row],[text]],CHAR(10)," "))))+1 - LEN(SUBSTITUTE(CLEAN(SUBSTITUTE(ProjTextTable[[#This Row],[text]],CHAR(10)," "))," ",""))</f>
        <v>407</v>
      </c>
      <c r="O80" t="s">
        <v>196</v>
      </c>
      <c r="P80" t="s">
        <v>768</v>
      </c>
    </row>
    <row r="81" spans="1:16" x14ac:dyDescent="0.4">
      <c r="A81">
        <f t="shared" si="1"/>
        <v>12</v>
      </c>
      <c r="B81" t="s">
        <v>762</v>
      </c>
      <c r="C81" t="s">
        <v>763</v>
      </c>
      <c r="D81" t="s">
        <v>192</v>
      </c>
      <c r="E81" t="s">
        <v>611</v>
      </c>
      <c r="F81" t="s">
        <v>647</v>
      </c>
      <c r="G81" t="s">
        <v>648</v>
      </c>
      <c r="H81" t="s">
        <v>649</v>
      </c>
      <c r="I81" t="s">
        <v>201</v>
      </c>
      <c r="J81" t="s">
        <v>175</v>
      </c>
      <c r="K81" s="30">
        <v>43032</v>
      </c>
      <c r="L81" s="8">
        <v>43030.972268518519</v>
      </c>
      <c r="M81" s="21">
        <f>LEN(ProjTextTable[[#This Row],[text]])</f>
        <v>2229</v>
      </c>
      <c r="N81" s="21">
        <f>LEN(TRIM(CLEAN(SUBSTITUTE(ProjTextTable[[#This Row],[text]],CHAR(10)," "))))+1 - LEN(SUBSTITUTE(CLEAN(SUBSTITUTE(ProjTextTable[[#This Row],[text]],CHAR(10)," "))," ",""))</f>
        <v>335</v>
      </c>
      <c r="O81" t="s">
        <v>198</v>
      </c>
      <c r="P81" t="s">
        <v>769</v>
      </c>
    </row>
    <row r="82" spans="1:16" x14ac:dyDescent="0.4">
      <c r="A82">
        <f t="shared" si="1"/>
        <v>12</v>
      </c>
      <c r="B82" t="s">
        <v>762</v>
      </c>
      <c r="C82" t="s">
        <v>763</v>
      </c>
      <c r="D82" t="s">
        <v>194</v>
      </c>
      <c r="E82" t="s">
        <v>604</v>
      </c>
      <c r="F82" t="s">
        <v>13</v>
      </c>
      <c r="G82" t="s">
        <v>13</v>
      </c>
      <c r="H82" t="s">
        <v>13</v>
      </c>
      <c r="K82" s="30"/>
      <c r="L82" s="8">
        <v>42935.043379629627</v>
      </c>
      <c r="M82" s="21">
        <f>LEN(ProjTextTable[[#This Row],[text]])</f>
        <v>3644</v>
      </c>
      <c r="N82" s="21">
        <f>LEN(TRIM(CLEAN(SUBSTITUTE(ProjTextTable[[#This Row],[text]],CHAR(10)," "))))+1 - LEN(SUBSTITUTE(CLEAN(SUBSTITUTE(ProjTextTable[[#This Row],[text]],CHAR(10)," "))," ",""))</f>
        <v>477</v>
      </c>
      <c r="O82" t="s">
        <v>13</v>
      </c>
      <c r="P82" t="s">
        <v>770</v>
      </c>
    </row>
    <row r="83" spans="1:16" x14ac:dyDescent="0.4">
      <c r="A83">
        <f t="shared" si="1"/>
        <v>13</v>
      </c>
      <c r="B83" t="s">
        <v>771</v>
      </c>
      <c r="C83" t="s">
        <v>772</v>
      </c>
      <c r="D83" t="s">
        <v>533</v>
      </c>
      <c r="E83" t="s">
        <v>611</v>
      </c>
      <c r="F83" t="s">
        <v>714</v>
      </c>
      <c r="G83" t="s">
        <v>715</v>
      </c>
      <c r="H83" t="s">
        <v>539</v>
      </c>
      <c r="I83" t="s">
        <v>535</v>
      </c>
      <c r="J83" t="s">
        <v>545</v>
      </c>
      <c r="K83" s="30">
        <v>43059</v>
      </c>
      <c r="L83" s="8">
        <v>43060.614178240743</v>
      </c>
      <c r="M83" s="21">
        <f>LEN(ProjTextTable[[#This Row],[text]])</f>
        <v>1930</v>
      </c>
      <c r="N83" s="21">
        <f>LEN(TRIM(CLEAN(SUBSTITUTE(ProjTextTable[[#This Row],[text]],CHAR(10)," "))))+1 - LEN(SUBSTITUTE(CLEAN(SUBSTITUTE(ProjTextTable[[#This Row],[text]],CHAR(10)," "))," ",""))</f>
        <v>282</v>
      </c>
      <c r="O83" t="s">
        <v>540</v>
      </c>
      <c r="P83" t="s">
        <v>773</v>
      </c>
    </row>
    <row r="84" spans="1:16" x14ac:dyDescent="0.4">
      <c r="A84">
        <f t="shared" si="1"/>
        <v>13</v>
      </c>
      <c r="B84" t="s">
        <v>771</v>
      </c>
      <c r="C84" t="s">
        <v>772</v>
      </c>
      <c r="D84" t="s">
        <v>192</v>
      </c>
      <c r="E84" t="s">
        <v>611</v>
      </c>
      <c r="F84" t="s">
        <v>721</v>
      </c>
      <c r="G84" t="s">
        <v>722</v>
      </c>
      <c r="H84" t="s">
        <v>723</v>
      </c>
      <c r="I84" t="s">
        <v>201</v>
      </c>
      <c r="J84" t="s">
        <v>175</v>
      </c>
      <c r="K84" s="30">
        <v>43060</v>
      </c>
      <c r="L84" s="8">
        <v>43056.590636574074</v>
      </c>
      <c r="M84" s="21">
        <f>LEN(ProjTextTable[[#This Row],[text]])</f>
        <v>1525</v>
      </c>
      <c r="N84" s="21">
        <f>LEN(TRIM(CLEAN(SUBSTITUTE(ProjTextTable[[#This Row],[text]],CHAR(10)," "))))+1 - LEN(SUBSTITUTE(CLEAN(SUBSTITUTE(ProjTextTable[[#This Row],[text]],CHAR(10)," "))," ",""))</f>
        <v>225</v>
      </c>
      <c r="O84" t="s">
        <v>196</v>
      </c>
      <c r="P84" t="s">
        <v>774</v>
      </c>
    </row>
    <row r="85" spans="1:16" x14ac:dyDescent="0.4">
      <c r="A85">
        <f t="shared" si="1"/>
        <v>13</v>
      </c>
      <c r="B85" t="s">
        <v>771</v>
      </c>
      <c r="C85" t="s">
        <v>772</v>
      </c>
      <c r="D85" t="s">
        <v>192</v>
      </c>
      <c r="E85" t="s">
        <v>611</v>
      </c>
      <c r="F85" t="s">
        <v>725</v>
      </c>
      <c r="G85" t="s">
        <v>726</v>
      </c>
      <c r="H85" t="s">
        <v>727</v>
      </c>
      <c r="I85" t="s">
        <v>201</v>
      </c>
      <c r="J85" t="s">
        <v>175</v>
      </c>
      <c r="K85" s="30">
        <v>43060</v>
      </c>
      <c r="L85" s="8">
        <v>43059.937245370369</v>
      </c>
      <c r="M85" s="21">
        <f>LEN(ProjTextTable[[#This Row],[text]])</f>
        <v>1545</v>
      </c>
      <c r="N85" s="21">
        <f>LEN(TRIM(CLEAN(SUBSTITUTE(ProjTextTable[[#This Row],[text]],CHAR(10)," "))))+1 - LEN(SUBSTITUTE(CLEAN(SUBSTITUTE(ProjTextTable[[#This Row],[text]],CHAR(10)," "))," ",""))</f>
        <v>235</v>
      </c>
      <c r="O85" t="s">
        <v>196</v>
      </c>
      <c r="P85" t="s">
        <v>775</v>
      </c>
    </row>
    <row r="86" spans="1:16" x14ac:dyDescent="0.4">
      <c r="A86">
        <f t="shared" si="1"/>
        <v>13</v>
      </c>
      <c r="B86" t="s">
        <v>771</v>
      </c>
      <c r="C86" t="s">
        <v>772</v>
      </c>
      <c r="D86" t="s">
        <v>192</v>
      </c>
      <c r="E86" t="s">
        <v>611</v>
      </c>
      <c r="F86" t="s">
        <v>776</v>
      </c>
      <c r="G86" t="s">
        <v>777</v>
      </c>
      <c r="H86" t="s">
        <v>778</v>
      </c>
      <c r="I86" t="s">
        <v>201</v>
      </c>
      <c r="J86" t="s">
        <v>175</v>
      </c>
      <c r="K86" s="30">
        <v>43060</v>
      </c>
      <c r="L86" s="8">
        <v>43057.861631944441</v>
      </c>
      <c r="M86" s="21">
        <f>LEN(ProjTextTable[[#This Row],[text]])</f>
        <v>1619</v>
      </c>
      <c r="N86" s="21">
        <f>LEN(TRIM(CLEAN(SUBSTITUTE(ProjTextTable[[#This Row],[text]],CHAR(10)," "))))+1 - LEN(SUBSTITUTE(CLEAN(SUBSTITUTE(ProjTextTable[[#This Row],[text]],CHAR(10)," "))," ",""))</f>
        <v>236</v>
      </c>
      <c r="O86" t="s">
        <v>196</v>
      </c>
      <c r="P86" t="s">
        <v>779</v>
      </c>
    </row>
    <row r="87" spans="1:16" x14ac:dyDescent="0.4">
      <c r="A87">
        <f t="shared" si="1"/>
        <v>13</v>
      </c>
      <c r="B87" t="s">
        <v>771</v>
      </c>
      <c r="C87" t="s">
        <v>772</v>
      </c>
      <c r="D87" t="s">
        <v>192</v>
      </c>
      <c r="E87" t="s">
        <v>611</v>
      </c>
      <c r="F87" t="s">
        <v>729</v>
      </c>
      <c r="G87" t="s">
        <v>730</v>
      </c>
      <c r="H87" t="s">
        <v>731</v>
      </c>
      <c r="I87" t="s">
        <v>201</v>
      </c>
      <c r="J87" t="s">
        <v>175</v>
      </c>
      <c r="K87" s="30">
        <v>43060</v>
      </c>
      <c r="L87" s="8">
        <v>43058.714618055557</v>
      </c>
      <c r="M87" s="21">
        <f>LEN(ProjTextTable[[#This Row],[text]])</f>
        <v>2214</v>
      </c>
      <c r="N87" s="21">
        <f>LEN(TRIM(CLEAN(SUBSTITUTE(ProjTextTable[[#This Row],[text]],CHAR(10)," "))))+1 - LEN(SUBSTITUTE(CLEAN(SUBSTITUTE(ProjTextTable[[#This Row],[text]],CHAR(10)," "))," ",""))</f>
        <v>343</v>
      </c>
      <c r="O87" t="s">
        <v>198</v>
      </c>
      <c r="P87" t="s">
        <v>780</v>
      </c>
    </row>
    <row r="88" spans="1:16" x14ac:dyDescent="0.4">
      <c r="A88">
        <f t="shared" si="1"/>
        <v>13</v>
      </c>
      <c r="B88" t="s">
        <v>771</v>
      </c>
      <c r="C88" t="s">
        <v>772</v>
      </c>
      <c r="D88" t="s">
        <v>194</v>
      </c>
      <c r="E88" t="s">
        <v>611</v>
      </c>
      <c r="F88" t="s">
        <v>13</v>
      </c>
      <c r="G88" t="s">
        <v>13</v>
      </c>
      <c r="H88" t="s">
        <v>13</v>
      </c>
      <c r="K88" s="30"/>
      <c r="L88" s="8">
        <v>42935.043495370373</v>
      </c>
      <c r="M88" s="21">
        <f>LEN(ProjTextTable[[#This Row],[text]])</f>
        <v>4562</v>
      </c>
      <c r="N88" s="21">
        <f>LEN(TRIM(CLEAN(SUBSTITUTE(ProjTextTable[[#This Row],[text]],CHAR(10)," "))))+1 - LEN(SUBSTITUTE(CLEAN(SUBSTITUTE(ProjTextTable[[#This Row],[text]],CHAR(10)," "))," ",""))</f>
        <v>683</v>
      </c>
      <c r="O88" t="s">
        <v>13</v>
      </c>
      <c r="P88" t="s">
        <v>781</v>
      </c>
    </row>
    <row r="89" spans="1:16" x14ac:dyDescent="0.4">
      <c r="A89">
        <f t="shared" si="1"/>
        <v>14</v>
      </c>
      <c r="B89" t="s">
        <v>782</v>
      </c>
      <c r="C89" t="s">
        <v>783</v>
      </c>
      <c r="D89" t="s">
        <v>533</v>
      </c>
      <c r="E89" t="s">
        <v>611</v>
      </c>
      <c r="F89" t="s">
        <v>605</v>
      </c>
      <c r="G89" t="s">
        <v>606</v>
      </c>
      <c r="H89" t="s">
        <v>541</v>
      </c>
      <c r="I89" t="s">
        <v>536</v>
      </c>
      <c r="J89" t="s">
        <v>632</v>
      </c>
      <c r="K89" s="30">
        <v>43031</v>
      </c>
      <c r="L89" s="8">
        <v>43032.651643518519</v>
      </c>
      <c r="M89" s="21">
        <f>LEN(ProjTextTable[[#This Row],[text]])</f>
        <v>4104</v>
      </c>
      <c r="N89" s="21">
        <f>LEN(TRIM(CLEAN(SUBSTITUTE(ProjTextTable[[#This Row],[text]],CHAR(10)," "))))+1 - LEN(SUBSTITUTE(CLEAN(SUBSTITUTE(ProjTextTable[[#This Row],[text]],CHAR(10)," "))," ",""))</f>
        <v>658</v>
      </c>
      <c r="O89" t="s">
        <v>542</v>
      </c>
      <c r="P89" t="s">
        <v>784</v>
      </c>
    </row>
    <row r="90" spans="1:16" x14ac:dyDescent="0.4">
      <c r="A90">
        <f t="shared" si="1"/>
        <v>14</v>
      </c>
      <c r="B90" t="s">
        <v>782</v>
      </c>
      <c r="C90" t="s">
        <v>783</v>
      </c>
      <c r="D90" t="s">
        <v>2</v>
      </c>
      <c r="E90" t="s">
        <v>611</v>
      </c>
      <c r="F90" t="s">
        <v>13</v>
      </c>
      <c r="G90" t="s">
        <v>609</v>
      </c>
      <c r="H90" t="s">
        <v>13</v>
      </c>
      <c r="I90" t="s">
        <v>13</v>
      </c>
      <c r="K90" s="30"/>
      <c r="L90" s="8">
        <v>43082.668715277781</v>
      </c>
      <c r="M90" s="21">
        <f>LEN(ProjTextTable[[#This Row],[text]])</f>
        <v>1924</v>
      </c>
      <c r="N90" s="21">
        <f>LEN(TRIM(CLEAN(SUBSTITUTE(ProjTextTable[[#This Row],[text]],CHAR(10)," "))))+1 - LEN(SUBSTITUTE(CLEAN(SUBSTITUTE(ProjTextTable[[#This Row],[text]],CHAR(10)," "))," ",""))</f>
        <v>285</v>
      </c>
      <c r="O90" t="s">
        <v>13</v>
      </c>
      <c r="P90" t="s">
        <v>785</v>
      </c>
    </row>
    <row r="91" spans="1:16" x14ac:dyDescent="0.4">
      <c r="A91">
        <f t="shared" si="1"/>
        <v>14</v>
      </c>
      <c r="B91" t="s">
        <v>782</v>
      </c>
      <c r="C91" t="s">
        <v>783</v>
      </c>
      <c r="D91" t="s">
        <v>192</v>
      </c>
      <c r="E91" t="s">
        <v>611</v>
      </c>
      <c r="F91" t="s">
        <v>688</v>
      </c>
      <c r="G91" t="s">
        <v>689</v>
      </c>
      <c r="H91" t="s">
        <v>690</v>
      </c>
      <c r="I91" t="s">
        <v>201</v>
      </c>
      <c r="J91" t="s">
        <v>175</v>
      </c>
      <c r="K91" s="30">
        <v>43032</v>
      </c>
      <c r="L91" s="8">
        <v>43030.876967592594</v>
      </c>
      <c r="M91" s="21">
        <f>LEN(ProjTextTable[[#This Row],[text]])</f>
        <v>2807</v>
      </c>
      <c r="N91" s="21">
        <f>LEN(TRIM(CLEAN(SUBSTITUTE(ProjTextTable[[#This Row],[text]],CHAR(10)," "))))+1 - LEN(SUBSTITUTE(CLEAN(SUBSTITUTE(ProjTextTable[[#This Row],[text]],CHAR(10)," "))," ",""))</f>
        <v>427</v>
      </c>
      <c r="O91" t="s">
        <v>193</v>
      </c>
      <c r="P91" t="s">
        <v>786</v>
      </c>
    </row>
    <row r="92" spans="1:16" x14ac:dyDescent="0.4">
      <c r="A92">
        <f t="shared" si="1"/>
        <v>14</v>
      </c>
      <c r="B92" t="s">
        <v>782</v>
      </c>
      <c r="C92" t="s">
        <v>783</v>
      </c>
      <c r="D92" t="s">
        <v>192</v>
      </c>
      <c r="E92" t="s">
        <v>611</v>
      </c>
      <c r="F92" t="s">
        <v>612</v>
      </c>
      <c r="G92" t="s">
        <v>613</v>
      </c>
      <c r="H92" t="s">
        <v>614</v>
      </c>
      <c r="I92" t="s">
        <v>201</v>
      </c>
      <c r="J92" t="s">
        <v>175</v>
      </c>
      <c r="K92" s="30">
        <v>43032</v>
      </c>
      <c r="L92" s="8">
        <v>43031.922314814816</v>
      </c>
      <c r="M92" s="21">
        <f>LEN(ProjTextTable[[#This Row],[text]])</f>
        <v>2190</v>
      </c>
      <c r="N92" s="21">
        <f>LEN(TRIM(CLEAN(SUBSTITUTE(ProjTextTable[[#This Row],[text]],CHAR(10)," "))))+1 - LEN(SUBSTITUTE(CLEAN(SUBSTITUTE(ProjTextTable[[#This Row],[text]],CHAR(10)," "))," ",""))</f>
        <v>339</v>
      </c>
      <c r="O92" t="s">
        <v>193</v>
      </c>
      <c r="P92" t="s">
        <v>787</v>
      </c>
    </row>
    <row r="93" spans="1:16" x14ac:dyDescent="0.4">
      <c r="A93">
        <f t="shared" si="1"/>
        <v>14</v>
      </c>
      <c r="B93" t="s">
        <v>782</v>
      </c>
      <c r="C93" t="s">
        <v>783</v>
      </c>
      <c r="D93" t="s">
        <v>192</v>
      </c>
      <c r="E93" t="s">
        <v>611</v>
      </c>
      <c r="F93" t="s">
        <v>708</v>
      </c>
      <c r="G93" t="s">
        <v>709</v>
      </c>
      <c r="H93" t="s">
        <v>710</v>
      </c>
      <c r="I93" t="s">
        <v>201</v>
      </c>
      <c r="J93" t="s">
        <v>175</v>
      </c>
      <c r="K93" s="30">
        <v>43032</v>
      </c>
      <c r="L93" s="8">
        <v>43031.043321759258</v>
      </c>
      <c r="M93" s="21">
        <f>LEN(ProjTextTable[[#This Row],[text]])</f>
        <v>1763</v>
      </c>
      <c r="N93" s="21">
        <f>LEN(TRIM(CLEAN(SUBSTITUTE(ProjTextTable[[#This Row],[text]],CHAR(10)," "))))+1 - LEN(SUBSTITUTE(CLEAN(SUBSTITUTE(ProjTextTable[[#This Row],[text]],CHAR(10)," "))," ",""))</f>
        <v>263</v>
      </c>
      <c r="O93" t="s">
        <v>197</v>
      </c>
      <c r="P93" t="s">
        <v>788</v>
      </c>
    </row>
    <row r="94" spans="1:16" x14ac:dyDescent="0.4">
      <c r="A94">
        <f t="shared" si="1"/>
        <v>14</v>
      </c>
      <c r="B94" t="s">
        <v>782</v>
      </c>
      <c r="C94" t="s">
        <v>783</v>
      </c>
      <c r="D94" t="s">
        <v>192</v>
      </c>
      <c r="E94" t="s">
        <v>611</v>
      </c>
      <c r="F94" t="s">
        <v>697</v>
      </c>
      <c r="G94" t="s">
        <v>698</v>
      </c>
      <c r="H94" t="s">
        <v>699</v>
      </c>
      <c r="I94" t="s">
        <v>201</v>
      </c>
      <c r="J94" t="s">
        <v>175</v>
      </c>
      <c r="K94" s="30">
        <v>43032</v>
      </c>
      <c r="L94" s="8">
        <v>43030.827002314814</v>
      </c>
      <c r="M94" s="21">
        <f>LEN(ProjTextTable[[#This Row],[text]])</f>
        <v>2352</v>
      </c>
      <c r="N94" s="21">
        <f>LEN(TRIM(CLEAN(SUBSTITUTE(ProjTextTable[[#This Row],[text]],CHAR(10)," "))))+1 - LEN(SUBSTITUTE(CLEAN(SUBSTITUTE(ProjTextTable[[#This Row],[text]],CHAR(10)," "))," ",""))</f>
        <v>363</v>
      </c>
      <c r="O94" t="s">
        <v>193</v>
      </c>
      <c r="P94" t="s">
        <v>789</v>
      </c>
    </row>
    <row r="95" spans="1:16" x14ac:dyDescent="0.4">
      <c r="A95">
        <f t="shared" si="1"/>
        <v>14</v>
      </c>
      <c r="B95" t="s">
        <v>782</v>
      </c>
      <c r="C95" t="s">
        <v>783</v>
      </c>
      <c r="D95" t="s">
        <v>194</v>
      </c>
      <c r="E95" t="s">
        <v>611</v>
      </c>
      <c r="F95" t="s">
        <v>13</v>
      </c>
      <c r="G95" t="s">
        <v>13</v>
      </c>
      <c r="H95" t="s">
        <v>13</v>
      </c>
      <c r="K95" s="30"/>
      <c r="L95" s="8">
        <v>42935.043506944443</v>
      </c>
      <c r="M95" s="21">
        <f>LEN(ProjTextTable[[#This Row],[text]])</f>
        <v>2691</v>
      </c>
      <c r="N95" s="21">
        <f>LEN(TRIM(CLEAN(SUBSTITUTE(ProjTextTable[[#This Row],[text]],CHAR(10)," "))))+1 - LEN(SUBSTITUTE(CLEAN(SUBSTITUTE(ProjTextTable[[#This Row],[text]],CHAR(10)," "))," ",""))</f>
        <v>364</v>
      </c>
      <c r="O95" t="s">
        <v>13</v>
      </c>
      <c r="P95" t="s">
        <v>790</v>
      </c>
    </row>
    <row r="96" spans="1:16" x14ac:dyDescent="0.4">
      <c r="A96">
        <f t="shared" si="1"/>
        <v>15</v>
      </c>
      <c r="B96" t="s">
        <v>791</v>
      </c>
      <c r="C96" t="s">
        <v>792</v>
      </c>
      <c r="D96" t="s">
        <v>533</v>
      </c>
      <c r="E96" t="s">
        <v>654</v>
      </c>
      <c r="F96" t="s">
        <v>714</v>
      </c>
      <c r="G96" t="s">
        <v>715</v>
      </c>
      <c r="H96" t="s">
        <v>546</v>
      </c>
      <c r="I96" t="s">
        <v>538</v>
      </c>
      <c r="J96" t="s">
        <v>793</v>
      </c>
      <c r="K96" s="30">
        <v>43059</v>
      </c>
      <c r="L96" s="8">
        <v>43060.599039351851</v>
      </c>
      <c r="M96" s="21">
        <f>LEN(ProjTextTable[[#This Row],[text]])</f>
        <v>3635</v>
      </c>
      <c r="N96" s="21">
        <f>LEN(TRIM(CLEAN(SUBSTITUTE(ProjTextTable[[#This Row],[text]],CHAR(10)," "))))+1 - LEN(SUBSTITUTE(CLEAN(SUBSTITUTE(ProjTextTable[[#This Row],[text]],CHAR(10)," "))," ",""))</f>
        <v>530</v>
      </c>
      <c r="O96" t="s">
        <v>309</v>
      </c>
      <c r="P96" t="s">
        <v>794</v>
      </c>
    </row>
    <row r="97" spans="1:16" x14ac:dyDescent="0.4">
      <c r="A97">
        <f t="shared" si="1"/>
        <v>15</v>
      </c>
      <c r="B97" t="s">
        <v>791</v>
      </c>
      <c r="C97" t="s">
        <v>792</v>
      </c>
      <c r="D97" t="s">
        <v>533</v>
      </c>
      <c r="E97" t="s">
        <v>654</v>
      </c>
      <c r="F97" t="s">
        <v>795</v>
      </c>
      <c r="G97" t="s">
        <v>796</v>
      </c>
      <c r="H97" t="s">
        <v>541</v>
      </c>
      <c r="I97" t="s">
        <v>536</v>
      </c>
      <c r="K97" s="30">
        <v>43060</v>
      </c>
      <c r="L97" s="8">
        <v>43060.585347222222</v>
      </c>
      <c r="M97" s="21">
        <f>LEN(ProjTextTable[[#This Row],[text]])</f>
        <v>3573</v>
      </c>
      <c r="N97" s="21">
        <f>LEN(TRIM(CLEAN(SUBSTITUTE(ProjTextTable[[#This Row],[text]],CHAR(10)," "))))+1 - LEN(SUBSTITUTE(CLEAN(SUBSTITUTE(ProjTextTable[[#This Row],[text]],CHAR(10)," "))," ",""))</f>
        <v>515</v>
      </c>
      <c r="O97" t="s">
        <v>542</v>
      </c>
      <c r="P97" t="s">
        <v>797</v>
      </c>
    </row>
    <row r="98" spans="1:16" x14ac:dyDescent="0.4">
      <c r="A98">
        <f t="shared" si="1"/>
        <v>15</v>
      </c>
      <c r="B98" t="s">
        <v>791</v>
      </c>
      <c r="C98" t="s">
        <v>792</v>
      </c>
      <c r="D98" t="s">
        <v>2</v>
      </c>
      <c r="E98" t="s">
        <v>654</v>
      </c>
      <c r="F98" t="s">
        <v>13</v>
      </c>
      <c r="G98" t="s">
        <v>609</v>
      </c>
      <c r="H98" t="s">
        <v>13</v>
      </c>
      <c r="I98" t="s">
        <v>13</v>
      </c>
      <c r="K98" s="30"/>
      <c r="L98" s="8">
        <v>43082.669074074074</v>
      </c>
      <c r="M98" s="21">
        <f>LEN(ProjTextTable[[#This Row],[text]])</f>
        <v>2186</v>
      </c>
      <c r="N98" s="21">
        <f>LEN(TRIM(CLEAN(SUBSTITUTE(ProjTextTable[[#This Row],[text]],CHAR(10)," "))))+1 - LEN(SUBSTITUTE(CLEAN(SUBSTITUTE(ProjTextTable[[#This Row],[text]],CHAR(10)," "))," ",""))</f>
        <v>325</v>
      </c>
      <c r="O98" t="s">
        <v>13</v>
      </c>
      <c r="P98" t="s">
        <v>798</v>
      </c>
    </row>
    <row r="99" spans="1:16" x14ac:dyDescent="0.4">
      <c r="A99">
        <f t="shared" si="1"/>
        <v>15</v>
      </c>
      <c r="B99" t="s">
        <v>791</v>
      </c>
      <c r="C99" t="s">
        <v>792</v>
      </c>
      <c r="D99" t="s">
        <v>192</v>
      </c>
      <c r="E99" t="s">
        <v>611</v>
      </c>
      <c r="F99" t="s">
        <v>799</v>
      </c>
      <c r="G99" t="s">
        <v>800</v>
      </c>
      <c r="H99" t="s">
        <v>801</v>
      </c>
      <c r="I99" t="s">
        <v>201</v>
      </c>
      <c r="J99" t="s">
        <v>175</v>
      </c>
      <c r="K99" s="30">
        <v>43060</v>
      </c>
      <c r="L99" s="8">
        <v>43056.597870370373</v>
      </c>
      <c r="M99" s="21">
        <f>LEN(ProjTextTable[[#This Row],[text]])</f>
        <v>4136</v>
      </c>
      <c r="N99" s="21">
        <f>LEN(TRIM(CLEAN(SUBSTITUTE(ProjTextTable[[#This Row],[text]],CHAR(10)," "))))+1 - LEN(SUBSTITUTE(CLEAN(SUBSTITUTE(ProjTextTable[[#This Row],[text]],CHAR(10)," "))," ",""))</f>
        <v>648</v>
      </c>
      <c r="O99" t="s">
        <v>193</v>
      </c>
      <c r="P99" t="s">
        <v>802</v>
      </c>
    </row>
    <row r="100" spans="1:16" x14ac:dyDescent="0.4">
      <c r="A100">
        <f t="shared" si="1"/>
        <v>15</v>
      </c>
      <c r="B100" t="s">
        <v>791</v>
      </c>
      <c r="C100" t="s">
        <v>792</v>
      </c>
      <c r="D100" t="s">
        <v>192</v>
      </c>
      <c r="E100" t="s">
        <v>654</v>
      </c>
      <c r="F100" t="s">
        <v>753</v>
      </c>
      <c r="G100" t="s">
        <v>754</v>
      </c>
      <c r="H100" t="s">
        <v>755</v>
      </c>
      <c r="I100" t="s">
        <v>201</v>
      </c>
      <c r="J100" t="s">
        <v>175</v>
      </c>
      <c r="K100" s="30">
        <v>43060</v>
      </c>
      <c r="L100" s="8">
        <v>43054.539270833331</v>
      </c>
      <c r="M100" s="21">
        <f>LEN(ProjTextTable[[#This Row],[text]])</f>
        <v>2267</v>
      </c>
      <c r="N100" s="21">
        <f>LEN(TRIM(CLEAN(SUBSTITUTE(ProjTextTable[[#This Row],[text]],CHAR(10)," "))))+1 - LEN(SUBSTITUTE(CLEAN(SUBSTITUTE(ProjTextTable[[#This Row],[text]],CHAR(10)," "))," ",""))</f>
        <v>348</v>
      </c>
      <c r="O100" t="s">
        <v>193</v>
      </c>
      <c r="P100" t="s">
        <v>803</v>
      </c>
    </row>
    <row r="101" spans="1:16" x14ac:dyDescent="0.4">
      <c r="A101">
        <f t="shared" si="1"/>
        <v>15</v>
      </c>
      <c r="B101" t="s">
        <v>791</v>
      </c>
      <c r="C101" t="s">
        <v>792</v>
      </c>
      <c r="D101" t="s">
        <v>192</v>
      </c>
      <c r="E101" t="s">
        <v>654</v>
      </c>
      <c r="F101" t="s">
        <v>804</v>
      </c>
      <c r="G101" t="s">
        <v>805</v>
      </c>
      <c r="H101" t="s">
        <v>806</v>
      </c>
      <c r="I101" t="s">
        <v>201</v>
      </c>
      <c r="J101" t="s">
        <v>175</v>
      </c>
      <c r="K101" s="30">
        <v>43060</v>
      </c>
      <c r="L101" s="8">
        <v>43059.579641203702</v>
      </c>
      <c r="M101" s="21">
        <f>LEN(ProjTextTable[[#This Row],[text]])</f>
        <v>2791</v>
      </c>
      <c r="N101" s="21">
        <f>LEN(TRIM(CLEAN(SUBSTITUTE(ProjTextTable[[#This Row],[text]],CHAR(10)," "))))+1 - LEN(SUBSTITUTE(CLEAN(SUBSTITUTE(ProjTextTable[[#This Row],[text]],CHAR(10)," "))," ",""))</f>
        <v>401</v>
      </c>
      <c r="O101" t="s">
        <v>199</v>
      </c>
      <c r="P101" t="s">
        <v>807</v>
      </c>
    </row>
    <row r="102" spans="1:16" x14ac:dyDescent="0.4">
      <c r="A102">
        <f t="shared" si="1"/>
        <v>15</v>
      </c>
      <c r="B102" t="s">
        <v>791</v>
      </c>
      <c r="C102" t="s">
        <v>792</v>
      </c>
      <c r="D102" t="s">
        <v>192</v>
      </c>
      <c r="E102" t="s">
        <v>654</v>
      </c>
      <c r="F102" t="s">
        <v>808</v>
      </c>
      <c r="G102" t="s">
        <v>564</v>
      </c>
      <c r="H102" t="s">
        <v>565</v>
      </c>
      <c r="I102" t="s">
        <v>201</v>
      </c>
      <c r="J102" t="s">
        <v>175</v>
      </c>
      <c r="K102" s="30">
        <v>43060</v>
      </c>
      <c r="L102" s="8">
        <v>43059.76116898148</v>
      </c>
      <c r="M102" s="21">
        <f>LEN(ProjTextTable[[#This Row],[text]])</f>
        <v>5836</v>
      </c>
      <c r="N102" s="21">
        <f>LEN(TRIM(CLEAN(SUBSTITUTE(ProjTextTable[[#This Row],[text]],CHAR(10)," "))))+1 - LEN(SUBSTITUTE(CLEAN(SUBSTITUTE(ProjTextTable[[#This Row],[text]],CHAR(10)," "))," ",""))</f>
        <v>807</v>
      </c>
      <c r="O102" t="s">
        <v>196</v>
      </c>
      <c r="P102" t="s">
        <v>809</v>
      </c>
    </row>
    <row r="103" spans="1:16" x14ac:dyDescent="0.4">
      <c r="A103">
        <f t="shared" si="1"/>
        <v>15</v>
      </c>
      <c r="B103" t="s">
        <v>791</v>
      </c>
      <c r="C103" t="s">
        <v>792</v>
      </c>
      <c r="D103" t="s">
        <v>192</v>
      </c>
      <c r="E103" t="s">
        <v>611</v>
      </c>
      <c r="F103" t="s">
        <v>757</v>
      </c>
      <c r="G103" t="s">
        <v>758</v>
      </c>
      <c r="H103" t="s">
        <v>759</v>
      </c>
      <c r="I103" t="s">
        <v>201</v>
      </c>
      <c r="J103" t="s">
        <v>175</v>
      </c>
      <c r="K103" s="30">
        <v>43060</v>
      </c>
      <c r="L103" s="8">
        <v>43056.705740740741</v>
      </c>
      <c r="M103" s="21">
        <f>LEN(ProjTextTable[[#This Row],[text]])</f>
        <v>5069</v>
      </c>
      <c r="N103" s="21">
        <f>LEN(TRIM(CLEAN(SUBSTITUTE(ProjTextTable[[#This Row],[text]],CHAR(10)," "))))+1 - LEN(SUBSTITUTE(CLEAN(SUBSTITUTE(ProjTextTable[[#This Row],[text]],CHAR(10)," "))," ",""))</f>
        <v>779</v>
      </c>
      <c r="O103" t="s">
        <v>193</v>
      </c>
      <c r="P103" t="s">
        <v>810</v>
      </c>
    </row>
    <row r="104" spans="1:16" x14ac:dyDescent="0.4">
      <c r="A104">
        <f t="shared" si="1"/>
        <v>15</v>
      </c>
      <c r="B104" t="s">
        <v>791</v>
      </c>
      <c r="C104" t="s">
        <v>792</v>
      </c>
      <c r="D104" t="s">
        <v>192</v>
      </c>
      <c r="E104" t="s">
        <v>811</v>
      </c>
      <c r="F104" t="s">
        <v>812</v>
      </c>
      <c r="G104" t="s">
        <v>813</v>
      </c>
      <c r="H104" t="s">
        <v>814</v>
      </c>
      <c r="I104" t="s">
        <v>175</v>
      </c>
      <c r="J104" t="s">
        <v>175</v>
      </c>
      <c r="K104" s="30">
        <v>43035</v>
      </c>
      <c r="L104" s="8">
        <v>43037.776643518519</v>
      </c>
      <c r="M104" s="21">
        <f>LEN(ProjTextTable[[#This Row],[text]])</f>
        <v>4908</v>
      </c>
      <c r="N104" s="21">
        <f>LEN(TRIM(CLEAN(SUBSTITUTE(ProjTextTable[[#This Row],[text]],CHAR(10)," "))))+1 - LEN(SUBSTITUTE(CLEAN(SUBSTITUTE(ProjTextTable[[#This Row],[text]],CHAR(10)," "))," ",""))</f>
        <v>778</v>
      </c>
      <c r="O104" t="s">
        <v>193</v>
      </c>
      <c r="P104" t="s">
        <v>815</v>
      </c>
    </row>
    <row r="105" spans="1:16" x14ac:dyDescent="0.4">
      <c r="A105">
        <f t="shared" si="1"/>
        <v>15</v>
      </c>
      <c r="B105" t="s">
        <v>791</v>
      </c>
      <c r="C105" t="s">
        <v>792</v>
      </c>
      <c r="D105" t="s">
        <v>192</v>
      </c>
      <c r="E105" t="s">
        <v>654</v>
      </c>
      <c r="F105" t="s">
        <v>816</v>
      </c>
      <c r="G105" t="s">
        <v>561</v>
      </c>
      <c r="H105" t="s">
        <v>817</v>
      </c>
      <c r="I105" t="s">
        <v>201</v>
      </c>
      <c r="J105" t="s">
        <v>175</v>
      </c>
      <c r="K105" s="30">
        <v>43060</v>
      </c>
      <c r="L105" s="8">
        <v>43059.627106481479</v>
      </c>
      <c r="M105" s="21">
        <f>LEN(ProjTextTable[[#This Row],[text]])</f>
        <v>5209</v>
      </c>
      <c r="N105" s="21">
        <f>LEN(TRIM(CLEAN(SUBSTITUTE(ProjTextTable[[#This Row],[text]],CHAR(10)," "))))+1 - LEN(SUBSTITUTE(CLEAN(SUBSTITUTE(ProjTextTable[[#This Row],[text]],CHAR(10)," "))," ",""))</f>
        <v>822</v>
      </c>
      <c r="O105" t="s">
        <v>199</v>
      </c>
      <c r="P105" t="s">
        <v>818</v>
      </c>
    </row>
    <row r="106" spans="1:16" x14ac:dyDescent="0.4">
      <c r="A106">
        <f t="shared" si="1"/>
        <v>15</v>
      </c>
      <c r="B106" t="s">
        <v>791</v>
      </c>
      <c r="C106" t="s">
        <v>792</v>
      </c>
      <c r="D106" t="s">
        <v>192</v>
      </c>
      <c r="E106" t="s">
        <v>611</v>
      </c>
      <c r="F106" t="s">
        <v>721</v>
      </c>
      <c r="G106" t="s">
        <v>722</v>
      </c>
      <c r="H106" t="s">
        <v>723</v>
      </c>
      <c r="I106" t="s">
        <v>201</v>
      </c>
      <c r="J106" t="s">
        <v>175</v>
      </c>
      <c r="K106" s="30">
        <v>43060</v>
      </c>
      <c r="L106" s="8">
        <v>43056.787835648145</v>
      </c>
      <c r="M106" s="21">
        <f>LEN(ProjTextTable[[#This Row],[text]])</f>
        <v>1195</v>
      </c>
      <c r="N106" s="21">
        <f>LEN(TRIM(CLEAN(SUBSTITUTE(ProjTextTable[[#This Row],[text]],CHAR(10)," "))))+1 - LEN(SUBSTITUTE(CLEAN(SUBSTITUTE(ProjTextTable[[#This Row],[text]],CHAR(10)," "))," ",""))</f>
        <v>178</v>
      </c>
      <c r="O106" t="s">
        <v>197</v>
      </c>
      <c r="P106" t="s">
        <v>819</v>
      </c>
    </row>
    <row r="107" spans="1:16" x14ac:dyDescent="0.4">
      <c r="A107">
        <f t="shared" si="1"/>
        <v>15</v>
      </c>
      <c r="B107" t="s">
        <v>791</v>
      </c>
      <c r="C107" t="s">
        <v>792</v>
      </c>
      <c r="D107" t="s">
        <v>192</v>
      </c>
      <c r="E107" t="s">
        <v>654</v>
      </c>
      <c r="F107" t="s">
        <v>820</v>
      </c>
      <c r="G107" t="s">
        <v>821</v>
      </c>
      <c r="H107" t="s">
        <v>822</v>
      </c>
      <c r="I107" t="s">
        <v>201</v>
      </c>
      <c r="J107" t="s">
        <v>175</v>
      </c>
      <c r="K107" s="30">
        <v>43060</v>
      </c>
      <c r="L107" s="8">
        <v>43059.886759259258</v>
      </c>
      <c r="M107" s="21">
        <f>LEN(ProjTextTable[[#This Row],[text]])</f>
        <v>2301</v>
      </c>
      <c r="N107" s="21">
        <f>LEN(TRIM(CLEAN(SUBSTITUTE(ProjTextTable[[#This Row],[text]],CHAR(10)," "))))+1 - LEN(SUBSTITUTE(CLEAN(SUBSTITUTE(ProjTextTable[[#This Row],[text]],CHAR(10)," "))," ",""))</f>
        <v>335</v>
      </c>
      <c r="O107" t="s">
        <v>199</v>
      </c>
      <c r="P107" t="s">
        <v>823</v>
      </c>
    </row>
    <row r="108" spans="1:16" x14ac:dyDescent="0.4">
      <c r="A108">
        <f t="shared" si="1"/>
        <v>15</v>
      </c>
      <c r="B108" t="s">
        <v>791</v>
      </c>
      <c r="C108" t="s">
        <v>792</v>
      </c>
      <c r="D108" t="s">
        <v>194</v>
      </c>
      <c r="E108" t="s">
        <v>654</v>
      </c>
      <c r="F108" t="s">
        <v>13</v>
      </c>
      <c r="G108" t="s">
        <v>13</v>
      </c>
      <c r="H108" t="s">
        <v>13</v>
      </c>
      <c r="K108" s="30"/>
      <c r="L108" s="8">
        <v>42935.043599537035</v>
      </c>
      <c r="M108" s="21">
        <f>LEN(ProjTextTable[[#This Row],[text]])</f>
        <v>3533</v>
      </c>
      <c r="N108" s="21">
        <f>LEN(TRIM(CLEAN(SUBSTITUTE(ProjTextTable[[#This Row],[text]],CHAR(10)," "))))+1 - LEN(SUBSTITUTE(CLEAN(SUBSTITUTE(ProjTextTable[[#This Row],[text]],CHAR(10)," "))," ",""))</f>
        <v>480</v>
      </c>
      <c r="O108" t="s">
        <v>13</v>
      </c>
      <c r="P108" t="s">
        <v>824</v>
      </c>
    </row>
    <row r="109" spans="1:16" x14ac:dyDescent="0.4">
      <c r="A109">
        <f t="shared" si="1"/>
        <v>16</v>
      </c>
      <c r="B109" t="s">
        <v>825</v>
      </c>
      <c r="C109" t="s">
        <v>826</v>
      </c>
      <c r="D109" t="s">
        <v>533</v>
      </c>
      <c r="E109" t="s">
        <v>604</v>
      </c>
      <c r="F109" t="s">
        <v>605</v>
      </c>
      <c r="G109" t="s">
        <v>606</v>
      </c>
      <c r="H109" t="s">
        <v>546</v>
      </c>
      <c r="I109" t="s">
        <v>538</v>
      </c>
      <c r="J109" t="s">
        <v>607</v>
      </c>
      <c r="K109" s="30">
        <v>43031</v>
      </c>
      <c r="L109" s="8">
        <v>43032.58085648148</v>
      </c>
      <c r="M109" s="21">
        <f>LEN(ProjTextTable[[#This Row],[text]])</f>
        <v>2254</v>
      </c>
      <c r="N109" s="21">
        <f>LEN(TRIM(CLEAN(SUBSTITUTE(ProjTextTable[[#This Row],[text]],CHAR(10)," "))))+1 - LEN(SUBSTITUTE(CLEAN(SUBSTITUTE(ProjTextTable[[#This Row],[text]],CHAR(10)," "))," ",""))</f>
        <v>326</v>
      </c>
      <c r="O109" t="s">
        <v>309</v>
      </c>
      <c r="P109" t="s">
        <v>827</v>
      </c>
    </row>
    <row r="110" spans="1:16" x14ac:dyDescent="0.4">
      <c r="A110">
        <f t="shared" si="1"/>
        <v>16</v>
      </c>
      <c r="B110" t="s">
        <v>825</v>
      </c>
      <c r="C110" t="s">
        <v>826</v>
      </c>
      <c r="D110" t="s">
        <v>2</v>
      </c>
      <c r="E110" t="s">
        <v>604</v>
      </c>
      <c r="F110" t="s">
        <v>13</v>
      </c>
      <c r="G110" t="s">
        <v>609</v>
      </c>
      <c r="H110" t="s">
        <v>13</v>
      </c>
      <c r="I110" t="s">
        <v>13</v>
      </c>
      <c r="K110" s="30"/>
      <c r="L110" s="8">
        <v>43076.609027777777</v>
      </c>
      <c r="M110" s="21">
        <f>LEN(ProjTextTable[[#This Row],[text]])</f>
        <v>2038</v>
      </c>
      <c r="N110" s="21">
        <f>LEN(TRIM(CLEAN(SUBSTITUTE(ProjTextTable[[#This Row],[text]],CHAR(10)," "))))+1 - LEN(SUBSTITUTE(CLEAN(SUBSTITUTE(ProjTextTable[[#This Row],[text]],CHAR(10)," "))," ",""))</f>
        <v>295</v>
      </c>
      <c r="O110" t="s">
        <v>13</v>
      </c>
      <c r="P110" t="s">
        <v>828</v>
      </c>
    </row>
    <row r="111" spans="1:16" x14ac:dyDescent="0.4">
      <c r="A111">
        <f t="shared" si="1"/>
        <v>16</v>
      </c>
      <c r="B111" t="s">
        <v>825</v>
      </c>
      <c r="C111" t="s">
        <v>826</v>
      </c>
      <c r="D111" t="s">
        <v>192</v>
      </c>
      <c r="E111" t="s">
        <v>611</v>
      </c>
      <c r="F111" t="s">
        <v>688</v>
      </c>
      <c r="G111" t="s">
        <v>689</v>
      </c>
      <c r="H111" t="s">
        <v>690</v>
      </c>
      <c r="I111" t="s">
        <v>201</v>
      </c>
      <c r="J111" t="s">
        <v>175</v>
      </c>
      <c r="K111" s="30">
        <v>43032</v>
      </c>
      <c r="L111" s="8">
        <v>43030.872187499997</v>
      </c>
      <c r="M111" s="21">
        <f>LEN(ProjTextTable[[#This Row],[text]])</f>
        <v>2046</v>
      </c>
      <c r="N111" s="21">
        <f>LEN(TRIM(CLEAN(SUBSTITUTE(ProjTextTable[[#This Row],[text]],CHAR(10)," "))))+1 - LEN(SUBSTITUTE(CLEAN(SUBSTITUTE(ProjTextTable[[#This Row],[text]],CHAR(10)," "))," ",""))</f>
        <v>322</v>
      </c>
      <c r="O111" t="s">
        <v>197</v>
      </c>
      <c r="P111" t="s">
        <v>829</v>
      </c>
    </row>
    <row r="112" spans="1:16" x14ac:dyDescent="0.4">
      <c r="A112">
        <f t="shared" si="1"/>
        <v>16</v>
      </c>
      <c r="B112" t="s">
        <v>825</v>
      </c>
      <c r="C112" t="s">
        <v>826</v>
      </c>
      <c r="D112" t="s">
        <v>192</v>
      </c>
      <c r="E112" t="s">
        <v>611</v>
      </c>
      <c r="F112" t="s">
        <v>612</v>
      </c>
      <c r="G112" t="s">
        <v>613</v>
      </c>
      <c r="H112" t="s">
        <v>614</v>
      </c>
      <c r="I112" t="s">
        <v>201</v>
      </c>
      <c r="J112" t="s">
        <v>175</v>
      </c>
      <c r="K112" s="30">
        <v>43032</v>
      </c>
      <c r="L112" s="8">
        <v>43031.584618055553</v>
      </c>
      <c r="M112" s="21">
        <f>LEN(ProjTextTable[[#This Row],[text]])</f>
        <v>4713</v>
      </c>
      <c r="N112" s="21">
        <f>LEN(TRIM(CLEAN(SUBSTITUTE(ProjTextTable[[#This Row],[text]],CHAR(10)," "))))+1 - LEN(SUBSTITUTE(CLEAN(SUBSTITUTE(ProjTextTable[[#This Row],[text]],CHAR(10)," "))," ",""))</f>
        <v>751</v>
      </c>
      <c r="O112" t="s">
        <v>196</v>
      </c>
      <c r="P112" t="s">
        <v>830</v>
      </c>
    </row>
    <row r="113" spans="1:16" x14ac:dyDescent="0.4">
      <c r="A113">
        <f t="shared" si="1"/>
        <v>16</v>
      </c>
      <c r="B113" t="s">
        <v>825</v>
      </c>
      <c r="C113" t="s">
        <v>826</v>
      </c>
      <c r="D113" t="s">
        <v>192</v>
      </c>
      <c r="E113" t="s">
        <v>611</v>
      </c>
      <c r="F113" t="s">
        <v>708</v>
      </c>
      <c r="G113" t="s">
        <v>709</v>
      </c>
      <c r="H113" t="s">
        <v>710</v>
      </c>
      <c r="I113" t="s">
        <v>201</v>
      </c>
      <c r="J113" t="s">
        <v>175</v>
      </c>
      <c r="K113" s="30">
        <v>43032</v>
      </c>
      <c r="L113" s="8">
        <v>43030.765972222223</v>
      </c>
      <c r="M113" s="21">
        <f>LEN(ProjTextTable[[#This Row],[text]])</f>
        <v>1991</v>
      </c>
      <c r="N113" s="21">
        <f>LEN(TRIM(CLEAN(SUBSTITUTE(ProjTextTable[[#This Row],[text]],CHAR(10)," "))))+1 - LEN(SUBSTITUTE(CLEAN(SUBSTITUTE(ProjTextTable[[#This Row],[text]],CHAR(10)," "))," ",""))</f>
        <v>301</v>
      </c>
      <c r="O113" t="s">
        <v>197</v>
      </c>
      <c r="P113" t="s">
        <v>831</v>
      </c>
    </row>
    <row r="114" spans="1:16" x14ac:dyDescent="0.4">
      <c r="A114">
        <f t="shared" si="1"/>
        <v>16</v>
      </c>
      <c r="B114" t="s">
        <v>825</v>
      </c>
      <c r="C114" t="s">
        <v>826</v>
      </c>
      <c r="D114" t="s">
        <v>192</v>
      </c>
      <c r="E114" t="s">
        <v>611</v>
      </c>
      <c r="F114" t="s">
        <v>697</v>
      </c>
      <c r="G114" t="s">
        <v>698</v>
      </c>
      <c r="H114" t="s">
        <v>699</v>
      </c>
      <c r="I114" t="s">
        <v>201</v>
      </c>
      <c r="J114" t="s">
        <v>175</v>
      </c>
      <c r="K114" s="30">
        <v>43032</v>
      </c>
      <c r="L114" s="8">
        <v>43026.705312500002</v>
      </c>
      <c r="M114" s="21">
        <f>LEN(ProjTextTable[[#This Row],[text]])</f>
        <v>1527</v>
      </c>
      <c r="N114" s="21">
        <f>LEN(TRIM(CLEAN(SUBSTITUTE(ProjTextTable[[#This Row],[text]],CHAR(10)," "))))+1 - LEN(SUBSTITUTE(CLEAN(SUBSTITUTE(ProjTextTable[[#This Row],[text]],CHAR(10)," "))," ",""))</f>
        <v>224</v>
      </c>
      <c r="O114" t="s">
        <v>197</v>
      </c>
      <c r="P114" t="s">
        <v>832</v>
      </c>
    </row>
    <row r="115" spans="1:16" x14ac:dyDescent="0.4">
      <c r="A115">
        <f t="shared" si="1"/>
        <v>16</v>
      </c>
      <c r="B115" t="s">
        <v>825</v>
      </c>
      <c r="C115" t="s">
        <v>826</v>
      </c>
      <c r="D115" t="s">
        <v>194</v>
      </c>
      <c r="E115" t="s">
        <v>604</v>
      </c>
      <c r="F115" t="s">
        <v>13</v>
      </c>
      <c r="G115" t="s">
        <v>13</v>
      </c>
      <c r="H115" t="s">
        <v>13</v>
      </c>
      <c r="K115" s="30"/>
      <c r="L115" s="8">
        <v>42935.043599537035</v>
      </c>
      <c r="M115" s="21">
        <f>LEN(ProjTextTable[[#This Row],[text]])</f>
        <v>4036</v>
      </c>
      <c r="N115" s="21">
        <f>LEN(TRIM(CLEAN(SUBSTITUTE(ProjTextTable[[#This Row],[text]],CHAR(10)," "))))+1 - LEN(SUBSTITUTE(CLEAN(SUBSTITUTE(ProjTextTable[[#This Row],[text]],CHAR(10)," "))," ",""))</f>
        <v>595</v>
      </c>
      <c r="O115" t="s">
        <v>13</v>
      </c>
      <c r="P115" t="s">
        <v>833</v>
      </c>
    </row>
    <row r="116" spans="1:16" x14ac:dyDescent="0.4">
      <c r="A116">
        <f t="shared" si="1"/>
        <v>17</v>
      </c>
      <c r="B116" t="s">
        <v>834</v>
      </c>
      <c r="C116" t="s">
        <v>835</v>
      </c>
      <c r="D116" t="s">
        <v>533</v>
      </c>
      <c r="E116" t="s">
        <v>654</v>
      </c>
      <c r="F116" t="s">
        <v>605</v>
      </c>
      <c r="G116" t="s">
        <v>606</v>
      </c>
      <c r="H116" t="s">
        <v>541</v>
      </c>
      <c r="I116" t="s">
        <v>536</v>
      </c>
      <c r="J116" t="s">
        <v>632</v>
      </c>
      <c r="K116" s="30">
        <v>43031</v>
      </c>
      <c r="L116" s="8">
        <v>43032.663275462961</v>
      </c>
      <c r="M116" s="21">
        <f>LEN(ProjTextTable[[#This Row],[text]])</f>
        <v>3188</v>
      </c>
      <c r="N116" s="21">
        <f>LEN(TRIM(CLEAN(SUBSTITUTE(ProjTextTable[[#This Row],[text]],CHAR(10)," "))))+1 - LEN(SUBSTITUTE(CLEAN(SUBSTITUTE(ProjTextTable[[#This Row],[text]],CHAR(10)," "))," ",""))</f>
        <v>475</v>
      </c>
      <c r="O116" t="s">
        <v>542</v>
      </c>
      <c r="P116" t="s">
        <v>836</v>
      </c>
    </row>
    <row r="117" spans="1:16" x14ac:dyDescent="0.4">
      <c r="A117">
        <f t="shared" si="1"/>
        <v>17</v>
      </c>
      <c r="B117" t="s">
        <v>834</v>
      </c>
      <c r="C117" t="s">
        <v>835</v>
      </c>
      <c r="D117" t="s">
        <v>2</v>
      </c>
      <c r="E117" t="s">
        <v>654</v>
      </c>
      <c r="F117" t="s">
        <v>13</v>
      </c>
      <c r="G117" t="s">
        <v>609</v>
      </c>
      <c r="H117" t="s">
        <v>13</v>
      </c>
      <c r="I117" t="s">
        <v>13</v>
      </c>
      <c r="K117" s="30"/>
      <c r="L117" s="8">
        <v>43082.668773148151</v>
      </c>
      <c r="M117" s="21">
        <f>LEN(ProjTextTable[[#This Row],[text]])</f>
        <v>1926</v>
      </c>
      <c r="N117" s="21">
        <f>LEN(TRIM(CLEAN(SUBSTITUTE(ProjTextTable[[#This Row],[text]],CHAR(10)," "))))+1 - LEN(SUBSTITUTE(CLEAN(SUBSTITUTE(ProjTextTable[[#This Row],[text]],CHAR(10)," "))," ",""))</f>
        <v>284</v>
      </c>
      <c r="O117" t="s">
        <v>13</v>
      </c>
      <c r="P117" t="s">
        <v>837</v>
      </c>
    </row>
    <row r="118" spans="1:16" x14ac:dyDescent="0.4">
      <c r="A118">
        <f t="shared" si="1"/>
        <v>17</v>
      </c>
      <c r="B118" t="s">
        <v>834</v>
      </c>
      <c r="C118" t="s">
        <v>835</v>
      </c>
      <c r="D118" t="s">
        <v>192</v>
      </c>
      <c r="E118" t="s">
        <v>611</v>
      </c>
      <c r="F118" t="s">
        <v>688</v>
      </c>
      <c r="G118" t="s">
        <v>689</v>
      </c>
      <c r="H118" t="s">
        <v>690</v>
      </c>
      <c r="I118" t="s">
        <v>201</v>
      </c>
      <c r="J118" t="s">
        <v>175</v>
      </c>
      <c r="K118" s="30">
        <v>43032</v>
      </c>
      <c r="L118" s="8">
        <v>43030.879699074074</v>
      </c>
      <c r="M118" s="21">
        <f>LEN(ProjTextTable[[#This Row],[text]])</f>
        <v>2801</v>
      </c>
      <c r="N118" s="21">
        <f>LEN(TRIM(CLEAN(SUBSTITUTE(ProjTextTable[[#This Row],[text]],CHAR(10)," "))))+1 - LEN(SUBSTITUTE(CLEAN(SUBSTITUTE(ProjTextTable[[#This Row],[text]],CHAR(10)," "))," ",""))</f>
        <v>432</v>
      </c>
      <c r="O118" t="s">
        <v>196</v>
      </c>
      <c r="P118" t="s">
        <v>838</v>
      </c>
    </row>
    <row r="119" spans="1:16" x14ac:dyDescent="0.4">
      <c r="A119">
        <f t="shared" si="1"/>
        <v>17</v>
      </c>
      <c r="B119" t="s">
        <v>834</v>
      </c>
      <c r="C119" t="s">
        <v>835</v>
      </c>
      <c r="D119" t="s">
        <v>192</v>
      </c>
      <c r="E119" t="s">
        <v>611</v>
      </c>
      <c r="F119" t="s">
        <v>612</v>
      </c>
      <c r="G119" t="s">
        <v>613</v>
      </c>
      <c r="H119" t="s">
        <v>614</v>
      </c>
      <c r="I119" t="s">
        <v>201</v>
      </c>
      <c r="J119" t="s">
        <v>175</v>
      </c>
      <c r="K119" s="30">
        <v>43032</v>
      </c>
      <c r="L119" s="8">
        <v>43031.585347222222</v>
      </c>
      <c r="M119" s="21">
        <f>LEN(ProjTextTable[[#This Row],[text]])</f>
        <v>3518</v>
      </c>
      <c r="N119" s="21">
        <f>LEN(TRIM(CLEAN(SUBSTITUTE(ProjTextTable[[#This Row],[text]],CHAR(10)," "))))+1 - LEN(SUBSTITUTE(CLEAN(SUBSTITUTE(ProjTextTable[[#This Row],[text]],CHAR(10)," "))," ",""))</f>
        <v>586</v>
      </c>
      <c r="O119" t="s">
        <v>199</v>
      </c>
      <c r="P119" t="s">
        <v>839</v>
      </c>
    </row>
    <row r="120" spans="1:16" x14ac:dyDescent="0.4">
      <c r="A120">
        <f t="shared" si="1"/>
        <v>17</v>
      </c>
      <c r="B120" t="s">
        <v>834</v>
      </c>
      <c r="C120" t="s">
        <v>835</v>
      </c>
      <c r="D120" t="s">
        <v>192</v>
      </c>
      <c r="E120" t="s">
        <v>611</v>
      </c>
      <c r="F120" t="s">
        <v>617</v>
      </c>
      <c r="G120" t="s">
        <v>618</v>
      </c>
      <c r="H120" t="s">
        <v>619</v>
      </c>
      <c r="I120" t="s">
        <v>201</v>
      </c>
      <c r="J120" t="s">
        <v>175</v>
      </c>
      <c r="K120" s="30">
        <v>43032</v>
      </c>
      <c r="L120" s="8">
        <v>43031.332002314812</v>
      </c>
      <c r="M120" s="21">
        <f>LEN(ProjTextTable[[#This Row],[text]])</f>
        <v>2047</v>
      </c>
      <c r="N120" s="21">
        <f>LEN(TRIM(CLEAN(SUBSTITUTE(ProjTextTable[[#This Row],[text]],CHAR(10)," "))))+1 - LEN(SUBSTITUTE(CLEAN(SUBSTITUTE(ProjTextTable[[#This Row],[text]],CHAR(10)," "))," ",""))</f>
        <v>299</v>
      </c>
      <c r="O120" t="s">
        <v>193</v>
      </c>
      <c r="P120" t="s">
        <v>840</v>
      </c>
    </row>
    <row r="121" spans="1:16" x14ac:dyDescent="0.4">
      <c r="A121">
        <f t="shared" si="1"/>
        <v>17</v>
      </c>
      <c r="B121" t="s">
        <v>834</v>
      </c>
      <c r="C121" t="s">
        <v>835</v>
      </c>
      <c r="D121" t="s">
        <v>192</v>
      </c>
      <c r="E121" t="s">
        <v>611</v>
      </c>
      <c r="F121" t="s">
        <v>659</v>
      </c>
      <c r="G121" t="s">
        <v>660</v>
      </c>
      <c r="H121" t="s">
        <v>661</v>
      </c>
      <c r="I121" t="s">
        <v>201</v>
      </c>
      <c r="J121" t="s">
        <v>175</v>
      </c>
      <c r="K121" s="30">
        <v>43032</v>
      </c>
      <c r="L121" s="8">
        <v>43013.77783564815</v>
      </c>
      <c r="M121" s="21">
        <f>LEN(ProjTextTable[[#This Row],[text]])</f>
        <v>5306</v>
      </c>
      <c r="N121" s="21">
        <f>LEN(TRIM(CLEAN(SUBSTITUTE(ProjTextTable[[#This Row],[text]],CHAR(10)," "))))+1 - LEN(SUBSTITUTE(CLEAN(SUBSTITUTE(ProjTextTable[[#This Row],[text]],CHAR(10)," "))," ",""))</f>
        <v>882</v>
      </c>
      <c r="O121" t="s">
        <v>193</v>
      </c>
      <c r="P121" t="s">
        <v>841</v>
      </c>
    </row>
    <row r="122" spans="1:16" x14ac:dyDescent="0.4">
      <c r="A122">
        <f t="shared" si="1"/>
        <v>17</v>
      </c>
      <c r="B122" t="s">
        <v>834</v>
      </c>
      <c r="C122" t="s">
        <v>835</v>
      </c>
      <c r="D122" t="s">
        <v>194</v>
      </c>
      <c r="E122" t="s">
        <v>654</v>
      </c>
      <c r="F122" t="s">
        <v>13</v>
      </c>
      <c r="G122" t="s">
        <v>13</v>
      </c>
      <c r="H122" t="s">
        <v>13</v>
      </c>
      <c r="K122" s="30"/>
      <c r="L122" s="8">
        <v>42936.042557870373</v>
      </c>
      <c r="M122" s="21">
        <f>LEN(ProjTextTable[[#This Row],[text]])</f>
        <v>3445</v>
      </c>
      <c r="N122" s="21">
        <f>LEN(TRIM(CLEAN(SUBSTITUTE(ProjTextTable[[#This Row],[text]],CHAR(10)," "))))+1 - LEN(SUBSTITUTE(CLEAN(SUBSTITUTE(ProjTextTable[[#This Row],[text]],CHAR(10)," "))," ",""))</f>
        <v>492</v>
      </c>
      <c r="O122" t="s">
        <v>13</v>
      </c>
      <c r="P122" t="s">
        <v>842</v>
      </c>
    </row>
    <row r="123" spans="1:16" x14ac:dyDescent="0.4">
      <c r="A123">
        <f t="shared" si="1"/>
        <v>18</v>
      </c>
      <c r="B123" t="s">
        <v>843</v>
      </c>
      <c r="C123" t="s">
        <v>844</v>
      </c>
      <c r="D123" t="s">
        <v>533</v>
      </c>
      <c r="E123" t="s">
        <v>654</v>
      </c>
      <c r="F123" t="s">
        <v>605</v>
      </c>
      <c r="G123" t="s">
        <v>606</v>
      </c>
      <c r="H123" t="s">
        <v>539</v>
      </c>
      <c r="I123" t="s">
        <v>535</v>
      </c>
      <c r="J123" t="s">
        <v>534</v>
      </c>
      <c r="K123" s="30">
        <v>43031</v>
      </c>
      <c r="L123" s="8">
        <v>43032.610891203702</v>
      </c>
      <c r="M123" s="21">
        <f>LEN(ProjTextTable[[#This Row],[text]])</f>
        <v>4296</v>
      </c>
      <c r="N123" s="21">
        <f>LEN(TRIM(CLEAN(SUBSTITUTE(ProjTextTable[[#This Row],[text]],CHAR(10)," "))))+1 - LEN(SUBSTITUTE(CLEAN(SUBSTITUTE(ProjTextTable[[#This Row],[text]],CHAR(10)," "))," ",""))</f>
        <v>633</v>
      </c>
      <c r="O123" t="s">
        <v>540</v>
      </c>
      <c r="P123" t="s">
        <v>845</v>
      </c>
    </row>
    <row r="124" spans="1:16" x14ac:dyDescent="0.4">
      <c r="A124">
        <f t="shared" si="1"/>
        <v>18</v>
      </c>
      <c r="B124" t="s">
        <v>843</v>
      </c>
      <c r="C124" t="s">
        <v>844</v>
      </c>
      <c r="D124" t="s">
        <v>192</v>
      </c>
      <c r="E124" t="s">
        <v>611</v>
      </c>
      <c r="F124" t="s">
        <v>659</v>
      </c>
      <c r="G124" t="s">
        <v>660</v>
      </c>
      <c r="H124" t="s">
        <v>661</v>
      </c>
      <c r="I124" t="s">
        <v>201</v>
      </c>
      <c r="J124" t="s">
        <v>175</v>
      </c>
      <c r="K124" s="30">
        <v>43032</v>
      </c>
      <c r="L124" s="8">
        <v>43032.519444444442</v>
      </c>
      <c r="M124" s="21">
        <f>LEN(ProjTextTable[[#This Row],[text]])</f>
        <v>7359</v>
      </c>
      <c r="N124" s="21">
        <f>LEN(TRIM(CLEAN(SUBSTITUTE(ProjTextTable[[#This Row],[text]],CHAR(10)," "))))+1 - LEN(SUBSTITUTE(CLEAN(SUBSTITUTE(ProjTextTable[[#This Row],[text]],CHAR(10)," "))," ",""))</f>
        <v>1246</v>
      </c>
      <c r="O124" t="s">
        <v>196</v>
      </c>
      <c r="P124" t="s">
        <v>846</v>
      </c>
    </row>
    <row r="125" spans="1:16" x14ac:dyDescent="0.4">
      <c r="A125">
        <f t="shared" si="1"/>
        <v>18</v>
      </c>
      <c r="B125" t="s">
        <v>843</v>
      </c>
      <c r="C125" t="s">
        <v>844</v>
      </c>
      <c r="D125" t="s">
        <v>192</v>
      </c>
      <c r="E125" t="s">
        <v>611</v>
      </c>
      <c r="F125" t="s">
        <v>647</v>
      </c>
      <c r="G125" t="s">
        <v>648</v>
      </c>
      <c r="H125" t="s">
        <v>649</v>
      </c>
      <c r="I125" t="s">
        <v>201</v>
      </c>
      <c r="J125" t="s">
        <v>175</v>
      </c>
      <c r="K125" s="30">
        <v>43032</v>
      </c>
      <c r="L125" s="8">
        <v>43030.097916666666</v>
      </c>
      <c r="M125" s="21">
        <f>LEN(ProjTextTable[[#This Row],[text]])</f>
        <v>2211</v>
      </c>
      <c r="N125" s="21">
        <f>LEN(TRIM(CLEAN(SUBSTITUTE(ProjTextTable[[#This Row],[text]],CHAR(10)," "))))+1 - LEN(SUBSTITUTE(CLEAN(SUBSTITUTE(ProjTextTable[[#This Row],[text]],CHAR(10)," "))," ",""))</f>
        <v>328</v>
      </c>
      <c r="O125" t="s">
        <v>193</v>
      </c>
      <c r="P125" t="s">
        <v>847</v>
      </c>
    </row>
    <row r="126" spans="1:16" x14ac:dyDescent="0.4">
      <c r="A126">
        <f t="shared" si="1"/>
        <v>18</v>
      </c>
      <c r="B126" t="s">
        <v>843</v>
      </c>
      <c r="C126" t="s">
        <v>844</v>
      </c>
      <c r="D126" t="s">
        <v>192</v>
      </c>
      <c r="E126" t="s">
        <v>611</v>
      </c>
      <c r="F126" t="s">
        <v>664</v>
      </c>
      <c r="G126" t="s">
        <v>665</v>
      </c>
      <c r="H126" t="s">
        <v>666</v>
      </c>
      <c r="I126" t="s">
        <v>201</v>
      </c>
      <c r="J126" t="s">
        <v>175</v>
      </c>
      <c r="K126" s="30">
        <v>43032</v>
      </c>
      <c r="L126" s="8">
        <v>43029.743773148148</v>
      </c>
      <c r="M126" s="21">
        <f>LEN(ProjTextTable[[#This Row],[text]])</f>
        <v>1790</v>
      </c>
      <c r="N126" s="21">
        <f>LEN(TRIM(CLEAN(SUBSTITUTE(ProjTextTable[[#This Row],[text]],CHAR(10)," "))))+1 - LEN(SUBSTITUTE(CLEAN(SUBSTITUTE(ProjTextTable[[#This Row],[text]],CHAR(10)," "))," ",""))</f>
        <v>255</v>
      </c>
      <c r="O126" t="s">
        <v>229</v>
      </c>
      <c r="P126" t="s">
        <v>848</v>
      </c>
    </row>
    <row r="127" spans="1:16" x14ac:dyDescent="0.4">
      <c r="A127">
        <f t="shared" si="1"/>
        <v>18</v>
      </c>
      <c r="B127" t="s">
        <v>843</v>
      </c>
      <c r="C127" t="s">
        <v>844</v>
      </c>
      <c r="D127" t="s">
        <v>192</v>
      </c>
      <c r="E127" t="s">
        <v>611</v>
      </c>
      <c r="F127" t="s">
        <v>697</v>
      </c>
      <c r="G127" t="s">
        <v>698</v>
      </c>
      <c r="H127" t="s">
        <v>699</v>
      </c>
      <c r="I127" t="s">
        <v>201</v>
      </c>
      <c r="J127" t="s">
        <v>175</v>
      </c>
      <c r="K127" s="30">
        <v>43032</v>
      </c>
      <c r="L127" s="8">
        <v>43026.70988425926</v>
      </c>
      <c r="M127" s="21">
        <f>LEN(ProjTextTable[[#This Row],[text]])</f>
        <v>2510</v>
      </c>
      <c r="N127" s="21">
        <f>LEN(TRIM(CLEAN(SUBSTITUTE(ProjTextTable[[#This Row],[text]],CHAR(10)," "))))+1 - LEN(SUBSTITUTE(CLEAN(SUBSTITUTE(ProjTextTable[[#This Row],[text]],CHAR(10)," "))," ",""))</f>
        <v>396</v>
      </c>
      <c r="O127" t="s">
        <v>196</v>
      </c>
      <c r="P127" t="s">
        <v>849</v>
      </c>
    </row>
    <row r="128" spans="1:16" x14ac:dyDescent="0.4">
      <c r="A128">
        <f t="shared" si="1"/>
        <v>18</v>
      </c>
      <c r="B128" t="s">
        <v>843</v>
      </c>
      <c r="C128" t="s">
        <v>844</v>
      </c>
      <c r="D128" t="s">
        <v>194</v>
      </c>
      <c r="E128" t="s">
        <v>654</v>
      </c>
      <c r="F128" t="s">
        <v>13</v>
      </c>
      <c r="G128" t="s">
        <v>13</v>
      </c>
      <c r="H128" t="s">
        <v>13</v>
      </c>
      <c r="K128" s="30"/>
      <c r="L128" s="8">
        <v>42936.042581018519</v>
      </c>
      <c r="M128" s="21">
        <f>LEN(ProjTextTable[[#This Row],[text]])</f>
        <v>2310</v>
      </c>
      <c r="N128" s="21">
        <f>LEN(TRIM(CLEAN(SUBSTITUTE(ProjTextTable[[#This Row],[text]],CHAR(10)," "))))+1 - LEN(SUBSTITUTE(CLEAN(SUBSTITUTE(ProjTextTable[[#This Row],[text]],CHAR(10)," "))," ",""))</f>
        <v>295</v>
      </c>
      <c r="O128" t="s">
        <v>13</v>
      </c>
      <c r="P128" t="s">
        <v>850</v>
      </c>
    </row>
    <row r="129" spans="1:16" x14ac:dyDescent="0.4">
      <c r="A129">
        <f t="shared" si="1"/>
        <v>19</v>
      </c>
      <c r="B129" t="s">
        <v>851</v>
      </c>
      <c r="C129" t="s">
        <v>852</v>
      </c>
      <c r="D129" t="s">
        <v>533</v>
      </c>
      <c r="E129" t="s">
        <v>654</v>
      </c>
      <c r="F129" t="s">
        <v>605</v>
      </c>
      <c r="G129" t="s">
        <v>606</v>
      </c>
      <c r="H129" t="s">
        <v>539</v>
      </c>
      <c r="I129" t="s">
        <v>535</v>
      </c>
      <c r="J129" t="s">
        <v>536</v>
      </c>
      <c r="K129" s="30">
        <v>43031</v>
      </c>
      <c r="L129" s="8">
        <v>43032.650821759256</v>
      </c>
      <c r="M129" s="21">
        <f>LEN(ProjTextTable[[#This Row],[text]])</f>
        <v>2693</v>
      </c>
      <c r="N129" s="21">
        <f>LEN(TRIM(CLEAN(SUBSTITUTE(ProjTextTable[[#This Row],[text]],CHAR(10)," "))))+1 - LEN(SUBSTITUTE(CLEAN(SUBSTITUTE(ProjTextTable[[#This Row],[text]],CHAR(10)," "))," ",""))</f>
        <v>386</v>
      </c>
      <c r="O129" t="s">
        <v>540</v>
      </c>
      <c r="P129" t="s">
        <v>853</v>
      </c>
    </row>
    <row r="130" spans="1:16" x14ac:dyDescent="0.4">
      <c r="A130">
        <f t="shared" ref="A130:A193" si="2">A129+(B130&lt;&gt;B129)</f>
        <v>19</v>
      </c>
      <c r="B130" t="s">
        <v>851</v>
      </c>
      <c r="C130" t="s">
        <v>852</v>
      </c>
      <c r="D130" t="s">
        <v>192</v>
      </c>
      <c r="E130" t="s">
        <v>611</v>
      </c>
      <c r="F130" t="s">
        <v>692</v>
      </c>
      <c r="G130" t="s">
        <v>693</v>
      </c>
      <c r="H130" t="s">
        <v>694</v>
      </c>
      <c r="I130" t="s">
        <v>201</v>
      </c>
      <c r="J130" t="s">
        <v>175</v>
      </c>
      <c r="K130" s="30">
        <v>43032</v>
      </c>
      <c r="L130" s="8">
        <v>43027.652361111112</v>
      </c>
      <c r="M130" s="21">
        <f>LEN(ProjTextTable[[#This Row],[text]])</f>
        <v>2118</v>
      </c>
      <c r="N130" s="21">
        <f>LEN(TRIM(CLEAN(SUBSTITUTE(ProjTextTable[[#This Row],[text]],CHAR(10)," "))))+1 - LEN(SUBSTITUTE(CLEAN(SUBSTITUTE(ProjTextTable[[#This Row],[text]],CHAR(10)," "))," ",""))</f>
        <v>305</v>
      </c>
      <c r="O130" t="s">
        <v>196</v>
      </c>
      <c r="P130" t="s">
        <v>854</v>
      </c>
    </row>
    <row r="131" spans="1:16" x14ac:dyDescent="0.4">
      <c r="A131">
        <f t="shared" si="2"/>
        <v>19</v>
      </c>
      <c r="B131" t="s">
        <v>851</v>
      </c>
      <c r="C131" t="s">
        <v>852</v>
      </c>
      <c r="D131" t="s">
        <v>192</v>
      </c>
      <c r="E131" t="s">
        <v>654</v>
      </c>
      <c r="F131" t="s">
        <v>625</v>
      </c>
      <c r="G131" t="s">
        <v>626</v>
      </c>
      <c r="H131" t="s">
        <v>627</v>
      </c>
      <c r="I131" t="s">
        <v>201</v>
      </c>
      <c r="J131" t="s">
        <v>175</v>
      </c>
      <c r="K131" s="30">
        <v>43032</v>
      </c>
      <c r="L131" s="8">
        <v>43031.632939814815</v>
      </c>
      <c r="M131" s="21">
        <f>LEN(ProjTextTable[[#This Row],[text]])</f>
        <v>2363</v>
      </c>
      <c r="N131" s="21">
        <f>LEN(TRIM(CLEAN(SUBSTITUTE(ProjTextTable[[#This Row],[text]],CHAR(10)," "))))+1 - LEN(SUBSTITUTE(CLEAN(SUBSTITUTE(ProjTextTable[[#This Row],[text]],CHAR(10)," "))," ",""))</f>
        <v>352</v>
      </c>
      <c r="O131" t="s">
        <v>196</v>
      </c>
      <c r="P131" t="s">
        <v>855</v>
      </c>
    </row>
    <row r="132" spans="1:16" x14ac:dyDescent="0.4">
      <c r="A132">
        <f t="shared" si="2"/>
        <v>19</v>
      </c>
      <c r="B132" t="s">
        <v>851</v>
      </c>
      <c r="C132" t="s">
        <v>852</v>
      </c>
      <c r="D132" t="s">
        <v>192</v>
      </c>
      <c r="E132" t="s">
        <v>611</v>
      </c>
      <c r="F132" t="s">
        <v>659</v>
      </c>
      <c r="G132" t="s">
        <v>660</v>
      </c>
      <c r="H132" t="s">
        <v>661</v>
      </c>
      <c r="I132" t="s">
        <v>201</v>
      </c>
      <c r="J132" t="s">
        <v>175</v>
      </c>
      <c r="K132" s="30">
        <v>43032</v>
      </c>
      <c r="L132" s="8">
        <v>43032.520671296297</v>
      </c>
      <c r="M132" s="21">
        <f>LEN(ProjTextTable[[#This Row],[text]])</f>
        <v>5534</v>
      </c>
      <c r="N132" s="21">
        <f>LEN(TRIM(CLEAN(SUBSTITUTE(ProjTextTable[[#This Row],[text]],CHAR(10)," "))))+1 - LEN(SUBSTITUTE(CLEAN(SUBSTITUTE(ProjTextTable[[#This Row],[text]],CHAR(10)," "))," ",""))</f>
        <v>912</v>
      </c>
      <c r="O132" t="s">
        <v>229</v>
      </c>
      <c r="P132" t="s">
        <v>856</v>
      </c>
    </row>
    <row r="133" spans="1:16" x14ac:dyDescent="0.4">
      <c r="A133">
        <f t="shared" si="2"/>
        <v>19</v>
      </c>
      <c r="B133" t="s">
        <v>851</v>
      </c>
      <c r="C133" t="s">
        <v>852</v>
      </c>
      <c r="D133" t="s">
        <v>192</v>
      </c>
      <c r="E133" t="s">
        <v>611</v>
      </c>
      <c r="F133" t="s">
        <v>708</v>
      </c>
      <c r="G133" t="s">
        <v>709</v>
      </c>
      <c r="H133" t="s">
        <v>710</v>
      </c>
      <c r="I133" t="s">
        <v>201</v>
      </c>
      <c r="J133" t="s">
        <v>175</v>
      </c>
      <c r="K133" s="30">
        <v>43032</v>
      </c>
      <c r="L133" s="8">
        <v>43030.650266203702</v>
      </c>
      <c r="M133" s="21">
        <f>LEN(ProjTextTable[[#This Row],[text]])</f>
        <v>2740</v>
      </c>
      <c r="N133" s="21">
        <f>LEN(TRIM(CLEAN(SUBSTITUTE(ProjTextTable[[#This Row],[text]],CHAR(10)," "))))+1 - LEN(SUBSTITUTE(CLEAN(SUBSTITUTE(ProjTextTable[[#This Row],[text]],CHAR(10)," "))," ",""))</f>
        <v>440</v>
      </c>
      <c r="O133" t="s">
        <v>195</v>
      </c>
      <c r="P133" t="s">
        <v>857</v>
      </c>
    </row>
    <row r="134" spans="1:16" x14ac:dyDescent="0.4">
      <c r="A134">
        <f t="shared" si="2"/>
        <v>19</v>
      </c>
      <c r="B134" t="s">
        <v>851</v>
      </c>
      <c r="C134" t="s">
        <v>852</v>
      </c>
      <c r="D134" t="s">
        <v>194</v>
      </c>
      <c r="E134" t="s">
        <v>654</v>
      </c>
      <c r="F134" t="s">
        <v>13</v>
      </c>
      <c r="G134" t="s">
        <v>13</v>
      </c>
      <c r="H134" t="s">
        <v>13</v>
      </c>
      <c r="K134" s="30"/>
      <c r="L134" s="8">
        <v>42936.042615740742</v>
      </c>
      <c r="M134" s="21">
        <f>LEN(ProjTextTable[[#This Row],[text]])</f>
        <v>4420</v>
      </c>
      <c r="N134" s="21">
        <f>LEN(TRIM(CLEAN(SUBSTITUTE(ProjTextTable[[#This Row],[text]],CHAR(10)," "))))+1 - LEN(SUBSTITUTE(CLEAN(SUBSTITUTE(ProjTextTable[[#This Row],[text]],CHAR(10)," "))," ",""))</f>
        <v>643</v>
      </c>
      <c r="O134" t="s">
        <v>13</v>
      </c>
      <c r="P134" t="s">
        <v>858</v>
      </c>
    </row>
    <row r="135" spans="1:16" x14ac:dyDescent="0.4">
      <c r="A135">
        <f t="shared" si="2"/>
        <v>20</v>
      </c>
      <c r="B135" t="s">
        <v>859</v>
      </c>
      <c r="C135" t="s">
        <v>860</v>
      </c>
      <c r="D135" t="s">
        <v>533</v>
      </c>
      <c r="E135" t="s">
        <v>654</v>
      </c>
      <c r="F135" t="s">
        <v>605</v>
      </c>
      <c r="G135" t="s">
        <v>606</v>
      </c>
      <c r="H135" t="s">
        <v>541</v>
      </c>
      <c r="I135" t="s">
        <v>536</v>
      </c>
      <c r="J135" t="s">
        <v>632</v>
      </c>
      <c r="K135" s="30">
        <v>43031</v>
      </c>
      <c r="L135" s="8">
        <v>43032.621249999997</v>
      </c>
      <c r="M135" s="21">
        <f>LEN(ProjTextTable[[#This Row],[text]])</f>
        <v>2933</v>
      </c>
      <c r="N135" s="21">
        <f>LEN(TRIM(CLEAN(SUBSTITUTE(ProjTextTable[[#This Row],[text]],CHAR(10)," "))))+1 - LEN(SUBSTITUTE(CLEAN(SUBSTITUTE(ProjTextTable[[#This Row],[text]],CHAR(10)," "))," ",""))</f>
        <v>435</v>
      </c>
      <c r="O135" t="s">
        <v>542</v>
      </c>
      <c r="P135" t="s">
        <v>861</v>
      </c>
    </row>
    <row r="136" spans="1:16" x14ac:dyDescent="0.4">
      <c r="A136">
        <f t="shared" si="2"/>
        <v>20</v>
      </c>
      <c r="B136" t="s">
        <v>859</v>
      </c>
      <c r="C136" t="s">
        <v>860</v>
      </c>
      <c r="D136" t="s">
        <v>2</v>
      </c>
      <c r="E136" t="s">
        <v>654</v>
      </c>
      <c r="F136" t="s">
        <v>13</v>
      </c>
      <c r="G136" t="s">
        <v>609</v>
      </c>
      <c r="H136" t="s">
        <v>13</v>
      </c>
      <c r="I136" t="s">
        <v>13</v>
      </c>
      <c r="K136" s="30"/>
      <c r="L136" s="8">
        <v>43082.668842592589</v>
      </c>
      <c r="M136" s="21">
        <f>LEN(ProjTextTable[[#This Row],[text]])</f>
        <v>1935</v>
      </c>
      <c r="N136" s="21">
        <f>LEN(TRIM(CLEAN(SUBSTITUTE(ProjTextTable[[#This Row],[text]],CHAR(10)," "))))+1 - LEN(SUBSTITUTE(CLEAN(SUBSTITUTE(ProjTextTable[[#This Row],[text]],CHAR(10)," "))," ",""))</f>
        <v>284</v>
      </c>
      <c r="O136" t="s">
        <v>13</v>
      </c>
      <c r="P136" t="s">
        <v>862</v>
      </c>
    </row>
    <row r="137" spans="1:16" x14ac:dyDescent="0.4">
      <c r="A137">
        <f t="shared" si="2"/>
        <v>20</v>
      </c>
      <c r="B137" t="s">
        <v>859</v>
      </c>
      <c r="C137" t="s">
        <v>860</v>
      </c>
      <c r="D137" t="s">
        <v>192</v>
      </c>
      <c r="E137" t="s">
        <v>611</v>
      </c>
      <c r="F137" t="s">
        <v>688</v>
      </c>
      <c r="G137" t="s">
        <v>689</v>
      </c>
      <c r="H137" t="s">
        <v>690</v>
      </c>
      <c r="I137" t="s">
        <v>201</v>
      </c>
      <c r="J137" t="s">
        <v>175</v>
      </c>
      <c r="K137" s="30">
        <v>43032</v>
      </c>
      <c r="L137" s="8">
        <v>43030.861539351848</v>
      </c>
      <c r="M137" s="21">
        <f>LEN(ProjTextTable[[#This Row],[text]])</f>
        <v>2279</v>
      </c>
      <c r="N137" s="21">
        <f>LEN(TRIM(CLEAN(SUBSTITUTE(ProjTextTable[[#This Row],[text]],CHAR(10)," "))))+1 - LEN(SUBSTITUTE(CLEAN(SUBSTITUTE(ProjTextTable[[#This Row],[text]],CHAR(10)," "))," ",""))</f>
        <v>335</v>
      </c>
      <c r="O137" t="s">
        <v>195</v>
      </c>
      <c r="P137" t="s">
        <v>863</v>
      </c>
    </row>
    <row r="138" spans="1:16" x14ac:dyDescent="0.4">
      <c r="A138">
        <f t="shared" si="2"/>
        <v>20</v>
      </c>
      <c r="B138" t="s">
        <v>859</v>
      </c>
      <c r="C138" t="s">
        <v>860</v>
      </c>
      <c r="D138" t="s">
        <v>192</v>
      </c>
      <c r="E138" t="s">
        <v>611</v>
      </c>
      <c r="F138" t="s">
        <v>621</v>
      </c>
      <c r="G138" t="s">
        <v>622</v>
      </c>
      <c r="H138" t="s">
        <v>623</v>
      </c>
      <c r="I138" t="s">
        <v>201</v>
      </c>
      <c r="J138" t="s">
        <v>175</v>
      </c>
      <c r="K138" s="30">
        <v>43032</v>
      </c>
      <c r="L138" s="8">
        <v>43030.96875</v>
      </c>
      <c r="M138" s="21">
        <f>LEN(ProjTextTable[[#This Row],[text]])</f>
        <v>2428</v>
      </c>
      <c r="N138" s="21">
        <f>LEN(TRIM(CLEAN(SUBSTITUTE(ProjTextTable[[#This Row],[text]],CHAR(10)," "))))+1 - LEN(SUBSTITUTE(CLEAN(SUBSTITUTE(ProjTextTable[[#This Row],[text]],CHAR(10)," "))," ",""))</f>
        <v>386</v>
      </c>
      <c r="O138" t="s">
        <v>198</v>
      </c>
      <c r="P138" t="s">
        <v>864</v>
      </c>
    </row>
    <row r="139" spans="1:16" x14ac:dyDescent="0.4">
      <c r="A139">
        <f t="shared" si="2"/>
        <v>20</v>
      </c>
      <c r="B139" t="s">
        <v>859</v>
      </c>
      <c r="C139" t="s">
        <v>860</v>
      </c>
      <c r="D139" t="s">
        <v>192</v>
      </c>
      <c r="E139" t="s">
        <v>611</v>
      </c>
      <c r="F139" t="s">
        <v>647</v>
      </c>
      <c r="G139" t="s">
        <v>648</v>
      </c>
      <c r="H139" t="s">
        <v>649</v>
      </c>
      <c r="I139" t="s">
        <v>201</v>
      </c>
      <c r="J139" t="s">
        <v>175</v>
      </c>
      <c r="K139" s="30">
        <v>43032</v>
      </c>
      <c r="L139" s="8">
        <v>43030.694988425923</v>
      </c>
      <c r="M139" s="21">
        <f>LEN(ProjTextTable[[#This Row],[text]])</f>
        <v>4076</v>
      </c>
      <c r="N139" s="21">
        <f>LEN(TRIM(CLEAN(SUBSTITUTE(ProjTextTable[[#This Row],[text]],CHAR(10)," "))))+1 - LEN(SUBSTITUTE(CLEAN(SUBSTITUTE(ProjTextTable[[#This Row],[text]],CHAR(10)," "))," ",""))</f>
        <v>620</v>
      </c>
      <c r="O139" t="s">
        <v>196</v>
      </c>
      <c r="P139" t="s">
        <v>865</v>
      </c>
    </row>
    <row r="140" spans="1:16" x14ac:dyDescent="0.4">
      <c r="A140">
        <f t="shared" si="2"/>
        <v>20</v>
      </c>
      <c r="B140" t="s">
        <v>859</v>
      </c>
      <c r="C140" t="s">
        <v>860</v>
      </c>
      <c r="D140" t="s">
        <v>192</v>
      </c>
      <c r="E140" t="s">
        <v>611</v>
      </c>
      <c r="F140" t="s">
        <v>697</v>
      </c>
      <c r="G140" t="s">
        <v>698</v>
      </c>
      <c r="H140" t="s">
        <v>699</v>
      </c>
      <c r="I140" t="s">
        <v>201</v>
      </c>
      <c r="J140" t="s">
        <v>175</v>
      </c>
      <c r="K140" s="30">
        <v>43032</v>
      </c>
      <c r="L140" s="8">
        <v>43030.806562500002</v>
      </c>
      <c r="M140" s="21">
        <f>LEN(ProjTextTable[[#This Row],[text]])</f>
        <v>3124</v>
      </c>
      <c r="N140" s="21">
        <f>LEN(TRIM(CLEAN(SUBSTITUTE(ProjTextTable[[#This Row],[text]],CHAR(10)," "))))+1 - LEN(SUBSTITUTE(CLEAN(SUBSTITUTE(ProjTextTable[[#This Row],[text]],CHAR(10)," "))," ",""))</f>
        <v>492</v>
      </c>
      <c r="O140" t="s">
        <v>198</v>
      </c>
      <c r="P140" t="s">
        <v>866</v>
      </c>
    </row>
    <row r="141" spans="1:16" x14ac:dyDescent="0.4">
      <c r="A141">
        <f t="shared" si="2"/>
        <v>20</v>
      </c>
      <c r="B141" t="s">
        <v>859</v>
      </c>
      <c r="C141" t="s">
        <v>860</v>
      </c>
      <c r="D141" t="s">
        <v>194</v>
      </c>
      <c r="E141" t="s">
        <v>654</v>
      </c>
      <c r="F141" t="s">
        <v>13</v>
      </c>
      <c r="G141" t="s">
        <v>13</v>
      </c>
      <c r="H141" t="s">
        <v>13</v>
      </c>
      <c r="K141" s="30"/>
      <c r="L141" s="8">
        <v>42936.043032407404</v>
      </c>
      <c r="M141" s="21">
        <f>LEN(ProjTextTable[[#This Row],[text]])</f>
        <v>4474</v>
      </c>
      <c r="N141" s="21">
        <f>LEN(TRIM(CLEAN(SUBSTITUTE(ProjTextTable[[#This Row],[text]],CHAR(10)," "))))+1 - LEN(SUBSTITUTE(CLEAN(SUBSTITUTE(ProjTextTable[[#This Row],[text]],CHAR(10)," "))," ",""))</f>
        <v>661</v>
      </c>
      <c r="O141" t="s">
        <v>13</v>
      </c>
      <c r="P141" t="s">
        <v>867</v>
      </c>
    </row>
    <row r="142" spans="1:16" x14ac:dyDescent="0.4">
      <c r="A142">
        <f t="shared" si="2"/>
        <v>21</v>
      </c>
      <c r="B142" t="s">
        <v>868</v>
      </c>
      <c r="C142" t="s">
        <v>869</v>
      </c>
      <c r="D142" t="s">
        <v>533</v>
      </c>
      <c r="E142" t="s">
        <v>654</v>
      </c>
      <c r="F142" t="s">
        <v>605</v>
      </c>
      <c r="G142" t="s">
        <v>606</v>
      </c>
      <c r="H142" t="s">
        <v>543</v>
      </c>
      <c r="I142" t="s">
        <v>537</v>
      </c>
      <c r="J142" t="s">
        <v>537</v>
      </c>
      <c r="K142" s="30">
        <v>43031</v>
      </c>
      <c r="L142" s="8">
        <v>43032.651261574072</v>
      </c>
      <c r="M142" s="21">
        <f>LEN(ProjTextTable[[#This Row],[text]])</f>
        <v>3395</v>
      </c>
      <c r="N142" s="21">
        <f>LEN(TRIM(CLEAN(SUBSTITUTE(ProjTextTable[[#This Row],[text]],CHAR(10)," "))))+1 - LEN(SUBSTITUTE(CLEAN(SUBSTITUTE(ProjTextTable[[#This Row],[text]],CHAR(10)," "))," ",""))</f>
        <v>510</v>
      </c>
      <c r="O142" t="s">
        <v>544</v>
      </c>
      <c r="P142" t="s">
        <v>870</v>
      </c>
    </row>
    <row r="143" spans="1:16" x14ac:dyDescent="0.4">
      <c r="A143">
        <f t="shared" si="2"/>
        <v>21</v>
      </c>
      <c r="B143" t="s">
        <v>868</v>
      </c>
      <c r="C143" t="s">
        <v>869</v>
      </c>
      <c r="D143" t="s">
        <v>192</v>
      </c>
      <c r="E143" t="s">
        <v>611</v>
      </c>
      <c r="F143" t="s">
        <v>621</v>
      </c>
      <c r="G143" t="s">
        <v>622</v>
      </c>
      <c r="H143" t="s">
        <v>623</v>
      </c>
      <c r="I143" t="s">
        <v>201</v>
      </c>
      <c r="J143" t="s">
        <v>175</v>
      </c>
      <c r="K143" s="30">
        <v>43032</v>
      </c>
      <c r="L143" s="8">
        <v>43031.606099537035</v>
      </c>
      <c r="M143" s="21">
        <f>LEN(ProjTextTable[[#This Row],[text]])</f>
        <v>3088</v>
      </c>
      <c r="N143" s="21">
        <f>LEN(TRIM(CLEAN(SUBSTITUTE(ProjTextTable[[#This Row],[text]],CHAR(10)," "))))+1 - LEN(SUBSTITUTE(CLEAN(SUBSTITUTE(ProjTextTable[[#This Row],[text]],CHAR(10)," "))," ",""))</f>
        <v>450</v>
      </c>
      <c r="O143" t="s">
        <v>195</v>
      </c>
      <c r="P143" t="s">
        <v>871</v>
      </c>
    </row>
    <row r="144" spans="1:16" x14ac:dyDescent="0.4">
      <c r="A144">
        <f t="shared" si="2"/>
        <v>21</v>
      </c>
      <c r="B144" t="s">
        <v>868</v>
      </c>
      <c r="C144" t="s">
        <v>869</v>
      </c>
      <c r="D144" t="s">
        <v>192</v>
      </c>
      <c r="E144" t="s">
        <v>611</v>
      </c>
      <c r="F144" t="s">
        <v>659</v>
      </c>
      <c r="G144" t="s">
        <v>660</v>
      </c>
      <c r="H144" t="s">
        <v>661</v>
      </c>
      <c r="I144" t="s">
        <v>201</v>
      </c>
      <c r="J144" t="s">
        <v>175</v>
      </c>
      <c r="K144" s="30">
        <v>43032</v>
      </c>
      <c r="L144" s="8">
        <v>43032.52853009259</v>
      </c>
      <c r="M144" s="21">
        <f>LEN(ProjTextTable[[#This Row],[text]])</f>
        <v>4240</v>
      </c>
      <c r="N144" s="21">
        <f>LEN(TRIM(CLEAN(SUBSTITUTE(ProjTextTable[[#This Row],[text]],CHAR(10)," "))))+1 - LEN(SUBSTITUTE(CLEAN(SUBSTITUTE(ProjTextTable[[#This Row],[text]],CHAR(10)," "))," ",""))</f>
        <v>665</v>
      </c>
      <c r="O144" t="s">
        <v>193</v>
      </c>
      <c r="P144" t="s">
        <v>872</v>
      </c>
    </row>
    <row r="145" spans="1:16" x14ac:dyDescent="0.4">
      <c r="A145">
        <f t="shared" si="2"/>
        <v>21</v>
      </c>
      <c r="B145" t="s">
        <v>868</v>
      </c>
      <c r="C145" t="s">
        <v>869</v>
      </c>
      <c r="D145" t="s">
        <v>192</v>
      </c>
      <c r="E145" t="s">
        <v>611</v>
      </c>
      <c r="F145" t="s">
        <v>708</v>
      </c>
      <c r="G145" t="s">
        <v>709</v>
      </c>
      <c r="H145" t="s">
        <v>710</v>
      </c>
      <c r="I145" t="s">
        <v>201</v>
      </c>
      <c r="J145" t="s">
        <v>175</v>
      </c>
      <c r="K145" s="30">
        <v>43032</v>
      </c>
      <c r="L145" s="8">
        <v>43030.964513888888</v>
      </c>
      <c r="M145" s="21">
        <f>LEN(ProjTextTable[[#This Row],[text]])</f>
        <v>1835</v>
      </c>
      <c r="N145" s="21">
        <f>LEN(TRIM(CLEAN(SUBSTITUTE(ProjTextTable[[#This Row],[text]],CHAR(10)," "))))+1 - LEN(SUBSTITUTE(CLEAN(SUBSTITUTE(ProjTextTable[[#This Row],[text]],CHAR(10)," "))," ",""))</f>
        <v>279</v>
      </c>
      <c r="O145" t="s">
        <v>195</v>
      </c>
      <c r="P145" t="s">
        <v>873</v>
      </c>
    </row>
    <row r="146" spans="1:16" x14ac:dyDescent="0.4">
      <c r="A146">
        <f t="shared" si="2"/>
        <v>21</v>
      </c>
      <c r="B146" t="s">
        <v>868</v>
      </c>
      <c r="C146" t="s">
        <v>869</v>
      </c>
      <c r="D146" t="s">
        <v>192</v>
      </c>
      <c r="E146" t="s">
        <v>611</v>
      </c>
      <c r="F146" t="s">
        <v>664</v>
      </c>
      <c r="G146" t="s">
        <v>665</v>
      </c>
      <c r="H146" t="s">
        <v>666</v>
      </c>
      <c r="I146" t="s">
        <v>201</v>
      </c>
      <c r="J146" t="s">
        <v>175</v>
      </c>
      <c r="K146" s="30">
        <v>43032</v>
      </c>
      <c r="L146" s="8">
        <v>43028.722314814811</v>
      </c>
      <c r="M146" s="21">
        <f>LEN(ProjTextTable[[#This Row],[text]])</f>
        <v>1743</v>
      </c>
      <c r="N146" s="21">
        <f>LEN(TRIM(CLEAN(SUBSTITUTE(ProjTextTable[[#This Row],[text]],CHAR(10)," "))))+1 - LEN(SUBSTITUTE(CLEAN(SUBSTITUTE(ProjTextTable[[#This Row],[text]],CHAR(10)," "))," ",""))</f>
        <v>246</v>
      </c>
      <c r="O146" t="s">
        <v>229</v>
      </c>
      <c r="P146" t="s">
        <v>874</v>
      </c>
    </row>
    <row r="147" spans="1:16" x14ac:dyDescent="0.4">
      <c r="A147">
        <f t="shared" si="2"/>
        <v>22</v>
      </c>
      <c r="B147" t="s">
        <v>875</v>
      </c>
      <c r="C147" t="s">
        <v>876</v>
      </c>
      <c r="D147" t="s">
        <v>533</v>
      </c>
      <c r="E147" t="s">
        <v>654</v>
      </c>
      <c r="F147" t="s">
        <v>714</v>
      </c>
      <c r="G147" t="s">
        <v>715</v>
      </c>
      <c r="H147" t="s">
        <v>541</v>
      </c>
      <c r="I147" t="s">
        <v>536</v>
      </c>
      <c r="J147" t="s">
        <v>877</v>
      </c>
      <c r="K147" s="30">
        <v>43059</v>
      </c>
      <c r="L147" s="8">
        <v>43060.618460648147</v>
      </c>
      <c r="M147" s="21">
        <f>LEN(ProjTextTable[[#This Row],[text]])</f>
        <v>2924</v>
      </c>
      <c r="N147" s="21">
        <f>LEN(TRIM(CLEAN(SUBSTITUTE(ProjTextTable[[#This Row],[text]],CHAR(10)," "))))+1 - LEN(SUBSTITUTE(CLEAN(SUBSTITUTE(ProjTextTable[[#This Row],[text]],CHAR(10)," "))," ",""))</f>
        <v>439</v>
      </c>
      <c r="O147" t="s">
        <v>542</v>
      </c>
      <c r="P147" t="s">
        <v>878</v>
      </c>
    </row>
    <row r="148" spans="1:16" x14ac:dyDescent="0.4">
      <c r="A148">
        <f t="shared" si="2"/>
        <v>22</v>
      </c>
      <c r="B148" t="s">
        <v>875</v>
      </c>
      <c r="C148" t="s">
        <v>876</v>
      </c>
      <c r="D148" t="s">
        <v>2</v>
      </c>
      <c r="E148" t="s">
        <v>654</v>
      </c>
      <c r="F148" t="s">
        <v>13</v>
      </c>
      <c r="G148" t="s">
        <v>609</v>
      </c>
      <c r="H148" t="s">
        <v>13</v>
      </c>
      <c r="I148" t="s">
        <v>13</v>
      </c>
      <c r="K148" s="30"/>
      <c r="L148" s="8">
        <v>43082.663078703707</v>
      </c>
      <c r="M148" s="21">
        <f>LEN(ProjTextTable[[#This Row],[text]])</f>
        <v>1890</v>
      </c>
      <c r="N148" s="21">
        <f>LEN(TRIM(CLEAN(SUBSTITUTE(ProjTextTable[[#This Row],[text]],CHAR(10)," "))))+1 - LEN(SUBSTITUTE(CLEAN(SUBSTITUTE(ProjTextTable[[#This Row],[text]],CHAR(10)," "))," ",""))</f>
        <v>279</v>
      </c>
      <c r="O148" t="s">
        <v>13</v>
      </c>
      <c r="P148" t="s">
        <v>879</v>
      </c>
    </row>
    <row r="149" spans="1:16" x14ac:dyDescent="0.4">
      <c r="A149">
        <f t="shared" si="2"/>
        <v>22</v>
      </c>
      <c r="B149" t="s">
        <v>875</v>
      </c>
      <c r="C149" t="s">
        <v>876</v>
      </c>
      <c r="D149" t="s">
        <v>192</v>
      </c>
      <c r="E149" t="s">
        <v>611</v>
      </c>
      <c r="F149" t="s">
        <v>717</v>
      </c>
      <c r="G149" t="s">
        <v>718</v>
      </c>
      <c r="H149" t="s">
        <v>719</v>
      </c>
      <c r="I149" t="s">
        <v>201</v>
      </c>
      <c r="J149" t="s">
        <v>175</v>
      </c>
      <c r="K149" s="30">
        <v>43060</v>
      </c>
      <c r="L149" s="8">
        <v>43058.980439814812</v>
      </c>
      <c r="M149" s="21">
        <f>LEN(ProjTextTable[[#This Row],[text]])</f>
        <v>2623</v>
      </c>
      <c r="N149" s="21">
        <f>LEN(TRIM(CLEAN(SUBSTITUTE(ProjTextTable[[#This Row],[text]],CHAR(10)," "))))+1 - LEN(SUBSTITUTE(CLEAN(SUBSTITUTE(ProjTextTable[[#This Row],[text]],CHAR(10)," "))," ",""))</f>
        <v>395</v>
      </c>
      <c r="O149" t="s">
        <v>193</v>
      </c>
      <c r="P149" t="s">
        <v>880</v>
      </c>
    </row>
    <row r="150" spans="1:16" x14ac:dyDescent="0.4">
      <c r="A150">
        <f t="shared" si="2"/>
        <v>22</v>
      </c>
      <c r="B150" t="s">
        <v>875</v>
      </c>
      <c r="C150" t="s">
        <v>876</v>
      </c>
      <c r="D150" t="s">
        <v>192</v>
      </c>
      <c r="E150" t="s">
        <v>611</v>
      </c>
      <c r="F150" t="s">
        <v>721</v>
      </c>
      <c r="G150" t="s">
        <v>722</v>
      </c>
      <c r="H150" t="s">
        <v>723</v>
      </c>
      <c r="I150" t="s">
        <v>201</v>
      </c>
      <c r="J150" t="s">
        <v>175</v>
      </c>
      <c r="K150" s="30">
        <v>43060</v>
      </c>
      <c r="L150" s="8">
        <v>43057.612581018519</v>
      </c>
      <c r="M150" s="21">
        <f>LEN(ProjTextTable[[#This Row],[text]])</f>
        <v>1910</v>
      </c>
      <c r="N150" s="21">
        <f>LEN(TRIM(CLEAN(SUBSTITUTE(ProjTextTable[[#This Row],[text]],CHAR(10)," "))))+1 - LEN(SUBSTITUTE(CLEAN(SUBSTITUTE(ProjTextTable[[#This Row],[text]],CHAR(10)," "))," ",""))</f>
        <v>291</v>
      </c>
      <c r="O150" t="s">
        <v>199</v>
      </c>
      <c r="P150" t="s">
        <v>881</v>
      </c>
    </row>
    <row r="151" spans="1:16" x14ac:dyDescent="0.4">
      <c r="A151">
        <f t="shared" si="2"/>
        <v>22</v>
      </c>
      <c r="B151" t="s">
        <v>875</v>
      </c>
      <c r="C151" t="s">
        <v>876</v>
      </c>
      <c r="D151" t="s">
        <v>192</v>
      </c>
      <c r="E151" t="s">
        <v>611</v>
      </c>
      <c r="F151" t="s">
        <v>725</v>
      </c>
      <c r="G151" t="s">
        <v>726</v>
      </c>
      <c r="H151" t="s">
        <v>727</v>
      </c>
      <c r="I151" t="s">
        <v>201</v>
      </c>
      <c r="J151" t="s">
        <v>175</v>
      </c>
      <c r="K151" s="30">
        <v>43060</v>
      </c>
      <c r="L151" s="8">
        <v>43059.951006944444</v>
      </c>
      <c r="M151" s="21">
        <f>LEN(ProjTextTable[[#This Row],[text]])</f>
        <v>1875</v>
      </c>
      <c r="N151" s="21">
        <f>LEN(TRIM(CLEAN(SUBSTITUTE(ProjTextTable[[#This Row],[text]],CHAR(10)," "))))+1 - LEN(SUBSTITUTE(CLEAN(SUBSTITUTE(ProjTextTable[[#This Row],[text]],CHAR(10)," "))," ",""))</f>
        <v>283</v>
      </c>
      <c r="O151" t="s">
        <v>196</v>
      </c>
      <c r="P151" t="s">
        <v>882</v>
      </c>
    </row>
    <row r="152" spans="1:16" x14ac:dyDescent="0.4">
      <c r="A152">
        <f t="shared" si="2"/>
        <v>22</v>
      </c>
      <c r="B152" t="s">
        <v>875</v>
      </c>
      <c r="C152" t="s">
        <v>876</v>
      </c>
      <c r="D152" t="s">
        <v>192</v>
      </c>
      <c r="E152" t="s">
        <v>611</v>
      </c>
      <c r="F152" t="s">
        <v>776</v>
      </c>
      <c r="G152" t="s">
        <v>777</v>
      </c>
      <c r="H152" t="s">
        <v>778</v>
      </c>
      <c r="I152" t="s">
        <v>201</v>
      </c>
      <c r="J152" t="s">
        <v>175</v>
      </c>
      <c r="K152" s="30">
        <v>43060</v>
      </c>
      <c r="L152" s="8">
        <v>43058.974745370368</v>
      </c>
      <c r="M152" s="21">
        <f>LEN(ProjTextTable[[#This Row],[text]])</f>
        <v>2219</v>
      </c>
      <c r="N152" s="21">
        <f>LEN(TRIM(CLEAN(SUBSTITUTE(ProjTextTable[[#This Row],[text]],CHAR(10)," "))))+1 - LEN(SUBSTITUTE(CLEAN(SUBSTITUTE(ProjTextTable[[#This Row],[text]],CHAR(10)," "))," ",""))</f>
        <v>334</v>
      </c>
      <c r="O152" t="s">
        <v>199</v>
      </c>
      <c r="P152" t="s">
        <v>883</v>
      </c>
    </row>
    <row r="153" spans="1:16" x14ac:dyDescent="0.4">
      <c r="A153">
        <f t="shared" si="2"/>
        <v>22</v>
      </c>
      <c r="B153" t="s">
        <v>875</v>
      </c>
      <c r="C153" t="s">
        <v>876</v>
      </c>
      <c r="D153" t="s">
        <v>194</v>
      </c>
      <c r="E153" t="s">
        <v>654</v>
      </c>
      <c r="F153" t="s">
        <v>13</v>
      </c>
      <c r="G153" t="s">
        <v>13</v>
      </c>
      <c r="H153" t="s">
        <v>13</v>
      </c>
      <c r="K153" s="30"/>
      <c r="L153" s="8">
        <v>42936.043124999997</v>
      </c>
      <c r="M153" s="21">
        <f>LEN(ProjTextTable[[#This Row],[text]])</f>
        <v>2664</v>
      </c>
      <c r="N153" s="21">
        <f>LEN(TRIM(CLEAN(SUBSTITUTE(ProjTextTable[[#This Row],[text]],CHAR(10)," "))))+1 - LEN(SUBSTITUTE(CLEAN(SUBSTITUTE(ProjTextTable[[#This Row],[text]],CHAR(10)," "))," ",""))</f>
        <v>408</v>
      </c>
      <c r="O153" t="s">
        <v>13</v>
      </c>
      <c r="P153" t="s">
        <v>884</v>
      </c>
    </row>
    <row r="154" spans="1:16" x14ac:dyDescent="0.4">
      <c r="A154">
        <f t="shared" si="2"/>
        <v>23</v>
      </c>
      <c r="B154" t="s">
        <v>885</v>
      </c>
      <c r="C154" t="s">
        <v>886</v>
      </c>
      <c r="D154" t="s">
        <v>533</v>
      </c>
      <c r="E154" t="s">
        <v>611</v>
      </c>
      <c r="F154" t="s">
        <v>714</v>
      </c>
      <c r="G154" t="s">
        <v>715</v>
      </c>
      <c r="H154" t="s">
        <v>539</v>
      </c>
      <c r="I154" t="s">
        <v>535</v>
      </c>
      <c r="J154" t="s">
        <v>545</v>
      </c>
      <c r="K154" s="30">
        <v>43059</v>
      </c>
      <c r="L154" s="8">
        <v>43060.67087962963</v>
      </c>
      <c r="M154" s="21">
        <f>LEN(ProjTextTable[[#This Row],[text]])</f>
        <v>2705</v>
      </c>
      <c r="N154" s="21">
        <f>LEN(TRIM(CLEAN(SUBSTITUTE(ProjTextTable[[#This Row],[text]],CHAR(10)," "))))+1 - LEN(SUBSTITUTE(CLEAN(SUBSTITUTE(ProjTextTable[[#This Row],[text]],CHAR(10)," "))," ",""))</f>
        <v>417</v>
      </c>
      <c r="O154" t="s">
        <v>540</v>
      </c>
      <c r="P154" t="s">
        <v>887</v>
      </c>
    </row>
    <row r="155" spans="1:16" x14ac:dyDescent="0.4">
      <c r="A155">
        <f t="shared" si="2"/>
        <v>23</v>
      </c>
      <c r="B155" t="s">
        <v>885</v>
      </c>
      <c r="C155" t="s">
        <v>886</v>
      </c>
      <c r="D155" t="s">
        <v>192</v>
      </c>
      <c r="E155" t="s">
        <v>611</v>
      </c>
      <c r="F155" t="s">
        <v>799</v>
      </c>
      <c r="G155" t="s">
        <v>800</v>
      </c>
      <c r="H155" t="s">
        <v>801</v>
      </c>
      <c r="I155" t="s">
        <v>201</v>
      </c>
      <c r="J155" t="s">
        <v>175</v>
      </c>
      <c r="K155" s="30">
        <v>43060</v>
      </c>
      <c r="L155" s="8">
        <v>43056.601504629631</v>
      </c>
      <c r="M155" s="21">
        <f>LEN(ProjTextTable[[#This Row],[text]])</f>
        <v>3349</v>
      </c>
      <c r="N155" s="21">
        <f>LEN(TRIM(CLEAN(SUBSTITUTE(ProjTextTable[[#This Row],[text]],CHAR(10)," "))))+1 - LEN(SUBSTITUTE(CLEAN(SUBSTITUTE(ProjTextTable[[#This Row],[text]],CHAR(10)," "))," ",""))</f>
        <v>522</v>
      </c>
      <c r="O155" t="s">
        <v>196</v>
      </c>
      <c r="P155" t="s">
        <v>888</v>
      </c>
    </row>
    <row r="156" spans="1:16" x14ac:dyDescent="0.4">
      <c r="A156">
        <f t="shared" si="2"/>
        <v>23</v>
      </c>
      <c r="B156" t="s">
        <v>885</v>
      </c>
      <c r="C156" t="s">
        <v>886</v>
      </c>
      <c r="D156" t="s">
        <v>192</v>
      </c>
      <c r="E156" t="s">
        <v>611</v>
      </c>
      <c r="F156" t="s">
        <v>749</v>
      </c>
      <c r="G156" t="s">
        <v>750</v>
      </c>
      <c r="H156" t="s">
        <v>751</v>
      </c>
      <c r="I156" t="s">
        <v>201</v>
      </c>
      <c r="J156" t="s">
        <v>175</v>
      </c>
      <c r="K156" s="30">
        <v>43060</v>
      </c>
      <c r="L156" s="8">
        <v>43059.263854166667</v>
      </c>
      <c r="M156" s="21">
        <f>LEN(ProjTextTable[[#This Row],[text]])</f>
        <v>1841</v>
      </c>
      <c r="N156" s="21">
        <f>LEN(TRIM(CLEAN(SUBSTITUTE(ProjTextTable[[#This Row],[text]],CHAR(10)," "))))+1 - LEN(SUBSTITUTE(CLEAN(SUBSTITUTE(ProjTextTable[[#This Row],[text]],CHAR(10)," "))," ",""))</f>
        <v>267</v>
      </c>
      <c r="O156" t="s">
        <v>196</v>
      </c>
      <c r="P156" t="s">
        <v>889</v>
      </c>
    </row>
    <row r="157" spans="1:16" x14ac:dyDescent="0.4">
      <c r="A157">
        <f t="shared" si="2"/>
        <v>23</v>
      </c>
      <c r="B157" t="s">
        <v>885</v>
      </c>
      <c r="C157" t="s">
        <v>886</v>
      </c>
      <c r="D157" t="s">
        <v>192</v>
      </c>
      <c r="E157" t="s">
        <v>611</v>
      </c>
      <c r="F157" t="s">
        <v>757</v>
      </c>
      <c r="G157" t="s">
        <v>758</v>
      </c>
      <c r="H157" t="s">
        <v>759</v>
      </c>
      <c r="I157" t="s">
        <v>201</v>
      </c>
      <c r="J157" t="s">
        <v>175</v>
      </c>
      <c r="K157" s="30">
        <v>43060</v>
      </c>
      <c r="L157" s="8">
        <v>43060.388043981482</v>
      </c>
      <c r="M157" s="21">
        <f>LEN(ProjTextTable[[#This Row],[text]])</f>
        <v>4900</v>
      </c>
      <c r="N157" s="21">
        <f>LEN(TRIM(CLEAN(SUBSTITUTE(ProjTextTable[[#This Row],[text]],CHAR(10)," "))))+1 - LEN(SUBSTITUTE(CLEAN(SUBSTITUTE(ProjTextTable[[#This Row],[text]],CHAR(10)," "))," ",""))</f>
        <v>756</v>
      </c>
      <c r="O157" t="s">
        <v>198</v>
      </c>
      <c r="P157" t="s">
        <v>890</v>
      </c>
    </row>
    <row r="158" spans="1:16" x14ac:dyDescent="0.4">
      <c r="A158">
        <f t="shared" si="2"/>
        <v>23</v>
      </c>
      <c r="B158" t="s">
        <v>885</v>
      </c>
      <c r="C158" t="s">
        <v>886</v>
      </c>
      <c r="D158" t="s">
        <v>192</v>
      </c>
      <c r="E158" t="s">
        <v>611</v>
      </c>
      <c r="F158" t="s">
        <v>891</v>
      </c>
      <c r="G158" t="s">
        <v>892</v>
      </c>
      <c r="H158" t="s">
        <v>893</v>
      </c>
      <c r="I158" t="s">
        <v>201</v>
      </c>
      <c r="J158" t="s">
        <v>175</v>
      </c>
      <c r="K158" s="30">
        <v>43060</v>
      </c>
      <c r="L158" s="8">
        <v>43060.566712962966</v>
      </c>
      <c r="M158" s="21">
        <f>LEN(ProjTextTable[[#This Row],[text]])</f>
        <v>4193</v>
      </c>
      <c r="N158" s="21">
        <f>LEN(TRIM(CLEAN(SUBSTITUTE(ProjTextTable[[#This Row],[text]],CHAR(10)," "))))+1 - LEN(SUBSTITUTE(CLEAN(SUBSTITUTE(ProjTextTable[[#This Row],[text]],CHAR(10)," "))," ",""))</f>
        <v>646</v>
      </c>
      <c r="O158" t="s">
        <v>229</v>
      </c>
      <c r="P158" t="s">
        <v>894</v>
      </c>
    </row>
    <row r="159" spans="1:16" x14ac:dyDescent="0.4">
      <c r="A159">
        <f t="shared" si="2"/>
        <v>23</v>
      </c>
      <c r="B159" t="s">
        <v>885</v>
      </c>
      <c r="C159" t="s">
        <v>886</v>
      </c>
      <c r="D159" t="s">
        <v>194</v>
      </c>
      <c r="E159" t="s">
        <v>611</v>
      </c>
      <c r="F159" t="s">
        <v>13</v>
      </c>
      <c r="G159" t="s">
        <v>13</v>
      </c>
      <c r="H159" t="s">
        <v>13</v>
      </c>
      <c r="K159" s="30"/>
      <c r="L159" s="8">
        <v>42936.043368055558</v>
      </c>
      <c r="M159" s="21">
        <f>LEN(ProjTextTable[[#This Row],[text]])</f>
        <v>4057</v>
      </c>
      <c r="N159" s="21">
        <f>LEN(TRIM(CLEAN(SUBSTITUTE(ProjTextTable[[#This Row],[text]],CHAR(10)," "))))+1 - LEN(SUBSTITUTE(CLEAN(SUBSTITUTE(ProjTextTable[[#This Row],[text]],CHAR(10)," "))," ",""))</f>
        <v>597</v>
      </c>
      <c r="O159" t="s">
        <v>13</v>
      </c>
      <c r="P159" t="s">
        <v>895</v>
      </c>
    </row>
    <row r="160" spans="1:16" x14ac:dyDescent="0.4">
      <c r="A160">
        <f t="shared" si="2"/>
        <v>24</v>
      </c>
      <c r="B160" t="s">
        <v>896</v>
      </c>
      <c r="C160" t="s">
        <v>897</v>
      </c>
      <c r="D160" t="s">
        <v>533</v>
      </c>
      <c r="E160" t="s">
        <v>611</v>
      </c>
      <c r="F160" t="s">
        <v>714</v>
      </c>
      <c r="G160" t="s">
        <v>715</v>
      </c>
      <c r="H160" t="s">
        <v>539</v>
      </c>
      <c r="I160" t="s">
        <v>535</v>
      </c>
      <c r="J160" t="s">
        <v>538</v>
      </c>
      <c r="K160" s="30">
        <v>43059</v>
      </c>
      <c r="L160" s="8">
        <v>43060.604675925926</v>
      </c>
      <c r="M160" s="21">
        <f>LEN(ProjTextTable[[#This Row],[text]])</f>
        <v>2023</v>
      </c>
      <c r="N160" s="21">
        <f>LEN(TRIM(CLEAN(SUBSTITUTE(ProjTextTable[[#This Row],[text]],CHAR(10)," "))))+1 - LEN(SUBSTITUTE(CLEAN(SUBSTITUTE(ProjTextTable[[#This Row],[text]],CHAR(10)," "))," ",""))</f>
        <v>298</v>
      </c>
      <c r="O160" t="s">
        <v>540</v>
      </c>
      <c r="P160" t="s">
        <v>898</v>
      </c>
    </row>
    <row r="161" spans="1:16" x14ac:dyDescent="0.4">
      <c r="A161">
        <f t="shared" si="2"/>
        <v>24</v>
      </c>
      <c r="B161" t="s">
        <v>896</v>
      </c>
      <c r="C161" t="s">
        <v>897</v>
      </c>
      <c r="D161" t="s">
        <v>533</v>
      </c>
      <c r="E161" t="s">
        <v>611</v>
      </c>
      <c r="F161" t="s">
        <v>899</v>
      </c>
      <c r="G161" t="s">
        <v>900</v>
      </c>
      <c r="H161" t="s">
        <v>541</v>
      </c>
      <c r="I161" t="s">
        <v>536</v>
      </c>
      <c r="J161" t="s">
        <v>355</v>
      </c>
      <c r="K161" s="30">
        <v>43045</v>
      </c>
      <c r="L161" s="8">
        <v>43065.482268518521</v>
      </c>
      <c r="M161" s="21">
        <f>LEN(ProjTextTable[[#This Row],[text]])</f>
        <v>2544</v>
      </c>
      <c r="N161" s="21">
        <f>LEN(TRIM(CLEAN(SUBSTITUTE(ProjTextTable[[#This Row],[text]],CHAR(10)," "))))+1 - LEN(SUBSTITUTE(CLEAN(SUBSTITUTE(ProjTextTable[[#This Row],[text]],CHAR(10)," "))," ",""))</f>
        <v>374</v>
      </c>
      <c r="O161" t="s">
        <v>542</v>
      </c>
      <c r="P161" t="s">
        <v>901</v>
      </c>
    </row>
    <row r="162" spans="1:16" x14ac:dyDescent="0.4">
      <c r="A162">
        <f t="shared" si="2"/>
        <v>24</v>
      </c>
      <c r="B162" t="s">
        <v>896</v>
      </c>
      <c r="C162" t="s">
        <v>897</v>
      </c>
      <c r="D162" t="s">
        <v>192</v>
      </c>
      <c r="E162" t="s">
        <v>611</v>
      </c>
      <c r="F162" t="s">
        <v>902</v>
      </c>
      <c r="G162" t="s">
        <v>903</v>
      </c>
      <c r="H162" t="s">
        <v>904</v>
      </c>
      <c r="I162" t="s">
        <v>201</v>
      </c>
      <c r="J162" t="s">
        <v>175</v>
      </c>
      <c r="K162" s="30">
        <v>43046</v>
      </c>
      <c r="L162" s="8">
        <v>43039.371203703704</v>
      </c>
      <c r="M162" s="21">
        <f>LEN(ProjTextTable[[#This Row],[text]])</f>
        <v>2609</v>
      </c>
      <c r="N162" s="21">
        <f>LEN(TRIM(CLEAN(SUBSTITUTE(ProjTextTable[[#This Row],[text]],CHAR(10)," "))))+1 - LEN(SUBSTITUTE(CLEAN(SUBSTITUTE(ProjTextTable[[#This Row],[text]],CHAR(10)," "))," ",""))</f>
        <v>396</v>
      </c>
      <c r="O162" t="s">
        <v>193</v>
      </c>
      <c r="P162" t="s">
        <v>905</v>
      </c>
    </row>
    <row r="163" spans="1:16" x14ac:dyDescent="0.4">
      <c r="A163">
        <f t="shared" si="2"/>
        <v>24</v>
      </c>
      <c r="B163" t="s">
        <v>896</v>
      </c>
      <c r="C163" t="s">
        <v>897</v>
      </c>
      <c r="D163" t="s">
        <v>192</v>
      </c>
      <c r="E163" t="s">
        <v>611</v>
      </c>
      <c r="F163" t="s">
        <v>906</v>
      </c>
      <c r="G163" t="s">
        <v>907</v>
      </c>
      <c r="H163" t="s">
        <v>908</v>
      </c>
      <c r="I163" t="s">
        <v>201</v>
      </c>
      <c r="J163" t="s">
        <v>175</v>
      </c>
      <c r="K163" s="30">
        <v>43046</v>
      </c>
      <c r="L163" s="8">
        <v>43045.334178240744</v>
      </c>
      <c r="M163" s="21">
        <f>LEN(ProjTextTable[[#This Row],[text]])</f>
        <v>3283</v>
      </c>
      <c r="N163" s="21">
        <f>LEN(TRIM(CLEAN(SUBSTITUTE(ProjTextTable[[#This Row],[text]],CHAR(10)," "))))+1 - LEN(SUBSTITUTE(CLEAN(SUBSTITUTE(ProjTextTable[[#This Row],[text]],CHAR(10)," "))," ",""))</f>
        <v>503</v>
      </c>
      <c r="O163" t="s">
        <v>198</v>
      </c>
      <c r="P163" t="s">
        <v>909</v>
      </c>
    </row>
    <row r="164" spans="1:16" x14ac:dyDescent="0.4">
      <c r="A164">
        <f t="shared" si="2"/>
        <v>24</v>
      </c>
      <c r="B164" t="s">
        <v>896</v>
      </c>
      <c r="C164" t="s">
        <v>897</v>
      </c>
      <c r="D164" t="s">
        <v>192</v>
      </c>
      <c r="E164" t="s">
        <v>611</v>
      </c>
      <c r="F164" t="s">
        <v>910</v>
      </c>
      <c r="G164" t="s">
        <v>911</v>
      </c>
      <c r="H164" t="s">
        <v>912</v>
      </c>
      <c r="I164" t="s">
        <v>201</v>
      </c>
      <c r="J164" t="s">
        <v>175</v>
      </c>
      <c r="K164" s="30">
        <v>43046</v>
      </c>
      <c r="L164" s="8">
        <v>43045.366435185184</v>
      </c>
      <c r="M164" s="21">
        <f>LEN(ProjTextTable[[#This Row],[text]])</f>
        <v>1887</v>
      </c>
      <c r="N164" s="21">
        <f>LEN(TRIM(CLEAN(SUBSTITUTE(ProjTextTable[[#This Row],[text]],CHAR(10)," "))))+1 - LEN(SUBSTITUTE(CLEAN(SUBSTITUTE(ProjTextTable[[#This Row],[text]],CHAR(10)," "))," ",""))</f>
        <v>287</v>
      </c>
      <c r="O164" t="s">
        <v>193</v>
      </c>
      <c r="P164" t="s">
        <v>913</v>
      </c>
    </row>
    <row r="165" spans="1:16" x14ac:dyDescent="0.4">
      <c r="A165">
        <f t="shared" si="2"/>
        <v>24</v>
      </c>
      <c r="B165" t="s">
        <v>896</v>
      </c>
      <c r="C165" t="s">
        <v>897</v>
      </c>
      <c r="D165" t="s">
        <v>192</v>
      </c>
      <c r="E165" t="s">
        <v>611</v>
      </c>
      <c r="F165" t="s">
        <v>914</v>
      </c>
      <c r="G165" t="s">
        <v>915</v>
      </c>
      <c r="H165" t="s">
        <v>916</v>
      </c>
      <c r="I165" t="s">
        <v>201</v>
      </c>
      <c r="J165" t="s">
        <v>175</v>
      </c>
      <c r="K165" s="30">
        <v>43046</v>
      </c>
      <c r="L165" s="8">
        <v>43045.65662037037</v>
      </c>
      <c r="M165" s="21">
        <f>LEN(ProjTextTable[[#This Row],[text]])</f>
        <v>2392</v>
      </c>
      <c r="N165" s="21">
        <f>LEN(TRIM(CLEAN(SUBSTITUTE(ProjTextTable[[#This Row],[text]],CHAR(10)," "))))+1 - LEN(SUBSTITUTE(CLEAN(SUBSTITUTE(ProjTextTable[[#This Row],[text]],CHAR(10)," "))," ",""))</f>
        <v>342</v>
      </c>
      <c r="O165" t="s">
        <v>193</v>
      </c>
      <c r="P165" t="s">
        <v>917</v>
      </c>
    </row>
    <row r="166" spans="1:16" x14ac:dyDescent="0.4">
      <c r="A166">
        <f t="shared" si="2"/>
        <v>24</v>
      </c>
      <c r="B166" t="s">
        <v>896</v>
      </c>
      <c r="C166" t="s">
        <v>897</v>
      </c>
      <c r="D166" t="s">
        <v>192</v>
      </c>
      <c r="E166" t="s">
        <v>611</v>
      </c>
      <c r="F166" t="s">
        <v>717</v>
      </c>
      <c r="G166" t="s">
        <v>718</v>
      </c>
      <c r="H166" t="s">
        <v>719</v>
      </c>
      <c r="I166" t="s">
        <v>201</v>
      </c>
      <c r="J166" t="s">
        <v>175</v>
      </c>
      <c r="K166" s="30">
        <v>43060</v>
      </c>
      <c r="L166" s="8">
        <v>43058.898796296293</v>
      </c>
      <c r="M166" s="21">
        <f>LEN(ProjTextTable[[#This Row],[text]])</f>
        <v>3537</v>
      </c>
      <c r="N166" s="21">
        <f>LEN(TRIM(CLEAN(SUBSTITUTE(ProjTextTable[[#This Row],[text]],CHAR(10)," "))))+1 - LEN(SUBSTITUTE(CLEAN(SUBSTITUTE(ProjTextTable[[#This Row],[text]],CHAR(10)," "))," ",""))</f>
        <v>508</v>
      </c>
      <c r="O166" t="s">
        <v>196</v>
      </c>
      <c r="P166" t="s">
        <v>918</v>
      </c>
    </row>
    <row r="167" spans="1:16" x14ac:dyDescent="0.4">
      <c r="A167">
        <f t="shared" si="2"/>
        <v>24</v>
      </c>
      <c r="B167" t="s">
        <v>896</v>
      </c>
      <c r="C167" t="s">
        <v>897</v>
      </c>
      <c r="D167" t="s">
        <v>192</v>
      </c>
      <c r="E167" t="s">
        <v>611</v>
      </c>
      <c r="F167" t="s">
        <v>725</v>
      </c>
      <c r="G167" t="s">
        <v>726</v>
      </c>
      <c r="H167" t="s">
        <v>727</v>
      </c>
      <c r="I167" t="s">
        <v>201</v>
      </c>
      <c r="J167" t="s">
        <v>175</v>
      </c>
      <c r="K167" s="30">
        <v>43060</v>
      </c>
      <c r="L167" s="8">
        <v>43059.575960648152</v>
      </c>
      <c r="M167" s="21">
        <f>LEN(ProjTextTable[[#This Row],[text]])</f>
        <v>1643</v>
      </c>
      <c r="N167" s="21">
        <f>LEN(TRIM(CLEAN(SUBSTITUTE(ProjTextTable[[#This Row],[text]],CHAR(10)," "))))+1 - LEN(SUBSTITUTE(CLEAN(SUBSTITUTE(ProjTextTable[[#This Row],[text]],CHAR(10)," "))," ",""))</f>
        <v>246</v>
      </c>
      <c r="O167" t="s">
        <v>229</v>
      </c>
      <c r="P167" t="s">
        <v>919</v>
      </c>
    </row>
    <row r="168" spans="1:16" x14ac:dyDescent="0.4">
      <c r="A168">
        <f t="shared" si="2"/>
        <v>24</v>
      </c>
      <c r="B168" t="s">
        <v>896</v>
      </c>
      <c r="C168" t="s">
        <v>897</v>
      </c>
      <c r="D168" t="s">
        <v>192</v>
      </c>
      <c r="E168" t="s">
        <v>611</v>
      </c>
      <c r="F168" t="s">
        <v>776</v>
      </c>
      <c r="G168" t="s">
        <v>777</v>
      </c>
      <c r="H168" t="s">
        <v>778</v>
      </c>
      <c r="I168" t="s">
        <v>201</v>
      </c>
      <c r="J168" t="s">
        <v>175</v>
      </c>
      <c r="K168" s="30">
        <v>43060</v>
      </c>
      <c r="L168" s="8">
        <v>43059.047349537039</v>
      </c>
      <c r="M168" s="21">
        <f>LEN(ProjTextTable[[#This Row],[text]])</f>
        <v>3020</v>
      </c>
      <c r="N168" s="21">
        <f>LEN(TRIM(CLEAN(SUBSTITUTE(ProjTextTable[[#This Row],[text]],CHAR(10)," "))))+1 - LEN(SUBSTITUTE(CLEAN(SUBSTITUTE(ProjTextTable[[#This Row],[text]],CHAR(10)," "))," ",""))</f>
        <v>470</v>
      </c>
      <c r="O168" t="s">
        <v>196</v>
      </c>
      <c r="P168" t="s">
        <v>920</v>
      </c>
    </row>
    <row r="169" spans="1:16" x14ac:dyDescent="0.4">
      <c r="A169">
        <f t="shared" si="2"/>
        <v>24</v>
      </c>
      <c r="B169" t="s">
        <v>896</v>
      </c>
      <c r="C169" t="s">
        <v>897</v>
      </c>
      <c r="D169" t="s">
        <v>192</v>
      </c>
      <c r="E169" t="s">
        <v>611</v>
      </c>
      <c r="F169" t="s">
        <v>921</v>
      </c>
      <c r="G169" t="s">
        <v>922</v>
      </c>
      <c r="H169" t="s">
        <v>923</v>
      </c>
      <c r="I169" t="s">
        <v>201</v>
      </c>
      <c r="J169" t="s">
        <v>175</v>
      </c>
      <c r="K169" s="30">
        <v>43046</v>
      </c>
      <c r="L169" s="8">
        <v>43046.353425925925</v>
      </c>
      <c r="M169" s="21">
        <f>LEN(ProjTextTable[[#This Row],[text]])</f>
        <v>2701</v>
      </c>
      <c r="N169" s="21">
        <f>LEN(TRIM(CLEAN(SUBSTITUTE(ProjTextTable[[#This Row],[text]],CHAR(10)," "))))+1 - LEN(SUBSTITUTE(CLEAN(SUBSTITUTE(ProjTextTable[[#This Row],[text]],CHAR(10)," "))," ",""))</f>
        <v>410</v>
      </c>
      <c r="O169" t="s">
        <v>193</v>
      </c>
      <c r="P169" t="s">
        <v>924</v>
      </c>
    </row>
    <row r="170" spans="1:16" x14ac:dyDescent="0.4">
      <c r="A170">
        <f t="shared" si="2"/>
        <v>24</v>
      </c>
      <c r="B170" t="s">
        <v>896</v>
      </c>
      <c r="C170" t="s">
        <v>897</v>
      </c>
      <c r="D170" t="s">
        <v>192</v>
      </c>
      <c r="E170" t="s">
        <v>611</v>
      </c>
      <c r="F170" t="s">
        <v>729</v>
      </c>
      <c r="G170" t="s">
        <v>730</v>
      </c>
      <c r="H170" t="s">
        <v>731</v>
      </c>
      <c r="I170" t="s">
        <v>201</v>
      </c>
      <c r="J170" t="s">
        <v>175</v>
      </c>
      <c r="K170" s="30">
        <v>43060</v>
      </c>
      <c r="L170" s="8">
        <v>43056.620196759257</v>
      </c>
      <c r="M170" s="21">
        <f>LEN(ProjTextTable[[#This Row],[text]])</f>
        <v>1195</v>
      </c>
      <c r="N170" s="21">
        <f>LEN(TRIM(CLEAN(SUBSTITUTE(ProjTextTable[[#This Row],[text]],CHAR(10)," "))))+1 - LEN(SUBSTITUTE(CLEAN(SUBSTITUTE(ProjTextTable[[#This Row],[text]],CHAR(10)," "))," ",""))</f>
        <v>174</v>
      </c>
      <c r="O170" t="s">
        <v>196</v>
      </c>
      <c r="P170" t="s">
        <v>925</v>
      </c>
    </row>
    <row r="171" spans="1:16" x14ac:dyDescent="0.4">
      <c r="A171">
        <f t="shared" si="2"/>
        <v>24</v>
      </c>
      <c r="B171" t="s">
        <v>896</v>
      </c>
      <c r="C171" t="s">
        <v>897</v>
      </c>
      <c r="D171" t="s">
        <v>194</v>
      </c>
      <c r="E171" t="s">
        <v>611</v>
      </c>
      <c r="F171" t="s">
        <v>13</v>
      </c>
      <c r="G171" t="s">
        <v>13</v>
      </c>
      <c r="H171" t="s">
        <v>13</v>
      </c>
      <c r="K171" s="30"/>
      <c r="L171" s="8">
        <v>42936.043391203704</v>
      </c>
      <c r="M171" s="21">
        <f>LEN(ProjTextTable[[#This Row],[text]])</f>
        <v>3483</v>
      </c>
      <c r="N171" s="21">
        <f>LEN(TRIM(CLEAN(SUBSTITUTE(ProjTextTable[[#This Row],[text]],CHAR(10)," "))))+1 - LEN(SUBSTITUTE(CLEAN(SUBSTITUTE(ProjTextTable[[#This Row],[text]],CHAR(10)," "))," ",""))</f>
        <v>486</v>
      </c>
      <c r="O171" t="s">
        <v>13</v>
      </c>
      <c r="P171" t="s">
        <v>926</v>
      </c>
    </row>
    <row r="172" spans="1:16" x14ac:dyDescent="0.4">
      <c r="A172">
        <f t="shared" si="2"/>
        <v>25</v>
      </c>
      <c r="B172" t="s">
        <v>927</v>
      </c>
      <c r="C172" t="s">
        <v>928</v>
      </c>
      <c r="D172" t="s">
        <v>533</v>
      </c>
      <c r="E172" t="s">
        <v>654</v>
      </c>
      <c r="F172" t="s">
        <v>605</v>
      </c>
      <c r="G172" t="s">
        <v>606</v>
      </c>
      <c r="H172" t="s">
        <v>541</v>
      </c>
      <c r="I172" t="s">
        <v>536</v>
      </c>
      <c r="J172" t="s">
        <v>632</v>
      </c>
      <c r="K172" s="30">
        <v>43031</v>
      </c>
      <c r="L172" s="8">
        <v>43032.629641203705</v>
      </c>
      <c r="M172" s="21">
        <f>LEN(ProjTextTable[[#This Row],[text]])</f>
        <v>3384</v>
      </c>
      <c r="N172" s="21">
        <f>LEN(TRIM(CLEAN(SUBSTITUTE(ProjTextTable[[#This Row],[text]],CHAR(10)," "))))+1 - LEN(SUBSTITUTE(CLEAN(SUBSTITUTE(ProjTextTable[[#This Row],[text]],CHAR(10)," "))," ",""))</f>
        <v>497</v>
      </c>
      <c r="O172" t="s">
        <v>542</v>
      </c>
      <c r="P172" t="s">
        <v>929</v>
      </c>
    </row>
    <row r="173" spans="1:16" x14ac:dyDescent="0.4">
      <c r="A173">
        <f t="shared" si="2"/>
        <v>25</v>
      </c>
      <c r="B173" t="s">
        <v>927</v>
      </c>
      <c r="C173" t="s">
        <v>928</v>
      </c>
      <c r="D173" t="s">
        <v>2</v>
      </c>
      <c r="E173" t="s">
        <v>654</v>
      </c>
      <c r="F173" t="s">
        <v>13</v>
      </c>
      <c r="G173" t="s">
        <v>609</v>
      </c>
      <c r="H173" t="s">
        <v>13</v>
      </c>
      <c r="I173" t="s">
        <v>13</v>
      </c>
      <c r="K173" s="30"/>
      <c r="L173" s="8">
        <v>43082.668912037036</v>
      </c>
      <c r="M173" s="21">
        <f>LEN(ProjTextTable[[#This Row],[text]])</f>
        <v>1959</v>
      </c>
      <c r="N173" s="21">
        <f>LEN(TRIM(CLEAN(SUBSTITUTE(ProjTextTable[[#This Row],[text]],CHAR(10)," "))))+1 - LEN(SUBSTITUTE(CLEAN(SUBSTITUTE(ProjTextTable[[#This Row],[text]],CHAR(10)," "))," ",""))</f>
        <v>290</v>
      </c>
      <c r="O173" t="s">
        <v>13</v>
      </c>
      <c r="P173" t="s">
        <v>930</v>
      </c>
    </row>
    <row r="174" spans="1:16" x14ac:dyDescent="0.4">
      <c r="A174">
        <f t="shared" si="2"/>
        <v>25</v>
      </c>
      <c r="B174" t="s">
        <v>927</v>
      </c>
      <c r="C174" t="s">
        <v>928</v>
      </c>
      <c r="D174" t="s">
        <v>192</v>
      </c>
      <c r="E174" t="s">
        <v>611</v>
      </c>
      <c r="F174" t="s">
        <v>688</v>
      </c>
      <c r="G174" t="s">
        <v>689</v>
      </c>
      <c r="H174" t="s">
        <v>690</v>
      </c>
      <c r="I174" t="s">
        <v>201</v>
      </c>
      <c r="J174" t="s">
        <v>175</v>
      </c>
      <c r="K174" s="30">
        <v>43032</v>
      </c>
      <c r="L174" s="8">
        <v>43030.881342592591</v>
      </c>
      <c r="M174" s="21">
        <f>LEN(ProjTextTable[[#This Row],[text]])</f>
        <v>2806</v>
      </c>
      <c r="N174" s="21">
        <f>LEN(TRIM(CLEAN(SUBSTITUTE(ProjTextTable[[#This Row],[text]],CHAR(10)," "))))+1 - LEN(SUBSTITUTE(CLEAN(SUBSTITUTE(ProjTextTable[[#This Row],[text]],CHAR(10)," "))," ",""))</f>
        <v>425</v>
      </c>
      <c r="O174" t="s">
        <v>196</v>
      </c>
      <c r="P174" t="s">
        <v>931</v>
      </c>
    </row>
    <row r="175" spans="1:16" x14ac:dyDescent="0.4">
      <c r="A175">
        <f t="shared" si="2"/>
        <v>25</v>
      </c>
      <c r="B175" t="s">
        <v>927</v>
      </c>
      <c r="C175" t="s">
        <v>928</v>
      </c>
      <c r="D175" t="s">
        <v>192</v>
      </c>
      <c r="E175" t="s">
        <v>611</v>
      </c>
      <c r="F175" t="s">
        <v>612</v>
      </c>
      <c r="G175" t="s">
        <v>613</v>
      </c>
      <c r="H175" t="s">
        <v>614</v>
      </c>
      <c r="I175" t="s">
        <v>201</v>
      </c>
      <c r="J175" t="s">
        <v>175</v>
      </c>
      <c r="K175" s="30">
        <v>43032</v>
      </c>
      <c r="L175" s="8">
        <v>43031.585636574076</v>
      </c>
      <c r="M175" s="21">
        <f>LEN(ProjTextTable[[#This Row],[text]])</f>
        <v>3764</v>
      </c>
      <c r="N175" s="21">
        <f>LEN(TRIM(CLEAN(SUBSTITUTE(ProjTextTable[[#This Row],[text]],CHAR(10)," "))))+1 - LEN(SUBSTITUTE(CLEAN(SUBSTITUTE(ProjTextTable[[#This Row],[text]],CHAR(10)," "))," ",""))</f>
        <v>592</v>
      </c>
      <c r="O175" t="s">
        <v>198</v>
      </c>
      <c r="P175" t="s">
        <v>932</v>
      </c>
    </row>
    <row r="176" spans="1:16" x14ac:dyDescent="0.4">
      <c r="A176">
        <f t="shared" si="2"/>
        <v>25</v>
      </c>
      <c r="B176" t="s">
        <v>927</v>
      </c>
      <c r="C176" t="s">
        <v>928</v>
      </c>
      <c r="D176" t="s">
        <v>192</v>
      </c>
      <c r="E176" t="s">
        <v>611</v>
      </c>
      <c r="F176" t="s">
        <v>621</v>
      </c>
      <c r="G176" t="s">
        <v>622</v>
      </c>
      <c r="H176" t="s">
        <v>623</v>
      </c>
      <c r="I176" t="s">
        <v>201</v>
      </c>
      <c r="J176" t="s">
        <v>175</v>
      </c>
      <c r="K176" s="30">
        <v>43032</v>
      </c>
      <c r="L176" s="8">
        <v>43030.737314814818</v>
      </c>
      <c r="M176" s="21">
        <f>LEN(ProjTextTable[[#This Row],[text]])</f>
        <v>2838</v>
      </c>
      <c r="N176" s="21">
        <f>LEN(TRIM(CLEAN(SUBSTITUTE(ProjTextTable[[#This Row],[text]],CHAR(10)," "))))+1 - LEN(SUBSTITUTE(CLEAN(SUBSTITUTE(ProjTextTable[[#This Row],[text]],CHAR(10)," "))," ",""))</f>
        <v>429</v>
      </c>
      <c r="O176" t="s">
        <v>195</v>
      </c>
      <c r="P176" t="s">
        <v>933</v>
      </c>
    </row>
    <row r="177" spans="1:16" x14ac:dyDescent="0.4">
      <c r="A177">
        <f t="shared" si="2"/>
        <v>25</v>
      </c>
      <c r="B177" t="s">
        <v>927</v>
      </c>
      <c r="C177" t="s">
        <v>928</v>
      </c>
      <c r="D177" t="s">
        <v>192</v>
      </c>
      <c r="E177" t="s">
        <v>611</v>
      </c>
      <c r="F177" t="s">
        <v>664</v>
      </c>
      <c r="G177" t="s">
        <v>665</v>
      </c>
      <c r="H177" t="s">
        <v>666</v>
      </c>
      <c r="I177" t="s">
        <v>201</v>
      </c>
      <c r="J177" t="s">
        <v>175</v>
      </c>
      <c r="K177" s="30">
        <v>43032</v>
      </c>
      <c r="L177" s="8">
        <v>43032.487256944441</v>
      </c>
      <c r="M177" s="21">
        <f>LEN(ProjTextTable[[#This Row],[text]])</f>
        <v>1564</v>
      </c>
      <c r="N177" s="21">
        <f>LEN(TRIM(CLEAN(SUBSTITUTE(ProjTextTable[[#This Row],[text]],CHAR(10)," "))))+1 - LEN(SUBSTITUTE(CLEAN(SUBSTITUTE(ProjTextTable[[#This Row],[text]],CHAR(10)," "))," ",""))</f>
        <v>236</v>
      </c>
      <c r="O177" t="s">
        <v>193</v>
      </c>
      <c r="P177" t="s">
        <v>934</v>
      </c>
    </row>
    <row r="178" spans="1:16" x14ac:dyDescent="0.4">
      <c r="A178">
        <f t="shared" si="2"/>
        <v>25</v>
      </c>
      <c r="B178" t="s">
        <v>927</v>
      </c>
      <c r="C178" t="s">
        <v>928</v>
      </c>
      <c r="D178" t="s">
        <v>194</v>
      </c>
      <c r="E178" t="s">
        <v>654</v>
      </c>
      <c r="F178" t="s">
        <v>13</v>
      </c>
      <c r="G178" t="s">
        <v>13</v>
      </c>
      <c r="H178" t="s">
        <v>13</v>
      </c>
      <c r="K178" s="30"/>
      <c r="L178" s="8">
        <v>42936.043437499997</v>
      </c>
      <c r="M178" s="21">
        <f>LEN(ProjTextTable[[#This Row],[text]])</f>
        <v>3137</v>
      </c>
      <c r="N178" s="21">
        <f>LEN(TRIM(CLEAN(SUBSTITUTE(ProjTextTable[[#This Row],[text]],CHAR(10)," "))))+1 - LEN(SUBSTITUTE(CLEAN(SUBSTITUTE(ProjTextTable[[#This Row],[text]],CHAR(10)," "))," ",""))</f>
        <v>455</v>
      </c>
      <c r="O178" t="s">
        <v>13</v>
      </c>
      <c r="P178" t="s">
        <v>935</v>
      </c>
    </row>
    <row r="179" spans="1:16" x14ac:dyDescent="0.4">
      <c r="A179">
        <f t="shared" si="2"/>
        <v>26</v>
      </c>
      <c r="B179" t="s">
        <v>936</v>
      </c>
      <c r="C179" t="s">
        <v>937</v>
      </c>
      <c r="D179" t="s">
        <v>533</v>
      </c>
      <c r="E179" t="s">
        <v>611</v>
      </c>
      <c r="F179" t="s">
        <v>714</v>
      </c>
      <c r="G179" t="s">
        <v>715</v>
      </c>
      <c r="H179" t="s">
        <v>543</v>
      </c>
      <c r="I179" t="s">
        <v>537</v>
      </c>
      <c r="J179" t="s">
        <v>537</v>
      </c>
      <c r="K179" s="30">
        <v>43059</v>
      </c>
      <c r="L179" s="8">
        <v>43060.652418981481</v>
      </c>
      <c r="M179" s="21">
        <f>LEN(ProjTextTable[[#This Row],[text]])</f>
        <v>3120</v>
      </c>
      <c r="N179" s="21">
        <f>LEN(TRIM(CLEAN(SUBSTITUTE(ProjTextTable[[#This Row],[text]],CHAR(10)," "))))+1 - LEN(SUBSTITUTE(CLEAN(SUBSTITUTE(ProjTextTable[[#This Row],[text]],CHAR(10)," "))," ",""))</f>
        <v>431</v>
      </c>
      <c r="O179" t="s">
        <v>544</v>
      </c>
      <c r="P179" t="s">
        <v>938</v>
      </c>
    </row>
    <row r="180" spans="1:16" x14ac:dyDescent="0.4">
      <c r="A180">
        <f t="shared" si="2"/>
        <v>26</v>
      </c>
      <c r="B180" t="s">
        <v>936</v>
      </c>
      <c r="C180" t="s">
        <v>937</v>
      </c>
      <c r="D180" t="s">
        <v>192</v>
      </c>
      <c r="E180" t="s">
        <v>611</v>
      </c>
      <c r="F180" t="s">
        <v>745</v>
      </c>
      <c r="G180" t="s">
        <v>746</v>
      </c>
      <c r="H180" t="s">
        <v>747</v>
      </c>
      <c r="I180" t="s">
        <v>201</v>
      </c>
      <c r="J180" t="s">
        <v>175</v>
      </c>
      <c r="K180" s="30">
        <v>43060</v>
      </c>
      <c r="L180" s="8">
        <v>43057.820625</v>
      </c>
      <c r="M180" s="21">
        <f>LEN(ProjTextTable[[#This Row],[text]])</f>
        <v>1894</v>
      </c>
      <c r="N180" s="21">
        <f>LEN(TRIM(CLEAN(SUBSTITUTE(ProjTextTable[[#This Row],[text]],CHAR(10)," "))))+1 - LEN(SUBSTITUTE(CLEAN(SUBSTITUTE(ProjTextTable[[#This Row],[text]],CHAR(10)," "))," ",""))</f>
        <v>277</v>
      </c>
      <c r="O180" t="s">
        <v>229</v>
      </c>
      <c r="P180" t="s">
        <v>939</v>
      </c>
    </row>
    <row r="181" spans="1:16" x14ac:dyDescent="0.4">
      <c r="A181">
        <f t="shared" si="2"/>
        <v>26</v>
      </c>
      <c r="B181" t="s">
        <v>936</v>
      </c>
      <c r="C181" t="s">
        <v>937</v>
      </c>
      <c r="D181" t="s">
        <v>192</v>
      </c>
      <c r="E181" t="s">
        <v>611</v>
      </c>
      <c r="F181" t="s">
        <v>749</v>
      </c>
      <c r="G181" t="s">
        <v>750</v>
      </c>
      <c r="H181" t="s">
        <v>751</v>
      </c>
      <c r="I181" t="s">
        <v>201</v>
      </c>
      <c r="J181" t="s">
        <v>175</v>
      </c>
      <c r="K181" s="30">
        <v>43060</v>
      </c>
      <c r="L181" s="8">
        <v>43059.226273148146</v>
      </c>
      <c r="M181" s="21">
        <f>LEN(ProjTextTable[[#This Row],[text]])</f>
        <v>1618</v>
      </c>
      <c r="N181" s="21">
        <f>LEN(TRIM(CLEAN(SUBSTITUTE(ProjTextTable[[#This Row],[text]],CHAR(10)," "))))+1 - LEN(SUBSTITUTE(CLEAN(SUBSTITUTE(ProjTextTable[[#This Row],[text]],CHAR(10)," "))," ",""))</f>
        <v>230</v>
      </c>
      <c r="O181" t="s">
        <v>229</v>
      </c>
      <c r="P181" t="s">
        <v>940</v>
      </c>
    </row>
    <row r="182" spans="1:16" x14ac:dyDescent="0.4">
      <c r="A182">
        <f t="shared" si="2"/>
        <v>26</v>
      </c>
      <c r="B182" t="s">
        <v>936</v>
      </c>
      <c r="C182" t="s">
        <v>937</v>
      </c>
      <c r="D182" t="s">
        <v>192</v>
      </c>
      <c r="E182" t="s">
        <v>611</v>
      </c>
      <c r="F182" t="s">
        <v>753</v>
      </c>
      <c r="G182" t="s">
        <v>754</v>
      </c>
      <c r="H182" t="s">
        <v>755</v>
      </c>
      <c r="I182" t="s">
        <v>201</v>
      </c>
      <c r="J182" t="s">
        <v>175</v>
      </c>
      <c r="K182" s="30">
        <v>43060</v>
      </c>
      <c r="L182" s="8">
        <v>43056.434490740743</v>
      </c>
      <c r="M182" s="21">
        <f>LEN(ProjTextTable[[#This Row],[text]])</f>
        <v>3602</v>
      </c>
      <c r="N182" s="21">
        <f>LEN(TRIM(CLEAN(SUBSTITUTE(ProjTextTable[[#This Row],[text]],CHAR(10)," "))))+1 - LEN(SUBSTITUTE(CLEAN(SUBSTITUTE(ProjTextTable[[#This Row],[text]],CHAR(10)," "))," ",""))</f>
        <v>533</v>
      </c>
      <c r="O182" t="s">
        <v>195</v>
      </c>
      <c r="P182" t="s">
        <v>941</v>
      </c>
    </row>
    <row r="183" spans="1:16" x14ac:dyDescent="0.4">
      <c r="A183">
        <f t="shared" si="2"/>
        <v>26</v>
      </c>
      <c r="B183" t="s">
        <v>936</v>
      </c>
      <c r="C183" t="s">
        <v>937</v>
      </c>
      <c r="D183" t="s">
        <v>192</v>
      </c>
      <c r="E183" t="s">
        <v>611</v>
      </c>
      <c r="F183" t="s">
        <v>729</v>
      </c>
      <c r="G183" t="s">
        <v>730</v>
      </c>
      <c r="H183" t="s">
        <v>731</v>
      </c>
      <c r="I183" t="s">
        <v>201</v>
      </c>
      <c r="J183" t="s">
        <v>175</v>
      </c>
      <c r="K183" s="30">
        <v>43060</v>
      </c>
      <c r="L183" s="8">
        <v>43059.786053240743</v>
      </c>
      <c r="M183" s="21">
        <f>LEN(ProjTextTable[[#This Row],[text]])</f>
        <v>1418</v>
      </c>
      <c r="N183" s="21">
        <f>LEN(TRIM(CLEAN(SUBSTITUTE(ProjTextTable[[#This Row],[text]],CHAR(10)," "))))+1 - LEN(SUBSTITUTE(CLEAN(SUBSTITUTE(ProjTextTable[[#This Row],[text]],CHAR(10)," "))," ",""))</f>
        <v>216</v>
      </c>
      <c r="O183" t="s">
        <v>229</v>
      </c>
      <c r="P183" t="s">
        <v>942</v>
      </c>
    </row>
    <row r="184" spans="1:16" x14ac:dyDescent="0.4">
      <c r="A184">
        <f t="shared" si="2"/>
        <v>26</v>
      </c>
      <c r="B184" t="s">
        <v>936</v>
      </c>
      <c r="C184" t="s">
        <v>937</v>
      </c>
      <c r="D184" t="s">
        <v>194</v>
      </c>
      <c r="E184" t="s">
        <v>611</v>
      </c>
      <c r="F184" t="s">
        <v>13</v>
      </c>
      <c r="G184" t="s">
        <v>13</v>
      </c>
      <c r="H184" t="s">
        <v>13</v>
      </c>
      <c r="K184" s="30"/>
      <c r="L184" s="8">
        <v>42936.043680555558</v>
      </c>
      <c r="M184" s="21">
        <f>LEN(ProjTextTable[[#This Row],[text]])</f>
        <v>3396</v>
      </c>
      <c r="N184" s="21">
        <f>LEN(TRIM(CLEAN(SUBSTITUTE(ProjTextTable[[#This Row],[text]],CHAR(10)," "))))+1 - LEN(SUBSTITUTE(CLEAN(SUBSTITUTE(ProjTextTable[[#This Row],[text]],CHAR(10)," "))," ",""))</f>
        <v>495</v>
      </c>
      <c r="O184" t="s">
        <v>13</v>
      </c>
      <c r="P184" t="s">
        <v>943</v>
      </c>
    </row>
    <row r="185" spans="1:16" x14ac:dyDescent="0.4">
      <c r="A185">
        <f t="shared" si="2"/>
        <v>27</v>
      </c>
      <c r="B185" t="s">
        <v>944</v>
      </c>
      <c r="C185" t="s">
        <v>945</v>
      </c>
      <c r="D185" t="s">
        <v>533</v>
      </c>
      <c r="E185" t="s">
        <v>611</v>
      </c>
      <c r="F185" t="s">
        <v>714</v>
      </c>
      <c r="G185" t="s">
        <v>715</v>
      </c>
      <c r="H185" t="s">
        <v>543</v>
      </c>
      <c r="I185" t="s">
        <v>537</v>
      </c>
      <c r="J185" t="s">
        <v>535</v>
      </c>
      <c r="K185" s="30">
        <v>43059</v>
      </c>
      <c r="L185" s="8">
        <v>43060.652314814812</v>
      </c>
      <c r="M185" s="21">
        <f>LEN(ProjTextTable[[#This Row],[text]])</f>
        <v>2576</v>
      </c>
      <c r="N185" s="21">
        <f>LEN(TRIM(CLEAN(SUBSTITUTE(ProjTextTable[[#This Row],[text]],CHAR(10)," "))))+1 - LEN(SUBSTITUTE(CLEAN(SUBSTITUTE(ProjTextTable[[#This Row],[text]],CHAR(10)," "))," ",""))</f>
        <v>356</v>
      </c>
      <c r="O185" t="s">
        <v>544</v>
      </c>
      <c r="P185" t="s">
        <v>946</v>
      </c>
    </row>
    <row r="186" spans="1:16" x14ac:dyDescent="0.4">
      <c r="A186">
        <f t="shared" si="2"/>
        <v>27</v>
      </c>
      <c r="B186" t="s">
        <v>944</v>
      </c>
      <c r="C186" t="s">
        <v>945</v>
      </c>
      <c r="D186" t="s">
        <v>192</v>
      </c>
      <c r="E186" t="s">
        <v>611</v>
      </c>
      <c r="F186" t="s">
        <v>749</v>
      </c>
      <c r="G186" t="s">
        <v>750</v>
      </c>
      <c r="H186" t="s">
        <v>751</v>
      </c>
      <c r="I186" t="s">
        <v>201</v>
      </c>
      <c r="J186" t="s">
        <v>175</v>
      </c>
      <c r="K186" s="30">
        <v>43060</v>
      </c>
      <c r="L186" s="8">
        <v>43059.227268518516</v>
      </c>
      <c r="M186" s="21">
        <f>LEN(ProjTextTable[[#This Row],[text]])</f>
        <v>2740</v>
      </c>
      <c r="N186" s="21">
        <f>LEN(TRIM(CLEAN(SUBSTITUTE(ProjTextTable[[#This Row],[text]],CHAR(10)," "))))+1 - LEN(SUBSTITUTE(CLEAN(SUBSTITUTE(ProjTextTable[[#This Row],[text]],CHAR(10)," "))," ",""))</f>
        <v>381</v>
      </c>
      <c r="O186" t="s">
        <v>229</v>
      </c>
      <c r="P186" t="s">
        <v>947</v>
      </c>
    </row>
    <row r="187" spans="1:16" x14ac:dyDescent="0.4">
      <c r="A187">
        <f t="shared" si="2"/>
        <v>27</v>
      </c>
      <c r="B187" t="s">
        <v>944</v>
      </c>
      <c r="C187" t="s">
        <v>945</v>
      </c>
      <c r="D187" t="s">
        <v>192</v>
      </c>
      <c r="E187" t="s">
        <v>611</v>
      </c>
      <c r="F187" t="s">
        <v>753</v>
      </c>
      <c r="G187" t="s">
        <v>754</v>
      </c>
      <c r="H187" t="s">
        <v>755</v>
      </c>
      <c r="I187" t="s">
        <v>201</v>
      </c>
      <c r="J187" t="s">
        <v>175</v>
      </c>
      <c r="K187" s="30">
        <v>43060</v>
      </c>
      <c r="L187" s="8">
        <v>43058.459224537037</v>
      </c>
      <c r="M187" s="21">
        <f>LEN(ProjTextTable[[#This Row],[text]])</f>
        <v>2343</v>
      </c>
      <c r="N187" s="21">
        <f>LEN(TRIM(CLEAN(SUBSTITUTE(ProjTextTable[[#This Row],[text]],CHAR(10)," "))))+1 - LEN(SUBSTITUTE(CLEAN(SUBSTITUTE(ProjTextTable[[#This Row],[text]],CHAR(10)," "))," ",""))</f>
        <v>347</v>
      </c>
      <c r="O187" t="s">
        <v>195</v>
      </c>
      <c r="P187" t="s">
        <v>948</v>
      </c>
    </row>
    <row r="188" spans="1:16" x14ac:dyDescent="0.4">
      <c r="A188">
        <f t="shared" si="2"/>
        <v>27</v>
      </c>
      <c r="B188" t="s">
        <v>944</v>
      </c>
      <c r="C188" t="s">
        <v>945</v>
      </c>
      <c r="D188" t="s">
        <v>192</v>
      </c>
      <c r="E188" t="s">
        <v>611</v>
      </c>
      <c r="F188" t="s">
        <v>717</v>
      </c>
      <c r="G188" t="s">
        <v>718</v>
      </c>
      <c r="H188" t="s">
        <v>719</v>
      </c>
      <c r="I188" t="s">
        <v>201</v>
      </c>
      <c r="J188" t="s">
        <v>175</v>
      </c>
      <c r="K188" s="30">
        <v>43060</v>
      </c>
      <c r="L188" s="8">
        <v>43058.922615740739</v>
      </c>
      <c r="M188" s="21">
        <f>LEN(ProjTextTable[[#This Row],[text]])</f>
        <v>2749</v>
      </c>
      <c r="N188" s="21">
        <f>LEN(TRIM(CLEAN(SUBSTITUTE(ProjTextTable[[#This Row],[text]],CHAR(10)," "))))+1 - LEN(SUBSTITUTE(CLEAN(SUBSTITUTE(ProjTextTable[[#This Row],[text]],CHAR(10)," "))," ",""))</f>
        <v>394</v>
      </c>
      <c r="O188" t="s">
        <v>229</v>
      </c>
      <c r="P188" t="s">
        <v>949</v>
      </c>
    </row>
    <row r="189" spans="1:16" x14ac:dyDescent="0.4">
      <c r="A189">
        <f t="shared" si="2"/>
        <v>27</v>
      </c>
      <c r="B189" t="s">
        <v>944</v>
      </c>
      <c r="C189" t="s">
        <v>945</v>
      </c>
      <c r="D189" t="s">
        <v>192</v>
      </c>
      <c r="E189" t="s">
        <v>611</v>
      </c>
      <c r="F189" t="s">
        <v>891</v>
      </c>
      <c r="G189" t="s">
        <v>892</v>
      </c>
      <c r="H189" t="s">
        <v>893</v>
      </c>
      <c r="I189" t="s">
        <v>201</v>
      </c>
      <c r="J189" t="s">
        <v>175</v>
      </c>
      <c r="K189" s="30">
        <v>43060</v>
      </c>
      <c r="L189" s="8">
        <v>43058.974108796298</v>
      </c>
      <c r="M189" s="21">
        <f>LEN(ProjTextTable[[#This Row],[text]])</f>
        <v>3220</v>
      </c>
      <c r="N189" s="21">
        <f>LEN(TRIM(CLEAN(SUBSTITUTE(ProjTextTable[[#This Row],[text]],CHAR(10)," "))))+1 - LEN(SUBSTITUTE(CLEAN(SUBSTITUTE(ProjTextTable[[#This Row],[text]],CHAR(10)," "))," ",""))</f>
        <v>500</v>
      </c>
      <c r="O189" t="s">
        <v>195</v>
      </c>
      <c r="P189" t="s">
        <v>950</v>
      </c>
    </row>
    <row r="190" spans="1:16" x14ac:dyDescent="0.4">
      <c r="A190">
        <f t="shared" si="2"/>
        <v>27</v>
      </c>
      <c r="B190" t="s">
        <v>944</v>
      </c>
      <c r="C190" t="s">
        <v>945</v>
      </c>
      <c r="D190" t="s">
        <v>194</v>
      </c>
      <c r="E190" t="s">
        <v>611</v>
      </c>
      <c r="F190" t="s">
        <v>13</v>
      </c>
      <c r="G190" t="s">
        <v>13</v>
      </c>
      <c r="H190" t="s">
        <v>13</v>
      </c>
      <c r="K190" s="30"/>
      <c r="L190" s="8">
        <v>42936.043912037036</v>
      </c>
      <c r="M190" s="21">
        <f>LEN(ProjTextTable[[#This Row],[text]])</f>
        <v>4427</v>
      </c>
      <c r="N190" s="21">
        <f>LEN(TRIM(CLEAN(SUBSTITUTE(ProjTextTable[[#This Row],[text]],CHAR(10)," "))))+1 - LEN(SUBSTITUTE(CLEAN(SUBSTITUTE(ProjTextTable[[#This Row],[text]],CHAR(10)," "))," ",""))</f>
        <v>651</v>
      </c>
      <c r="O190" t="s">
        <v>13</v>
      </c>
      <c r="P190" t="s">
        <v>951</v>
      </c>
    </row>
    <row r="191" spans="1:16" x14ac:dyDescent="0.4">
      <c r="A191">
        <f t="shared" si="2"/>
        <v>28</v>
      </c>
      <c r="B191" t="s">
        <v>952</v>
      </c>
      <c r="C191" t="s">
        <v>953</v>
      </c>
      <c r="D191" t="s">
        <v>533</v>
      </c>
      <c r="E191" t="s">
        <v>611</v>
      </c>
      <c r="F191" t="s">
        <v>714</v>
      </c>
      <c r="G191" t="s">
        <v>715</v>
      </c>
      <c r="H191" t="s">
        <v>541</v>
      </c>
      <c r="I191" t="s">
        <v>536</v>
      </c>
      <c r="J191" t="s">
        <v>877</v>
      </c>
      <c r="K191" s="30">
        <v>43059</v>
      </c>
      <c r="L191" s="8">
        <v>43060.637789351851</v>
      </c>
      <c r="M191" s="21">
        <f>LEN(ProjTextTable[[#This Row],[text]])</f>
        <v>4360</v>
      </c>
      <c r="N191" s="21">
        <f>LEN(TRIM(CLEAN(SUBSTITUTE(ProjTextTable[[#This Row],[text]],CHAR(10)," "))))+1 - LEN(SUBSTITUTE(CLEAN(SUBSTITUTE(ProjTextTable[[#This Row],[text]],CHAR(10)," "))," ",""))</f>
        <v>633</v>
      </c>
      <c r="O191" t="s">
        <v>542</v>
      </c>
      <c r="P191" t="s">
        <v>954</v>
      </c>
    </row>
    <row r="192" spans="1:16" x14ac:dyDescent="0.4">
      <c r="A192">
        <f t="shared" si="2"/>
        <v>28</v>
      </c>
      <c r="B192" t="s">
        <v>952</v>
      </c>
      <c r="C192" t="s">
        <v>953</v>
      </c>
      <c r="D192" t="s">
        <v>2</v>
      </c>
      <c r="E192" t="s">
        <v>611</v>
      </c>
      <c r="F192" t="s">
        <v>13</v>
      </c>
      <c r="G192" t="s">
        <v>609</v>
      </c>
      <c r="H192" t="s">
        <v>13</v>
      </c>
      <c r="I192" t="s">
        <v>13</v>
      </c>
      <c r="K192" s="30"/>
      <c r="L192" s="8">
        <v>43082.663194444445</v>
      </c>
      <c r="M192" s="21">
        <f>LEN(ProjTextTable[[#This Row],[text]])</f>
        <v>1975</v>
      </c>
      <c r="N192" s="21">
        <f>LEN(TRIM(CLEAN(SUBSTITUTE(ProjTextTable[[#This Row],[text]],CHAR(10)," "))))+1 - LEN(SUBSTITUTE(CLEAN(SUBSTITUTE(ProjTextTable[[#This Row],[text]],CHAR(10)," "))," ",""))</f>
        <v>290</v>
      </c>
      <c r="O192" t="s">
        <v>13</v>
      </c>
      <c r="P192" t="s">
        <v>955</v>
      </c>
    </row>
    <row r="193" spans="1:16" x14ac:dyDescent="0.4">
      <c r="A193">
        <f t="shared" si="2"/>
        <v>28</v>
      </c>
      <c r="B193" t="s">
        <v>952</v>
      </c>
      <c r="C193" t="s">
        <v>953</v>
      </c>
      <c r="D193" t="s">
        <v>192</v>
      </c>
      <c r="E193" t="s">
        <v>611</v>
      </c>
      <c r="F193" t="s">
        <v>717</v>
      </c>
      <c r="G193" t="s">
        <v>718</v>
      </c>
      <c r="H193" t="s">
        <v>719</v>
      </c>
      <c r="I193" t="s">
        <v>201</v>
      </c>
      <c r="J193" t="s">
        <v>175</v>
      </c>
      <c r="K193" s="30">
        <v>43060</v>
      </c>
      <c r="L193" s="8">
        <v>43059.302187499998</v>
      </c>
      <c r="M193" s="21">
        <f>LEN(ProjTextTable[[#This Row],[text]])</f>
        <v>3398</v>
      </c>
      <c r="N193" s="21">
        <f>LEN(TRIM(CLEAN(SUBSTITUTE(ProjTextTable[[#This Row],[text]],CHAR(10)," "))))+1 - LEN(SUBSTITUTE(CLEAN(SUBSTITUTE(ProjTextTable[[#This Row],[text]],CHAR(10)," "))," ",""))</f>
        <v>486</v>
      </c>
      <c r="O193" t="s">
        <v>196</v>
      </c>
      <c r="P193" t="s">
        <v>956</v>
      </c>
    </row>
    <row r="194" spans="1:16" x14ac:dyDescent="0.4">
      <c r="A194">
        <f t="shared" ref="A194:A257" si="3">A193+(B194&lt;&gt;B193)</f>
        <v>28</v>
      </c>
      <c r="B194" t="s">
        <v>952</v>
      </c>
      <c r="C194" t="s">
        <v>953</v>
      </c>
      <c r="D194" t="s">
        <v>192</v>
      </c>
      <c r="E194" t="s">
        <v>611</v>
      </c>
      <c r="F194" t="s">
        <v>725</v>
      </c>
      <c r="G194" t="s">
        <v>726</v>
      </c>
      <c r="H194" t="s">
        <v>727</v>
      </c>
      <c r="I194" t="s">
        <v>201</v>
      </c>
      <c r="J194" t="s">
        <v>175</v>
      </c>
      <c r="K194" s="30">
        <v>43060</v>
      </c>
      <c r="L194" s="8">
        <v>43058.963819444441</v>
      </c>
      <c r="M194" s="21">
        <f>LEN(ProjTextTable[[#This Row],[text]])</f>
        <v>1074</v>
      </c>
      <c r="N194" s="21">
        <f>LEN(TRIM(CLEAN(SUBSTITUTE(ProjTextTable[[#This Row],[text]],CHAR(10)," "))))+1 - LEN(SUBSTITUTE(CLEAN(SUBSTITUTE(ProjTextTable[[#This Row],[text]],CHAR(10)," "))," ",""))</f>
        <v>154</v>
      </c>
      <c r="O194" t="s">
        <v>193</v>
      </c>
      <c r="P194" t="s">
        <v>957</v>
      </c>
    </row>
    <row r="195" spans="1:16" x14ac:dyDescent="0.4">
      <c r="A195">
        <f t="shared" si="3"/>
        <v>28</v>
      </c>
      <c r="B195" t="s">
        <v>952</v>
      </c>
      <c r="C195" t="s">
        <v>953</v>
      </c>
      <c r="D195" t="s">
        <v>192</v>
      </c>
      <c r="E195" t="s">
        <v>611</v>
      </c>
      <c r="F195" t="s">
        <v>776</v>
      </c>
      <c r="G195" t="s">
        <v>777</v>
      </c>
      <c r="H195" t="s">
        <v>778</v>
      </c>
      <c r="I195" t="s">
        <v>201</v>
      </c>
      <c r="J195" t="s">
        <v>175</v>
      </c>
      <c r="K195" s="30">
        <v>43060</v>
      </c>
      <c r="L195" s="8">
        <v>43060.010879629626</v>
      </c>
      <c r="M195" s="21">
        <f>LEN(ProjTextTable[[#This Row],[text]])</f>
        <v>2488</v>
      </c>
      <c r="N195" s="21">
        <f>LEN(TRIM(CLEAN(SUBSTITUTE(ProjTextTable[[#This Row],[text]],CHAR(10)," "))))+1 - LEN(SUBSTITUTE(CLEAN(SUBSTITUTE(ProjTextTable[[#This Row],[text]],CHAR(10)," "))," ",""))</f>
        <v>366</v>
      </c>
      <c r="O195" t="s">
        <v>193</v>
      </c>
      <c r="P195" t="s">
        <v>958</v>
      </c>
    </row>
    <row r="196" spans="1:16" x14ac:dyDescent="0.4">
      <c r="A196">
        <f t="shared" si="3"/>
        <v>28</v>
      </c>
      <c r="B196" t="s">
        <v>952</v>
      </c>
      <c r="C196" t="s">
        <v>953</v>
      </c>
      <c r="D196" t="s">
        <v>192</v>
      </c>
      <c r="E196" t="s">
        <v>611</v>
      </c>
      <c r="F196" t="s">
        <v>729</v>
      </c>
      <c r="G196" t="s">
        <v>730</v>
      </c>
      <c r="H196" t="s">
        <v>731</v>
      </c>
      <c r="I196" t="s">
        <v>201</v>
      </c>
      <c r="J196" t="s">
        <v>175</v>
      </c>
      <c r="K196" s="30">
        <v>43060</v>
      </c>
      <c r="L196" s="8">
        <v>43056.614120370374</v>
      </c>
      <c r="M196" s="21">
        <f>LEN(ProjTextTable[[#This Row],[text]])</f>
        <v>1323</v>
      </c>
      <c r="N196" s="21">
        <f>LEN(TRIM(CLEAN(SUBSTITUTE(ProjTextTable[[#This Row],[text]],CHAR(10)," "))))+1 - LEN(SUBSTITUTE(CLEAN(SUBSTITUTE(ProjTextTable[[#This Row],[text]],CHAR(10)," "))," ",""))</f>
        <v>199</v>
      </c>
      <c r="O196" t="s">
        <v>193</v>
      </c>
      <c r="P196" t="s">
        <v>959</v>
      </c>
    </row>
    <row r="197" spans="1:16" x14ac:dyDescent="0.4">
      <c r="A197">
        <f t="shared" si="3"/>
        <v>28</v>
      </c>
      <c r="B197" t="s">
        <v>952</v>
      </c>
      <c r="C197" t="s">
        <v>953</v>
      </c>
      <c r="D197" t="s">
        <v>194</v>
      </c>
      <c r="E197" t="s">
        <v>611</v>
      </c>
      <c r="F197" t="s">
        <v>13</v>
      </c>
      <c r="G197" t="s">
        <v>13</v>
      </c>
      <c r="H197" t="s">
        <v>13</v>
      </c>
      <c r="K197" s="30"/>
      <c r="L197" s="8">
        <v>42936.043935185182</v>
      </c>
      <c r="M197" s="21">
        <f>LEN(ProjTextTable[[#This Row],[text]])</f>
        <v>2872</v>
      </c>
      <c r="N197" s="21">
        <f>LEN(TRIM(CLEAN(SUBSTITUTE(ProjTextTable[[#This Row],[text]],CHAR(10)," "))))+1 - LEN(SUBSTITUTE(CLEAN(SUBSTITUTE(ProjTextTable[[#This Row],[text]],CHAR(10)," "))," ",""))</f>
        <v>426</v>
      </c>
      <c r="O197" t="s">
        <v>13</v>
      </c>
      <c r="P197" t="s">
        <v>960</v>
      </c>
    </row>
    <row r="198" spans="1:16" x14ac:dyDescent="0.4">
      <c r="A198">
        <f t="shared" si="3"/>
        <v>29</v>
      </c>
      <c r="B198" t="s">
        <v>961</v>
      </c>
      <c r="C198" t="s">
        <v>489</v>
      </c>
      <c r="D198" t="s">
        <v>533</v>
      </c>
      <c r="E198" t="s">
        <v>654</v>
      </c>
      <c r="F198" t="s">
        <v>714</v>
      </c>
      <c r="G198" t="s">
        <v>715</v>
      </c>
      <c r="H198" t="s">
        <v>543</v>
      </c>
      <c r="I198" t="s">
        <v>537</v>
      </c>
      <c r="J198" t="s">
        <v>535</v>
      </c>
      <c r="K198" s="30">
        <v>43059</v>
      </c>
      <c r="L198" s="8">
        <v>43060.61409722222</v>
      </c>
      <c r="M198" s="21">
        <f>LEN(ProjTextTable[[#This Row],[text]])</f>
        <v>3155</v>
      </c>
      <c r="N198" s="21">
        <f>LEN(TRIM(CLEAN(SUBSTITUTE(ProjTextTable[[#This Row],[text]],CHAR(10)," "))))+1 - LEN(SUBSTITUTE(CLEAN(SUBSTITUTE(ProjTextTable[[#This Row],[text]],CHAR(10)," "))," ",""))</f>
        <v>456</v>
      </c>
      <c r="O198" t="s">
        <v>544</v>
      </c>
      <c r="P198" t="s">
        <v>962</v>
      </c>
    </row>
    <row r="199" spans="1:16" x14ac:dyDescent="0.4">
      <c r="A199">
        <f t="shared" si="3"/>
        <v>29</v>
      </c>
      <c r="B199" t="s">
        <v>961</v>
      </c>
      <c r="C199" t="s">
        <v>489</v>
      </c>
      <c r="D199" t="s">
        <v>192</v>
      </c>
      <c r="E199" t="s">
        <v>654</v>
      </c>
      <c r="F199" t="s">
        <v>753</v>
      </c>
      <c r="G199" t="s">
        <v>754</v>
      </c>
      <c r="H199" t="s">
        <v>755</v>
      </c>
      <c r="I199" t="s">
        <v>201</v>
      </c>
      <c r="J199" t="s">
        <v>175</v>
      </c>
      <c r="K199" s="30">
        <v>43060</v>
      </c>
      <c r="L199" s="8">
        <v>43059.471666666665</v>
      </c>
      <c r="M199" s="21">
        <f>LEN(ProjTextTable[[#This Row],[text]])</f>
        <v>1800</v>
      </c>
      <c r="N199" s="21">
        <f>LEN(TRIM(CLEAN(SUBSTITUTE(ProjTextTable[[#This Row],[text]],CHAR(10)," "))))+1 - LEN(SUBSTITUTE(CLEAN(SUBSTITUTE(ProjTextTable[[#This Row],[text]],CHAR(10)," "))," ",""))</f>
        <v>267</v>
      </c>
      <c r="O199" t="s">
        <v>198</v>
      </c>
      <c r="P199" t="s">
        <v>963</v>
      </c>
    </row>
    <row r="200" spans="1:16" x14ac:dyDescent="0.4">
      <c r="A200">
        <f t="shared" si="3"/>
        <v>29</v>
      </c>
      <c r="B200" t="s">
        <v>961</v>
      </c>
      <c r="C200" t="s">
        <v>489</v>
      </c>
      <c r="D200" t="s">
        <v>192</v>
      </c>
      <c r="E200" t="s">
        <v>654</v>
      </c>
      <c r="F200" t="s">
        <v>964</v>
      </c>
      <c r="G200" t="s">
        <v>965</v>
      </c>
      <c r="H200" t="s">
        <v>966</v>
      </c>
      <c r="I200" t="s">
        <v>201</v>
      </c>
      <c r="J200" t="s">
        <v>175</v>
      </c>
      <c r="K200" s="30">
        <v>43060</v>
      </c>
      <c r="L200" s="8">
        <v>43054.57371527778</v>
      </c>
      <c r="M200" s="21">
        <f>LEN(ProjTextTable[[#This Row],[text]])</f>
        <v>2065</v>
      </c>
      <c r="N200" s="21">
        <f>LEN(TRIM(CLEAN(SUBSTITUTE(ProjTextTable[[#This Row],[text]],CHAR(10)," "))))+1 - LEN(SUBSTITUTE(CLEAN(SUBSTITUTE(ProjTextTable[[#This Row],[text]],CHAR(10)," "))," ",""))</f>
        <v>297</v>
      </c>
      <c r="O200" t="s">
        <v>195</v>
      </c>
      <c r="P200" t="s">
        <v>967</v>
      </c>
    </row>
    <row r="201" spans="1:16" x14ac:dyDescent="0.4">
      <c r="A201">
        <f t="shared" si="3"/>
        <v>29</v>
      </c>
      <c r="B201" t="s">
        <v>961</v>
      </c>
      <c r="C201" t="s">
        <v>489</v>
      </c>
      <c r="D201" t="s">
        <v>192</v>
      </c>
      <c r="E201" t="s">
        <v>611</v>
      </c>
      <c r="F201" t="s">
        <v>717</v>
      </c>
      <c r="G201" t="s">
        <v>718</v>
      </c>
      <c r="H201" t="s">
        <v>719</v>
      </c>
      <c r="I201" t="s">
        <v>201</v>
      </c>
      <c r="J201" t="s">
        <v>175</v>
      </c>
      <c r="K201" s="30">
        <v>43060</v>
      </c>
      <c r="L201" s="8">
        <v>43058.888726851852</v>
      </c>
      <c r="M201" s="21">
        <f>LEN(ProjTextTable[[#This Row],[text]])</f>
        <v>3067</v>
      </c>
      <c r="N201" s="21">
        <f>LEN(TRIM(CLEAN(SUBSTITUTE(ProjTextTable[[#This Row],[text]],CHAR(10)," "))))+1 - LEN(SUBSTITUTE(CLEAN(SUBSTITUTE(ProjTextTable[[#This Row],[text]],CHAR(10)," "))," ",""))</f>
        <v>441</v>
      </c>
      <c r="O201" t="s">
        <v>229</v>
      </c>
      <c r="P201" t="s">
        <v>968</v>
      </c>
    </row>
    <row r="202" spans="1:16" x14ac:dyDescent="0.4">
      <c r="A202">
        <f t="shared" si="3"/>
        <v>29</v>
      </c>
      <c r="B202" t="s">
        <v>961</v>
      </c>
      <c r="C202" t="s">
        <v>489</v>
      </c>
      <c r="D202" t="s">
        <v>192</v>
      </c>
      <c r="E202" t="s">
        <v>611</v>
      </c>
      <c r="F202" t="s">
        <v>725</v>
      </c>
      <c r="G202" t="s">
        <v>726</v>
      </c>
      <c r="H202" t="s">
        <v>727</v>
      </c>
      <c r="I202" t="s">
        <v>201</v>
      </c>
      <c r="J202" t="s">
        <v>175</v>
      </c>
      <c r="K202" s="30">
        <v>43060</v>
      </c>
      <c r="L202" s="8">
        <v>43059.9296875</v>
      </c>
      <c r="M202" s="21">
        <f>LEN(ProjTextTable[[#This Row],[text]])</f>
        <v>1289</v>
      </c>
      <c r="N202" s="21">
        <f>LEN(TRIM(CLEAN(SUBSTITUTE(ProjTextTable[[#This Row],[text]],CHAR(10)," "))))+1 - LEN(SUBSTITUTE(CLEAN(SUBSTITUTE(ProjTextTable[[#This Row],[text]],CHAR(10)," "))," ",""))</f>
        <v>187</v>
      </c>
      <c r="O202" t="s">
        <v>196</v>
      </c>
      <c r="P202" t="s">
        <v>969</v>
      </c>
    </row>
    <row r="203" spans="1:16" x14ac:dyDescent="0.4">
      <c r="A203">
        <f t="shared" si="3"/>
        <v>29</v>
      </c>
      <c r="B203" t="s">
        <v>961</v>
      </c>
      <c r="C203" t="s">
        <v>489</v>
      </c>
      <c r="D203" t="s">
        <v>194</v>
      </c>
      <c r="E203" t="s">
        <v>654</v>
      </c>
      <c r="F203" t="s">
        <v>13</v>
      </c>
      <c r="G203" t="s">
        <v>13</v>
      </c>
      <c r="H203" t="s">
        <v>13</v>
      </c>
      <c r="K203" s="30"/>
      <c r="L203" s="8">
        <v>42936.044108796297</v>
      </c>
      <c r="M203" s="21">
        <f>LEN(ProjTextTable[[#This Row],[text]])</f>
        <v>3733</v>
      </c>
      <c r="N203" s="21">
        <f>LEN(TRIM(CLEAN(SUBSTITUTE(ProjTextTable[[#This Row],[text]],CHAR(10)," "))))+1 - LEN(SUBSTITUTE(CLEAN(SUBSTITUTE(ProjTextTable[[#This Row],[text]],CHAR(10)," "))," ",""))</f>
        <v>526</v>
      </c>
      <c r="O203" t="s">
        <v>13</v>
      </c>
      <c r="P203" t="s">
        <v>970</v>
      </c>
    </row>
    <row r="204" spans="1:16" x14ac:dyDescent="0.4">
      <c r="A204">
        <f t="shared" si="3"/>
        <v>30</v>
      </c>
      <c r="B204" t="s">
        <v>971</v>
      </c>
      <c r="C204" t="s">
        <v>972</v>
      </c>
      <c r="D204" t="s">
        <v>533</v>
      </c>
      <c r="E204" t="s">
        <v>604</v>
      </c>
      <c r="F204" t="s">
        <v>605</v>
      </c>
      <c r="G204" t="s">
        <v>606</v>
      </c>
      <c r="H204" t="s">
        <v>539</v>
      </c>
      <c r="I204" t="s">
        <v>535</v>
      </c>
      <c r="J204" t="s">
        <v>545</v>
      </c>
      <c r="K204" s="30">
        <v>43031</v>
      </c>
      <c r="L204" s="8">
        <v>43032.659212962964</v>
      </c>
      <c r="M204" s="21">
        <f>LEN(ProjTextTable[[#This Row],[text]])</f>
        <v>2012</v>
      </c>
      <c r="N204" s="21">
        <f>LEN(TRIM(CLEAN(SUBSTITUTE(ProjTextTable[[#This Row],[text]],CHAR(10)," "))))+1 - LEN(SUBSTITUTE(CLEAN(SUBSTITUTE(ProjTextTable[[#This Row],[text]],CHAR(10)," "))," ",""))</f>
        <v>277</v>
      </c>
      <c r="O204" t="s">
        <v>540</v>
      </c>
      <c r="P204" t="s">
        <v>973</v>
      </c>
    </row>
    <row r="205" spans="1:16" x14ac:dyDescent="0.4">
      <c r="A205">
        <f t="shared" si="3"/>
        <v>30</v>
      </c>
      <c r="B205" t="s">
        <v>971</v>
      </c>
      <c r="C205" t="s">
        <v>972</v>
      </c>
      <c r="D205" t="s">
        <v>192</v>
      </c>
      <c r="E205" t="s">
        <v>611</v>
      </c>
      <c r="F205" t="s">
        <v>635</v>
      </c>
      <c r="G205" t="s">
        <v>636</v>
      </c>
      <c r="H205" t="s">
        <v>637</v>
      </c>
      <c r="I205" t="s">
        <v>201</v>
      </c>
      <c r="J205" t="s">
        <v>175</v>
      </c>
      <c r="K205" s="30">
        <v>43032</v>
      </c>
      <c r="L205" s="8">
        <v>43022.977719907409</v>
      </c>
      <c r="M205" s="21">
        <f>LEN(ProjTextTable[[#This Row],[text]])</f>
        <v>2991</v>
      </c>
      <c r="N205" s="21">
        <f>LEN(TRIM(CLEAN(SUBSTITUTE(ProjTextTable[[#This Row],[text]],CHAR(10)," "))))+1 - LEN(SUBSTITUTE(CLEAN(SUBSTITUTE(ProjTextTable[[#This Row],[text]],CHAR(10)," "))," ",""))</f>
        <v>467</v>
      </c>
      <c r="O205" t="s">
        <v>196</v>
      </c>
      <c r="P205" t="s">
        <v>974</v>
      </c>
    </row>
    <row r="206" spans="1:16" x14ac:dyDescent="0.4">
      <c r="A206">
        <f t="shared" si="3"/>
        <v>30</v>
      </c>
      <c r="B206" t="s">
        <v>971</v>
      </c>
      <c r="C206" t="s">
        <v>972</v>
      </c>
      <c r="D206" t="s">
        <v>192</v>
      </c>
      <c r="E206" t="s">
        <v>604</v>
      </c>
      <c r="F206" t="s">
        <v>639</v>
      </c>
      <c r="G206" t="s">
        <v>640</v>
      </c>
      <c r="H206" t="s">
        <v>641</v>
      </c>
      <c r="I206" t="s">
        <v>201</v>
      </c>
      <c r="J206" t="s">
        <v>175</v>
      </c>
      <c r="K206" s="30">
        <v>43032</v>
      </c>
      <c r="L206" s="8">
        <v>43030.18167824074</v>
      </c>
      <c r="M206" s="21">
        <f>LEN(ProjTextTable[[#This Row],[text]])</f>
        <v>2066</v>
      </c>
      <c r="N206" s="21">
        <f>LEN(TRIM(CLEAN(SUBSTITUTE(ProjTextTable[[#This Row],[text]],CHAR(10)," "))))+1 - LEN(SUBSTITUTE(CLEAN(SUBSTITUTE(ProjTextTable[[#This Row],[text]],CHAR(10)," "))," ",""))</f>
        <v>295</v>
      </c>
      <c r="O206" t="s">
        <v>196</v>
      </c>
      <c r="P206" t="s">
        <v>975</v>
      </c>
    </row>
    <row r="207" spans="1:16" x14ac:dyDescent="0.4">
      <c r="A207">
        <f t="shared" si="3"/>
        <v>30</v>
      </c>
      <c r="B207" t="s">
        <v>971</v>
      </c>
      <c r="C207" t="s">
        <v>972</v>
      </c>
      <c r="D207" t="s">
        <v>192</v>
      </c>
      <c r="E207" t="s">
        <v>611</v>
      </c>
      <c r="F207" t="s">
        <v>643</v>
      </c>
      <c r="G207" t="s">
        <v>644</v>
      </c>
      <c r="H207" t="s">
        <v>645</v>
      </c>
      <c r="I207" t="s">
        <v>201</v>
      </c>
      <c r="J207" t="s">
        <v>175</v>
      </c>
      <c r="K207" s="30">
        <v>43032</v>
      </c>
      <c r="L207" s="8">
        <v>43028.861875000002</v>
      </c>
      <c r="M207" s="21">
        <f>LEN(ProjTextTable[[#This Row],[text]])</f>
        <v>2452</v>
      </c>
      <c r="N207" s="21">
        <f>LEN(TRIM(CLEAN(SUBSTITUTE(ProjTextTable[[#This Row],[text]],CHAR(10)," "))))+1 - LEN(SUBSTITUTE(CLEAN(SUBSTITUTE(ProjTextTable[[#This Row],[text]],CHAR(10)," "))," ",""))</f>
        <v>365</v>
      </c>
      <c r="O207" t="s">
        <v>196</v>
      </c>
      <c r="P207" t="s">
        <v>976</v>
      </c>
    </row>
    <row r="208" spans="1:16" x14ac:dyDescent="0.4">
      <c r="A208">
        <f t="shared" si="3"/>
        <v>30</v>
      </c>
      <c r="B208" t="s">
        <v>971</v>
      </c>
      <c r="C208" t="s">
        <v>972</v>
      </c>
      <c r="D208" t="s">
        <v>192</v>
      </c>
      <c r="E208" t="s">
        <v>611</v>
      </c>
      <c r="F208" t="s">
        <v>692</v>
      </c>
      <c r="G208" t="s">
        <v>693</v>
      </c>
      <c r="H208" t="s">
        <v>694</v>
      </c>
      <c r="I208" t="s">
        <v>201</v>
      </c>
      <c r="J208" t="s">
        <v>175</v>
      </c>
      <c r="K208" s="30">
        <v>43032</v>
      </c>
      <c r="L208" s="8">
        <v>43027.663506944446</v>
      </c>
      <c r="M208" s="21">
        <f>LEN(ProjTextTable[[#This Row],[text]])</f>
        <v>2625</v>
      </c>
      <c r="N208" s="21">
        <f>LEN(TRIM(CLEAN(SUBSTITUTE(ProjTextTable[[#This Row],[text]],CHAR(10)," "))))+1 - LEN(SUBSTITUTE(CLEAN(SUBSTITUTE(ProjTextTable[[#This Row],[text]],CHAR(10)," "))," ",""))</f>
        <v>399</v>
      </c>
      <c r="O208" t="s">
        <v>229</v>
      </c>
      <c r="P208" t="s">
        <v>977</v>
      </c>
    </row>
    <row r="209" spans="1:16" x14ac:dyDescent="0.4">
      <c r="A209">
        <f t="shared" si="3"/>
        <v>30</v>
      </c>
      <c r="B209" t="s">
        <v>971</v>
      </c>
      <c r="C209" t="s">
        <v>972</v>
      </c>
      <c r="D209" t="s">
        <v>194</v>
      </c>
      <c r="E209" t="s">
        <v>604</v>
      </c>
      <c r="F209" t="s">
        <v>13</v>
      </c>
      <c r="G209" t="s">
        <v>13</v>
      </c>
      <c r="H209" t="s">
        <v>13</v>
      </c>
      <c r="K209" s="30"/>
      <c r="L209" s="8">
        <v>42936.044259259259</v>
      </c>
      <c r="M209" s="21">
        <f>LEN(ProjTextTable[[#This Row],[text]])</f>
        <v>4189</v>
      </c>
      <c r="N209" s="21">
        <f>LEN(TRIM(CLEAN(SUBSTITUTE(ProjTextTable[[#This Row],[text]],CHAR(10)," "))))+1 - LEN(SUBSTITUTE(CLEAN(SUBSTITUTE(ProjTextTable[[#This Row],[text]],CHAR(10)," "))," ",""))</f>
        <v>639</v>
      </c>
      <c r="O209" t="s">
        <v>13</v>
      </c>
      <c r="P209" t="s">
        <v>978</v>
      </c>
    </row>
    <row r="210" spans="1:16" x14ac:dyDescent="0.4">
      <c r="A210">
        <f t="shared" si="3"/>
        <v>31</v>
      </c>
      <c r="B210" t="s">
        <v>979</v>
      </c>
      <c r="C210" t="s">
        <v>980</v>
      </c>
      <c r="D210" t="s">
        <v>533</v>
      </c>
      <c r="E210" t="s">
        <v>654</v>
      </c>
      <c r="F210" t="s">
        <v>714</v>
      </c>
      <c r="G210" t="s">
        <v>715</v>
      </c>
      <c r="H210" t="s">
        <v>541</v>
      </c>
      <c r="I210" t="s">
        <v>536</v>
      </c>
      <c r="J210" t="s">
        <v>877</v>
      </c>
      <c r="K210" s="30">
        <v>43059</v>
      </c>
      <c r="L210" s="8">
        <v>43060.637881944444</v>
      </c>
      <c r="M210" s="21">
        <f>LEN(ProjTextTable[[#This Row],[text]])</f>
        <v>3385</v>
      </c>
      <c r="N210" s="21">
        <f>LEN(TRIM(CLEAN(SUBSTITUTE(ProjTextTable[[#This Row],[text]],CHAR(10)," "))))+1 - LEN(SUBSTITUTE(CLEAN(SUBSTITUTE(ProjTextTable[[#This Row],[text]],CHAR(10)," "))," ",""))</f>
        <v>490</v>
      </c>
      <c r="O210" t="s">
        <v>542</v>
      </c>
      <c r="P210" t="s">
        <v>981</v>
      </c>
    </row>
    <row r="211" spans="1:16" x14ac:dyDescent="0.4">
      <c r="A211">
        <f t="shared" si="3"/>
        <v>31</v>
      </c>
      <c r="B211" t="s">
        <v>979</v>
      </c>
      <c r="C211" t="s">
        <v>980</v>
      </c>
      <c r="D211" t="s">
        <v>533</v>
      </c>
      <c r="E211" t="s">
        <v>654</v>
      </c>
      <c r="F211" t="s">
        <v>899</v>
      </c>
      <c r="G211" t="s">
        <v>900</v>
      </c>
      <c r="H211" t="s">
        <v>543</v>
      </c>
      <c r="I211" t="s">
        <v>537</v>
      </c>
      <c r="J211" t="s">
        <v>537</v>
      </c>
      <c r="K211" s="30">
        <v>43045</v>
      </c>
      <c r="L211" s="8">
        <v>43065.482268518521</v>
      </c>
      <c r="M211" s="21">
        <f>LEN(ProjTextTable[[#This Row],[text]])</f>
        <v>2653</v>
      </c>
      <c r="N211" s="21">
        <f>LEN(TRIM(CLEAN(SUBSTITUTE(ProjTextTable[[#This Row],[text]],CHAR(10)," "))))+1 - LEN(SUBSTITUTE(CLEAN(SUBSTITUTE(ProjTextTable[[#This Row],[text]],CHAR(10)," "))," ",""))</f>
        <v>401</v>
      </c>
      <c r="O211" t="s">
        <v>544</v>
      </c>
      <c r="P211" t="s">
        <v>982</v>
      </c>
    </row>
    <row r="212" spans="1:16" x14ac:dyDescent="0.4">
      <c r="A212">
        <f t="shared" si="3"/>
        <v>31</v>
      </c>
      <c r="B212" t="s">
        <v>979</v>
      </c>
      <c r="C212" t="s">
        <v>980</v>
      </c>
      <c r="D212" t="s">
        <v>192</v>
      </c>
      <c r="E212" t="s">
        <v>611</v>
      </c>
      <c r="F212" t="s">
        <v>902</v>
      </c>
      <c r="G212" t="s">
        <v>903</v>
      </c>
      <c r="H212" t="s">
        <v>904</v>
      </c>
      <c r="I212" t="s">
        <v>201</v>
      </c>
      <c r="J212" t="s">
        <v>175</v>
      </c>
      <c r="K212" s="30">
        <v>43046</v>
      </c>
      <c r="L212" s="8">
        <v>43039.372476851851</v>
      </c>
      <c r="M212" s="21">
        <f>LEN(ProjTextTable[[#This Row],[text]])</f>
        <v>3841</v>
      </c>
      <c r="N212" s="21">
        <f>LEN(TRIM(CLEAN(SUBSTITUTE(ProjTextTable[[#This Row],[text]],CHAR(10)," "))))+1 - LEN(SUBSTITUTE(CLEAN(SUBSTITUTE(ProjTextTable[[#This Row],[text]],CHAR(10)," "))," ",""))</f>
        <v>550</v>
      </c>
      <c r="O212" t="s">
        <v>229</v>
      </c>
      <c r="P212" t="s">
        <v>983</v>
      </c>
    </row>
    <row r="213" spans="1:16" x14ac:dyDescent="0.4">
      <c r="A213">
        <f t="shared" si="3"/>
        <v>31</v>
      </c>
      <c r="B213" t="s">
        <v>979</v>
      </c>
      <c r="C213" t="s">
        <v>980</v>
      </c>
      <c r="D213" t="s">
        <v>192</v>
      </c>
      <c r="E213" t="s">
        <v>654</v>
      </c>
      <c r="F213" t="s">
        <v>964</v>
      </c>
      <c r="G213" t="s">
        <v>965</v>
      </c>
      <c r="H213" t="s">
        <v>966</v>
      </c>
      <c r="I213" t="s">
        <v>201</v>
      </c>
      <c r="J213" t="s">
        <v>175</v>
      </c>
      <c r="K213" s="30">
        <v>43060</v>
      </c>
      <c r="L213" s="8">
        <v>43054.596712962964</v>
      </c>
      <c r="M213" s="21">
        <f>LEN(ProjTextTable[[#This Row],[text]])</f>
        <v>1759</v>
      </c>
      <c r="N213" s="21">
        <f>LEN(TRIM(CLEAN(SUBSTITUTE(ProjTextTable[[#This Row],[text]],CHAR(10)," "))))+1 - LEN(SUBSTITUTE(CLEAN(SUBSTITUTE(ProjTextTable[[#This Row],[text]],CHAR(10)," "))," ",""))</f>
        <v>245</v>
      </c>
      <c r="O213" t="s">
        <v>195</v>
      </c>
      <c r="P213" t="s">
        <v>984</v>
      </c>
    </row>
    <row r="214" spans="1:16" x14ac:dyDescent="0.4">
      <c r="A214">
        <f t="shared" si="3"/>
        <v>31</v>
      </c>
      <c r="B214" t="s">
        <v>979</v>
      </c>
      <c r="C214" t="s">
        <v>980</v>
      </c>
      <c r="D214" t="s">
        <v>192</v>
      </c>
      <c r="E214" t="s">
        <v>611</v>
      </c>
      <c r="F214" t="s">
        <v>906</v>
      </c>
      <c r="G214" t="s">
        <v>907</v>
      </c>
      <c r="H214" t="s">
        <v>908</v>
      </c>
      <c r="I214" t="s">
        <v>201</v>
      </c>
      <c r="J214" t="s">
        <v>175</v>
      </c>
      <c r="K214" s="30">
        <v>43046</v>
      </c>
      <c r="L214" s="8">
        <v>43045.369837962964</v>
      </c>
      <c r="M214" s="21">
        <f>LEN(ProjTextTable[[#This Row],[text]])</f>
        <v>2876</v>
      </c>
      <c r="N214" s="21">
        <f>LEN(TRIM(CLEAN(SUBSTITUTE(ProjTextTable[[#This Row],[text]],CHAR(10)," "))))+1 - LEN(SUBSTITUTE(CLEAN(SUBSTITUTE(ProjTextTable[[#This Row],[text]],CHAR(10)," "))," ",""))</f>
        <v>432</v>
      </c>
      <c r="O214" t="s">
        <v>196</v>
      </c>
      <c r="P214" t="s">
        <v>985</v>
      </c>
    </row>
    <row r="215" spans="1:16" x14ac:dyDescent="0.4">
      <c r="A215">
        <f t="shared" si="3"/>
        <v>31</v>
      </c>
      <c r="B215" t="s">
        <v>979</v>
      </c>
      <c r="C215" t="s">
        <v>980</v>
      </c>
      <c r="D215" t="s">
        <v>192</v>
      </c>
      <c r="E215" t="s">
        <v>611</v>
      </c>
      <c r="F215" t="s">
        <v>910</v>
      </c>
      <c r="G215" t="s">
        <v>911</v>
      </c>
      <c r="H215" t="s">
        <v>912</v>
      </c>
      <c r="I215" t="s">
        <v>201</v>
      </c>
      <c r="J215" t="s">
        <v>175</v>
      </c>
      <c r="K215" s="30">
        <v>43046</v>
      </c>
      <c r="L215" s="8">
        <v>43045.456018518518</v>
      </c>
      <c r="M215" s="21">
        <f>LEN(ProjTextTable[[#This Row],[text]])</f>
        <v>3520</v>
      </c>
      <c r="N215" s="21">
        <f>LEN(TRIM(CLEAN(SUBSTITUTE(ProjTextTable[[#This Row],[text]],CHAR(10)," "))))+1 - LEN(SUBSTITUTE(CLEAN(SUBSTITUTE(ProjTextTable[[#This Row],[text]],CHAR(10)," "))," ",""))</f>
        <v>524</v>
      </c>
      <c r="O215" t="s">
        <v>196</v>
      </c>
      <c r="P215" t="s">
        <v>986</v>
      </c>
    </row>
    <row r="216" spans="1:16" x14ac:dyDescent="0.4">
      <c r="A216">
        <f t="shared" si="3"/>
        <v>31</v>
      </c>
      <c r="B216" t="s">
        <v>979</v>
      </c>
      <c r="C216" t="s">
        <v>980</v>
      </c>
      <c r="D216" t="s">
        <v>192</v>
      </c>
      <c r="E216" t="s">
        <v>611</v>
      </c>
      <c r="F216" t="s">
        <v>914</v>
      </c>
      <c r="G216" t="s">
        <v>915</v>
      </c>
      <c r="H216" t="s">
        <v>916</v>
      </c>
      <c r="I216" t="s">
        <v>201</v>
      </c>
      <c r="J216" t="s">
        <v>175</v>
      </c>
      <c r="K216" s="30">
        <v>43046</v>
      </c>
      <c r="L216" s="8">
        <v>43045.369942129626</v>
      </c>
      <c r="M216" s="21">
        <f>LEN(ProjTextTable[[#This Row],[text]])</f>
        <v>2671</v>
      </c>
      <c r="N216" s="21">
        <f>LEN(TRIM(CLEAN(SUBSTITUTE(ProjTextTable[[#This Row],[text]],CHAR(10)," "))))+1 - LEN(SUBSTITUTE(CLEAN(SUBSTITUTE(ProjTextTable[[#This Row],[text]],CHAR(10)," "))," ",""))</f>
        <v>392</v>
      </c>
      <c r="O216" t="s">
        <v>229</v>
      </c>
      <c r="P216" t="s">
        <v>987</v>
      </c>
    </row>
    <row r="217" spans="1:16" x14ac:dyDescent="0.4">
      <c r="A217">
        <f t="shared" si="3"/>
        <v>31</v>
      </c>
      <c r="B217" t="s">
        <v>979</v>
      </c>
      <c r="C217" t="s">
        <v>980</v>
      </c>
      <c r="D217" t="s">
        <v>192</v>
      </c>
      <c r="E217" t="s">
        <v>611</v>
      </c>
      <c r="F217" t="s">
        <v>721</v>
      </c>
      <c r="G217" t="s">
        <v>722</v>
      </c>
      <c r="H217" t="s">
        <v>723</v>
      </c>
      <c r="I217" t="s">
        <v>201</v>
      </c>
      <c r="J217" t="s">
        <v>175</v>
      </c>
      <c r="K217" s="30">
        <v>43060</v>
      </c>
      <c r="L217" s="8">
        <v>43058.706030092595</v>
      </c>
      <c r="M217" s="21">
        <f>LEN(ProjTextTable[[#This Row],[text]])</f>
        <v>2644</v>
      </c>
      <c r="N217" s="21">
        <f>LEN(TRIM(CLEAN(SUBSTITUTE(ProjTextTable[[#This Row],[text]],CHAR(10)," "))))+1 - LEN(SUBSTITUTE(CLEAN(SUBSTITUTE(ProjTextTable[[#This Row],[text]],CHAR(10)," "))," ",""))</f>
        <v>386</v>
      </c>
      <c r="O217" t="s">
        <v>193</v>
      </c>
      <c r="P217" t="s">
        <v>988</v>
      </c>
    </row>
    <row r="218" spans="1:16" x14ac:dyDescent="0.4">
      <c r="A218">
        <f t="shared" si="3"/>
        <v>31</v>
      </c>
      <c r="B218" t="s">
        <v>979</v>
      </c>
      <c r="C218" t="s">
        <v>980</v>
      </c>
      <c r="D218" t="s">
        <v>192</v>
      </c>
      <c r="E218" t="s">
        <v>611</v>
      </c>
      <c r="F218" t="s">
        <v>725</v>
      </c>
      <c r="G218" t="s">
        <v>726</v>
      </c>
      <c r="H218" t="s">
        <v>727</v>
      </c>
      <c r="I218" t="s">
        <v>201</v>
      </c>
      <c r="J218" t="s">
        <v>175</v>
      </c>
      <c r="K218" s="30">
        <v>43060</v>
      </c>
      <c r="L218" s="8">
        <v>43059.921643518515</v>
      </c>
      <c r="M218" s="21">
        <f>LEN(ProjTextTable[[#This Row],[text]])</f>
        <v>1181</v>
      </c>
      <c r="N218" s="21">
        <f>LEN(TRIM(CLEAN(SUBSTITUTE(ProjTextTable[[#This Row],[text]],CHAR(10)," "))))+1 - LEN(SUBSTITUTE(CLEAN(SUBSTITUTE(ProjTextTable[[#This Row],[text]],CHAR(10)," "))," ",""))</f>
        <v>164</v>
      </c>
      <c r="O218" t="s">
        <v>229</v>
      </c>
      <c r="P218" t="s">
        <v>989</v>
      </c>
    </row>
    <row r="219" spans="1:16" x14ac:dyDescent="0.4">
      <c r="A219">
        <f t="shared" si="3"/>
        <v>31</v>
      </c>
      <c r="B219" t="s">
        <v>979</v>
      </c>
      <c r="C219" t="s">
        <v>980</v>
      </c>
      <c r="D219" t="s">
        <v>192</v>
      </c>
      <c r="E219" t="s">
        <v>611</v>
      </c>
      <c r="F219" t="s">
        <v>729</v>
      </c>
      <c r="G219" t="s">
        <v>730</v>
      </c>
      <c r="H219" t="s">
        <v>731</v>
      </c>
      <c r="I219" t="s">
        <v>201</v>
      </c>
      <c r="J219" t="s">
        <v>175</v>
      </c>
      <c r="K219" s="30">
        <v>43060</v>
      </c>
      <c r="L219" s="8">
        <v>43056.623159722221</v>
      </c>
      <c r="M219" s="21">
        <f>LEN(ProjTextTable[[#This Row],[text]])</f>
        <v>1458</v>
      </c>
      <c r="N219" s="21">
        <f>LEN(TRIM(CLEAN(SUBSTITUTE(ProjTextTable[[#This Row],[text]],CHAR(10)," "))))+1 - LEN(SUBSTITUTE(CLEAN(SUBSTITUTE(ProjTextTable[[#This Row],[text]],CHAR(10)," "))," ",""))</f>
        <v>203</v>
      </c>
      <c r="O219" t="s">
        <v>195</v>
      </c>
      <c r="P219" t="s">
        <v>990</v>
      </c>
    </row>
    <row r="220" spans="1:16" x14ac:dyDescent="0.4">
      <c r="A220">
        <f t="shared" si="3"/>
        <v>31</v>
      </c>
      <c r="B220" t="s">
        <v>979</v>
      </c>
      <c r="C220" t="s">
        <v>980</v>
      </c>
      <c r="D220" t="s">
        <v>194</v>
      </c>
      <c r="E220" t="s">
        <v>654</v>
      </c>
      <c r="F220" t="s">
        <v>13</v>
      </c>
      <c r="G220" t="s">
        <v>13</v>
      </c>
      <c r="H220" t="s">
        <v>13</v>
      </c>
      <c r="K220" s="30"/>
      <c r="L220" s="8">
        <v>42936.044328703705</v>
      </c>
      <c r="M220" s="21">
        <f>LEN(ProjTextTable[[#This Row],[text]])</f>
        <v>3427</v>
      </c>
      <c r="N220" s="21">
        <f>LEN(TRIM(CLEAN(SUBSTITUTE(ProjTextTable[[#This Row],[text]],CHAR(10)," "))))+1 - LEN(SUBSTITUTE(CLEAN(SUBSTITUTE(ProjTextTable[[#This Row],[text]],CHAR(10)," "))," ",""))</f>
        <v>475</v>
      </c>
      <c r="O220" t="s">
        <v>13</v>
      </c>
      <c r="P220" t="s">
        <v>991</v>
      </c>
    </row>
    <row r="221" spans="1:16" x14ac:dyDescent="0.4">
      <c r="A221">
        <f t="shared" si="3"/>
        <v>32</v>
      </c>
      <c r="B221" t="s">
        <v>992</v>
      </c>
      <c r="C221" t="s">
        <v>993</v>
      </c>
      <c r="D221" t="s">
        <v>533</v>
      </c>
      <c r="E221" t="s">
        <v>611</v>
      </c>
      <c r="F221" t="s">
        <v>714</v>
      </c>
      <c r="G221" t="s">
        <v>715</v>
      </c>
      <c r="H221" t="s">
        <v>546</v>
      </c>
      <c r="I221" t="s">
        <v>538</v>
      </c>
      <c r="J221" t="s">
        <v>793</v>
      </c>
      <c r="K221" s="30">
        <v>43059</v>
      </c>
      <c r="L221" s="8">
        <v>43060.652546296296</v>
      </c>
      <c r="M221" s="21">
        <f>LEN(ProjTextTable[[#This Row],[text]])</f>
        <v>1447</v>
      </c>
      <c r="N221" s="21">
        <f>LEN(TRIM(CLEAN(SUBSTITUTE(ProjTextTable[[#This Row],[text]],CHAR(10)," "))))+1 - LEN(SUBSTITUTE(CLEAN(SUBSTITUTE(ProjTextTable[[#This Row],[text]],CHAR(10)," "))," ",""))</f>
        <v>216</v>
      </c>
      <c r="O221" t="s">
        <v>309</v>
      </c>
      <c r="P221" t="s">
        <v>994</v>
      </c>
    </row>
    <row r="222" spans="1:16" x14ac:dyDescent="0.4">
      <c r="A222">
        <f t="shared" si="3"/>
        <v>32</v>
      </c>
      <c r="B222" t="s">
        <v>992</v>
      </c>
      <c r="C222" t="s">
        <v>993</v>
      </c>
      <c r="D222" t="s">
        <v>2</v>
      </c>
      <c r="E222" t="s">
        <v>611</v>
      </c>
      <c r="F222" t="s">
        <v>13</v>
      </c>
      <c r="G222" t="s">
        <v>609</v>
      </c>
      <c r="H222" t="s">
        <v>13</v>
      </c>
      <c r="I222" t="s">
        <v>13</v>
      </c>
      <c r="K222" s="30"/>
      <c r="L222" s="8">
        <v>43082.669247685182</v>
      </c>
      <c r="M222" s="21">
        <f>LEN(ProjTextTable[[#This Row],[text]])</f>
        <v>1979</v>
      </c>
      <c r="N222" s="21">
        <f>LEN(TRIM(CLEAN(SUBSTITUTE(ProjTextTable[[#This Row],[text]],CHAR(10)," "))))+1 - LEN(SUBSTITUTE(CLEAN(SUBSTITUTE(ProjTextTable[[#This Row],[text]],CHAR(10)," "))," ",""))</f>
        <v>297</v>
      </c>
      <c r="O222" t="s">
        <v>13</v>
      </c>
      <c r="P222" t="s">
        <v>995</v>
      </c>
    </row>
    <row r="223" spans="1:16" x14ac:dyDescent="0.4">
      <c r="A223">
        <f t="shared" si="3"/>
        <v>32</v>
      </c>
      <c r="B223" t="s">
        <v>992</v>
      </c>
      <c r="C223" t="s">
        <v>993</v>
      </c>
      <c r="D223" t="s">
        <v>192</v>
      </c>
      <c r="E223" t="s">
        <v>611</v>
      </c>
      <c r="F223" t="s">
        <v>996</v>
      </c>
      <c r="G223" t="s">
        <v>997</v>
      </c>
      <c r="H223" t="s">
        <v>998</v>
      </c>
      <c r="I223" t="s">
        <v>175</v>
      </c>
      <c r="J223" t="s">
        <v>175</v>
      </c>
      <c r="K223" s="30">
        <v>43052</v>
      </c>
      <c r="L223" s="8">
        <v>43054.683379629627</v>
      </c>
      <c r="M223" s="21">
        <f>LEN(ProjTextTable[[#This Row],[text]])</f>
        <v>4205</v>
      </c>
      <c r="N223" s="21">
        <f>LEN(TRIM(CLEAN(SUBSTITUTE(ProjTextTable[[#This Row],[text]],CHAR(10)," "))))+1 - LEN(SUBSTITUTE(CLEAN(SUBSTITUTE(ProjTextTable[[#This Row],[text]],CHAR(10)," "))," ",""))</f>
        <v>653</v>
      </c>
      <c r="O223" t="s">
        <v>197</v>
      </c>
      <c r="P223" t="s">
        <v>999</v>
      </c>
    </row>
    <row r="224" spans="1:16" x14ac:dyDescent="0.4">
      <c r="A224">
        <f t="shared" si="3"/>
        <v>32</v>
      </c>
      <c r="B224" t="s">
        <v>992</v>
      </c>
      <c r="C224" t="s">
        <v>993</v>
      </c>
      <c r="D224" t="s">
        <v>192</v>
      </c>
      <c r="E224" t="s">
        <v>611</v>
      </c>
      <c r="F224" t="s">
        <v>721</v>
      </c>
      <c r="G224" t="s">
        <v>722</v>
      </c>
      <c r="H224" t="s">
        <v>723</v>
      </c>
      <c r="I224" t="s">
        <v>201</v>
      </c>
      <c r="J224" t="s">
        <v>175</v>
      </c>
      <c r="K224" s="30">
        <v>43060</v>
      </c>
      <c r="L224" s="8">
        <v>43059.477754629632</v>
      </c>
      <c r="M224" s="21">
        <f>LEN(ProjTextTable[[#This Row],[text]])</f>
        <v>1203</v>
      </c>
      <c r="N224" s="21">
        <f>LEN(TRIM(CLEAN(SUBSTITUTE(ProjTextTable[[#This Row],[text]],CHAR(10)," "))))+1 - LEN(SUBSTITUTE(CLEAN(SUBSTITUTE(ProjTextTable[[#This Row],[text]],CHAR(10)," "))," ",""))</f>
        <v>182</v>
      </c>
      <c r="O224" t="s">
        <v>197</v>
      </c>
      <c r="P224" t="s">
        <v>1000</v>
      </c>
    </row>
    <row r="225" spans="1:16" x14ac:dyDescent="0.4">
      <c r="A225">
        <f t="shared" si="3"/>
        <v>32</v>
      </c>
      <c r="B225" t="s">
        <v>992</v>
      </c>
      <c r="C225" t="s">
        <v>993</v>
      </c>
      <c r="D225" t="s">
        <v>192</v>
      </c>
      <c r="E225" t="s">
        <v>611</v>
      </c>
      <c r="F225" t="s">
        <v>891</v>
      </c>
      <c r="G225" t="s">
        <v>892</v>
      </c>
      <c r="H225" t="s">
        <v>893</v>
      </c>
      <c r="I225" t="s">
        <v>201</v>
      </c>
      <c r="J225" t="s">
        <v>175</v>
      </c>
      <c r="K225" s="30">
        <v>43060</v>
      </c>
      <c r="L225" s="8">
        <v>43058.704224537039</v>
      </c>
      <c r="M225" s="21">
        <f>LEN(ProjTextTable[[#This Row],[text]])</f>
        <v>5019</v>
      </c>
      <c r="N225" s="21">
        <f>LEN(TRIM(CLEAN(SUBSTITUTE(ProjTextTable[[#This Row],[text]],CHAR(10)," "))))+1 - LEN(SUBSTITUTE(CLEAN(SUBSTITUTE(ProjTextTable[[#This Row],[text]],CHAR(10)," "))," ",""))</f>
        <v>779</v>
      </c>
      <c r="O225" t="s">
        <v>193</v>
      </c>
      <c r="P225" t="s">
        <v>1001</v>
      </c>
    </row>
    <row r="226" spans="1:16" x14ac:dyDescent="0.4">
      <c r="A226">
        <f t="shared" si="3"/>
        <v>32</v>
      </c>
      <c r="B226" t="s">
        <v>992</v>
      </c>
      <c r="C226" t="s">
        <v>993</v>
      </c>
      <c r="D226" t="s">
        <v>192</v>
      </c>
      <c r="E226" t="s">
        <v>611</v>
      </c>
      <c r="F226" t="s">
        <v>729</v>
      </c>
      <c r="G226" t="s">
        <v>730</v>
      </c>
      <c r="H226" t="s">
        <v>731</v>
      </c>
      <c r="I226" t="s">
        <v>201</v>
      </c>
      <c r="J226" t="s">
        <v>175</v>
      </c>
      <c r="K226" s="30">
        <v>43060</v>
      </c>
      <c r="L226" s="8">
        <v>43058.716354166667</v>
      </c>
      <c r="M226" s="21">
        <f>LEN(ProjTextTable[[#This Row],[text]])</f>
        <v>1478</v>
      </c>
      <c r="N226" s="21">
        <f>LEN(TRIM(CLEAN(SUBSTITUTE(ProjTextTable[[#This Row],[text]],CHAR(10)," "))))+1 - LEN(SUBSTITUTE(CLEAN(SUBSTITUTE(ProjTextTable[[#This Row],[text]],CHAR(10)," "))," ",""))</f>
        <v>222</v>
      </c>
      <c r="O226" t="s">
        <v>197</v>
      </c>
      <c r="P226" t="s">
        <v>1002</v>
      </c>
    </row>
    <row r="227" spans="1:16" x14ac:dyDescent="0.4">
      <c r="A227">
        <f t="shared" si="3"/>
        <v>32</v>
      </c>
      <c r="B227" t="s">
        <v>992</v>
      </c>
      <c r="C227" t="s">
        <v>993</v>
      </c>
      <c r="D227" t="s">
        <v>194</v>
      </c>
      <c r="E227" t="s">
        <v>611</v>
      </c>
      <c r="F227" t="s">
        <v>13</v>
      </c>
      <c r="G227" t="s">
        <v>13</v>
      </c>
      <c r="H227" t="s">
        <v>13</v>
      </c>
      <c r="K227" s="30"/>
      <c r="L227" s="8">
        <v>42936.044548611113</v>
      </c>
      <c r="M227" s="21">
        <f>LEN(ProjTextTable[[#This Row],[text]])</f>
        <v>3585</v>
      </c>
      <c r="N227" s="21">
        <f>LEN(TRIM(CLEAN(SUBSTITUTE(ProjTextTable[[#This Row],[text]],CHAR(10)," "))))+1 - LEN(SUBSTITUTE(CLEAN(SUBSTITUTE(ProjTextTable[[#This Row],[text]],CHAR(10)," "))," ",""))</f>
        <v>485</v>
      </c>
      <c r="O227" t="s">
        <v>13</v>
      </c>
      <c r="P227" t="s">
        <v>1003</v>
      </c>
    </row>
    <row r="228" spans="1:16" x14ac:dyDescent="0.4">
      <c r="A228">
        <f t="shared" si="3"/>
        <v>33</v>
      </c>
      <c r="B228" t="s">
        <v>1004</v>
      </c>
      <c r="C228" t="s">
        <v>1005</v>
      </c>
      <c r="D228" t="s">
        <v>533</v>
      </c>
      <c r="E228" t="s">
        <v>611</v>
      </c>
      <c r="F228" t="s">
        <v>714</v>
      </c>
      <c r="G228" t="s">
        <v>715</v>
      </c>
      <c r="H228" t="s">
        <v>539</v>
      </c>
      <c r="I228" t="s">
        <v>535</v>
      </c>
      <c r="J228" t="s">
        <v>735</v>
      </c>
      <c r="K228" s="30">
        <v>43059</v>
      </c>
      <c r="L228" s="8">
        <v>43060.644074074073</v>
      </c>
      <c r="M228" s="21">
        <f>LEN(ProjTextTable[[#This Row],[text]])</f>
        <v>2333</v>
      </c>
      <c r="N228" s="21">
        <f>LEN(TRIM(CLEAN(SUBSTITUTE(ProjTextTable[[#This Row],[text]],CHAR(10)," "))))+1 - LEN(SUBSTITUTE(CLEAN(SUBSTITUTE(ProjTextTable[[#This Row],[text]],CHAR(10)," "))," ",""))</f>
        <v>329</v>
      </c>
      <c r="O228" t="s">
        <v>540</v>
      </c>
      <c r="P228" t="s">
        <v>1006</v>
      </c>
    </row>
    <row r="229" spans="1:16" x14ac:dyDescent="0.4">
      <c r="A229">
        <f t="shared" si="3"/>
        <v>33</v>
      </c>
      <c r="B229" t="s">
        <v>1004</v>
      </c>
      <c r="C229" t="s">
        <v>1005</v>
      </c>
      <c r="D229" t="s">
        <v>192</v>
      </c>
      <c r="E229" t="s">
        <v>611</v>
      </c>
      <c r="F229" t="s">
        <v>757</v>
      </c>
      <c r="G229" t="s">
        <v>758</v>
      </c>
      <c r="H229" t="s">
        <v>759</v>
      </c>
      <c r="I229" t="s">
        <v>201</v>
      </c>
      <c r="J229" t="s">
        <v>175</v>
      </c>
      <c r="K229" s="30">
        <v>43060</v>
      </c>
      <c r="L229" s="8">
        <v>43056.704629629632</v>
      </c>
      <c r="M229" s="21">
        <f>LEN(ProjTextTable[[#This Row],[text]])</f>
        <v>5008</v>
      </c>
      <c r="N229" s="21">
        <f>LEN(TRIM(CLEAN(SUBSTITUTE(ProjTextTable[[#This Row],[text]],CHAR(10)," "))))+1 - LEN(SUBSTITUTE(CLEAN(SUBSTITUTE(ProjTextTable[[#This Row],[text]],CHAR(10)," "))," ",""))</f>
        <v>768</v>
      </c>
      <c r="O229" t="s">
        <v>196</v>
      </c>
      <c r="P229" t="s">
        <v>1007</v>
      </c>
    </row>
    <row r="230" spans="1:16" x14ac:dyDescent="0.4">
      <c r="A230">
        <f t="shared" si="3"/>
        <v>33</v>
      </c>
      <c r="B230" t="s">
        <v>1004</v>
      </c>
      <c r="C230" t="s">
        <v>1005</v>
      </c>
      <c r="D230" t="s">
        <v>192</v>
      </c>
      <c r="E230" t="s">
        <v>611</v>
      </c>
      <c r="F230" t="s">
        <v>721</v>
      </c>
      <c r="G230" t="s">
        <v>722</v>
      </c>
      <c r="H230" t="s">
        <v>723</v>
      </c>
      <c r="I230" t="s">
        <v>201</v>
      </c>
      <c r="J230" t="s">
        <v>175</v>
      </c>
      <c r="K230" s="30">
        <v>43060</v>
      </c>
      <c r="L230" s="8">
        <v>43057.881145833337</v>
      </c>
      <c r="M230" s="21">
        <f>LEN(ProjTextTable[[#This Row],[text]])</f>
        <v>1852</v>
      </c>
      <c r="N230" s="21">
        <f>LEN(TRIM(CLEAN(SUBSTITUTE(ProjTextTable[[#This Row],[text]],CHAR(10)," "))))+1 - LEN(SUBSTITUTE(CLEAN(SUBSTITUTE(ProjTextTable[[#This Row],[text]],CHAR(10)," "))," ",""))</f>
        <v>275</v>
      </c>
      <c r="O230" t="s">
        <v>229</v>
      </c>
      <c r="P230" t="s">
        <v>1008</v>
      </c>
    </row>
    <row r="231" spans="1:16" x14ac:dyDescent="0.4">
      <c r="A231">
        <f t="shared" si="3"/>
        <v>33</v>
      </c>
      <c r="B231" t="s">
        <v>1004</v>
      </c>
      <c r="C231" t="s">
        <v>1005</v>
      </c>
      <c r="D231" t="s">
        <v>192</v>
      </c>
      <c r="E231" t="s">
        <v>611</v>
      </c>
      <c r="F231" t="s">
        <v>725</v>
      </c>
      <c r="G231" t="s">
        <v>726</v>
      </c>
      <c r="H231" t="s">
        <v>727</v>
      </c>
      <c r="I231" t="s">
        <v>201</v>
      </c>
      <c r="J231" t="s">
        <v>175</v>
      </c>
      <c r="K231" s="30">
        <v>43060</v>
      </c>
      <c r="L231" s="8">
        <v>43060.310567129629</v>
      </c>
      <c r="M231" s="21">
        <f>LEN(ProjTextTable[[#This Row],[text]])</f>
        <v>2068</v>
      </c>
      <c r="N231" s="21">
        <f>LEN(TRIM(CLEAN(SUBSTITUTE(ProjTextTable[[#This Row],[text]],CHAR(10)," "))))+1 - LEN(SUBSTITUTE(CLEAN(SUBSTITUTE(ProjTextTable[[#This Row],[text]],CHAR(10)," "))," ",""))</f>
        <v>303</v>
      </c>
      <c r="O231" t="s">
        <v>196</v>
      </c>
      <c r="P231" t="s">
        <v>1009</v>
      </c>
    </row>
    <row r="232" spans="1:16" x14ac:dyDescent="0.4">
      <c r="A232">
        <f t="shared" si="3"/>
        <v>33</v>
      </c>
      <c r="B232" t="s">
        <v>1004</v>
      </c>
      <c r="C232" t="s">
        <v>1005</v>
      </c>
      <c r="D232" t="s">
        <v>192</v>
      </c>
      <c r="E232" t="s">
        <v>611</v>
      </c>
      <c r="F232" t="s">
        <v>776</v>
      </c>
      <c r="G232" t="s">
        <v>777</v>
      </c>
      <c r="H232" t="s">
        <v>778</v>
      </c>
      <c r="I232" t="s">
        <v>201</v>
      </c>
      <c r="J232" t="s">
        <v>175</v>
      </c>
      <c r="K232" s="30">
        <v>43060</v>
      </c>
      <c r="L232" s="8">
        <v>43058.972141203703</v>
      </c>
      <c r="M232" s="21">
        <f>LEN(ProjTextTable[[#This Row],[text]])</f>
        <v>3250</v>
      </c>
      <c r="N232" s="21">
        <f>LEN(TRIM(CLEAN(SUBSTITUTE(ProjTextTable[[#This Row],[text]],CHAR(10)," "))))+1 - LEN(SUBSTITUTE(CLEAN(SUBSTITUTE(ProjTextTable[[#This Row],[text]],CHAR(10)," "))," ",""))</f>
        <v>478</v>
      </c>
      <c r="O232" t="s">
        <v>196</v>
      </c>
      <c r="P232" t="s">
        <v>1010</v>
      </c>
    </row>
    <row r="233" spans="1:16" x14ac:dyDescent="0.4">
      <c r="A233">
        <f t="shared" si="3"/>
        <v>33</v>
      </c>
      <c r="B233" t="s">
        <v>1004</v>
      </c>
      <c r="C233" t="s">
        <v>1005</v>
      </c>
      <c r="D233" t="s">
        <v>194</v>
      </c>
      <c r="E233" t="s">
        <v>611</v>
      </c>
      <c r="F233" t="s">
        <v>13</v>
      </c>
      <c r="G233" t="s">
        <v>13</v>
      </c>
      <c r="H233" t="s">
        <v>13</v>
      </c>
      <c r="K233" s="30"/>
      <c r="L233" s="8">
        <v>42936.044930555552</v>
      </c>
      <c r="M233" s="21">
        <f>LEN(ProjTextTable[[#This Row],[text]])</f>
        <v>2745</v>
      </c>
      <c r="N233" s="21">
        <f>LEN(TRIM(CLEAN(SUBSTITUTE(ProjTextTable[[#This Row],[text]],CHAR(10)," "))))+1 - LEN(SUBSTITUTE(CLEAN(SUBSTITUTE(ProjTextTable[[#This Row],[text]],CHAR(10)," "))," ",""))</f>
        <v>405</v>
      </c>
      <c r="O233" t="s">
        <v>13</v>
      </c>
      <c r="P233" t="s">
        <v>1011</v>
      </c>
    </row>
    <row r="234" spans="1:16" x14ac:dyDescent="0.4">
      <c r="A234">
        <f t="shared" si="3"/>
        <v>34</v>
      </c>
      <c r="B234" t="s">
        <v>1012</v>
      </c>
      <c r="C234" t="s">
        <v>1013</v>
      </c>
      <c r="D234" t="s">
        <v>533</v>
      </c>
      <c r="E234" t="s">
        <v>604</v>
      </c>
      <c r="F234" t="s">
        <v>605</v>
      </c>
      <c r="G234" t="s">
        <v>606</v>
      </c>
      <c r="H234" t="s">
        <v>541</v>
      </c>
      <c r="I234" t="s">
        <v>536</v>
      </c>
      <c r="J234" t="s">
        <v>632</v>
      </c>
      <c r="K234" s="30">
        <v>43031</v>
      </c>
      <c r="L234" s="8">
        <v>43032.485833333332</v>
      </c>
      <c r="M234" s="21">
        <f>LEN(ProjTextTable[[#This Row],[text]])</f>
        <v>2447</v>
      </c>
      <c r="N234" s="21">
        <f>LEN(TRIM(CLEAN(SUBSTITUTE(ProjTextTable[[#This Row],[text]],CHAR(10)," "))))+1 - LEN(SUBSTITUTE(CLEAN(SUBSTITUTE(ProjTextTable[[#This Row],[text]],CHAR(10)," "))," ",""))</f>
        <v>338</v>
      </c>
      <c r="O234" t="s">
        <v>542</v>
      </c>
      <c r="P234" t="s">
        <v>1014</v>
      </c>
    </row>
    <row r="235" spans="1:16" x14ac:dyDescent="0.4">
      <c r="A235">
        <f t="shared" si="3"/>
        <v>34</v>
      </c>
      <c r="B235" t="s">
        <v>1012</v>
      </c>
      <c r="C235" t="s">
        <v>1013</v>
      </c>
      <c r="D235" t="s">
        <v>2</v>
      </c>
      <c r="E235" t="s">
        <v>604</v>
      </c>
      <c r="F235" t="s">
        <v>13</v>
      </c>
      <c r="G235" t="s">
        <v>609</v>
      </c>
      <c r="H235" t="s">
        <v>13</v>
      </c>
      <c r="I235" t="s">
        <v>13</v>
      </c>
      <c r="K235" s="30"/>
      <c r="L235" s="8">
        <v>43082.668969907405</v>
      </c>
      <c r="M235" s="21">
        <f>LEN(ProjTextTable[[#This Row],[text]])</f>
        <v>1902</v>
      </c>
      <c r="N235" s="21">
        <f>LEN(TRIM(CLEAN(SUBSTITUTE(ProjTextTable[[#This Row],[text]],CHAR(10)," "))))+1 - LEN(SUBSTITUTE(CLEAN(SUBSTITUTE(ProjTextTable[[#This Row],[text]],CHAR(10)," "))," ",""))</f>
        <v>283</v>
      </c>
      <c r="O235" t="s">
        <v>13</v>
      </c>
      <c r="P235" t="s">
        <v>1015</v>
      </c>
    </row>
    <row r="236" spans="1:16" x14ac:dyDescent="0.4">
      <c r="A236">
        <f t="shared" si="3"/>
        <v>34</v>
      </c>
      <c r="B236" t="s">
        <v>1012</v>
      </c>
      <c r="C236" t="s">
        <v>1013</v>
      </c>
      <c r="D236" t="s">
        <v>192</v>
      </c>
      <c r="E236" t="s">
        <v>611</v>
      </c>
      <c r="F236" t="s">
        <v>635</v>
      </c>
      <c r="G236" t="s">
        <v>636</v>
      </c>
      <c r="H236" t="s">
        <v>637</v>
      </c>
      <c r="I236" t="s">
        <v>201</v>
      </c>
      <c r="J236" t="s">
        <v>175</v>
      </c>
      <c r="K236" s="30">
        <v>43032</v>
      </c>
      <c r="L236" s="8">
        <v>43025.748668981483</v>
      </c>
      <c r="M236" s="21">
        <f>LEN(ProjTextTable[[#This Row],[text]])</f>
        <v>2351</v>
      </c>
      <c r="N236" s="21">
        <f>LEN(TRIM(CLEAN(SUBSTITUTE(ProjTextTable[[#This Row],[text]],CHAR(10)," "))))+1 - LEN(SUBSTITUTE(CLEAN(SUBSTITUTE(ProjTextTable[[#This Row],[text]],CHAR(10)," "))," ",""))</f>
        <v>366</v>
      </c>
      <c r="O236" t="s">
        <v>199</v>
      </c>
      <c r="P236" t="s">
        <v>1016</v>
      </c>
    </row>
    <row r="237" spans="1:16" x14ac:dyDescent="0.4">
      <c r="A237">
        <f t="shared" si="3"/>
        <v>34</v>
      </c>
      <c r="B237" t="s">
        <v>1012</v>
      </c>
      <c r="C237" t="s">
        <v>1013</v>
      </c>
      <c r="D237" t="s">
        <v>192</v>
      </c>
      <c r="E237" t="s">
        <v>604</v>
      </c>
      <c r="F237" t="s">
        <v>639</v>
      </c>
      <c r="G237" t="s">
        <v>640</v>
      </c>
      <c r="H237" t="s">
        <v>641</v>
      </c>
      <c r="I237" t="s">
        <v>201</v>
      </c>
      <c r="J237" t="s">
        <v>175</v>
      </c>
      <c r="K237" s="30">
        <v>43032</v>
      </c>
      <c r="L237" s="8">
        <v>43030.178067129629</v>
      </c>
      <c r="M237" s="21">
        <f>LEN(ProjTextTable[[#This Row],[text]])</f>
        <v>2003</v>
      </c>
      <c r="N237" s="21">
        <f>LEN(TRIM(CLEAN(SUBSTITUTE(ProjTextTable[[#This Row],[text]],CHAR(10)," "))))+1 - LEN(SUBSTITUTE(CLEAN(SUBSTITUTE(ProjTextTable[[#This Row],[text]],CHAR(10)," "))," ",""))</f>
        <v>303</v>
      </c>
      <c r="O237" t="s">
        <v>197</v>
      </c>
      <c r="P237" t="s">
        <v>1017</v>
      </c>
    </row>
    <row r="238" spans="1:16" x14ac:dyDescent="0.4">
      <c r="A238">
        <f t="shared" si="3"/>
        <v>34</v>
      </c>
      <c r="B238" t="s">
        <v>1012</v>
      </c>
      <c r="C238" t="s">
        <v>1013</v>
      </c>
      <c r="D238" t="s">
        <v>192</v>
      </c>
      <c r="E238" t="s">
        <v>611</v>
      </c>
      <c r="F238" t="s">
        <v>643</v>
      </c>
      <c r="G238" t="s">
        <v>644</v>
      </c>
      <c r="H238" t="s">
        <v>645</v>
      </c>
      <c r="I238" t="s">
        <v>201</v>
      </c>
      <c r="J238" t="s">
        <v>175</v>
      </c>
      <c r="K238" s="30">
        <v>43032</v>
      </c>
      <c r="L238" s="8">
        <v>43028.861886574072</v>
      </c>
      <c r="M238" s="21">
        <f>LEN(ProjTextTable[[#This Row],[text]])</f>
        <v>2634</v>
      </c>
      <c r="N238" s="21">
        <f>LEN(TRIM(CLEAN(SUBSTITUTE(ProjTextTable[[#This Row],[text]],CHAR(10)," "))))+1 - LEN(SUBSTITUTE(CLEAN(SUBSTITUTE(ProjTextTable[[#This Row],[text]],CHAR(10)," "))," ",""))</f>
        <v>405</v>
      </c>
      <c r="O238" t="s">
        <v>193</v>
      </c>
      <c r="P238" t="s">
        <v>1018</v>
      </c>
    </row>
    <row r="239" spans="1:16" x14ac:dyDescent="0.4">
      <c r="A239">
        <f t="shared" si="3"/>
        <v>34</v>
      </c>
      <c r="B239" t="s">
        <v>1012</v>
      </c>
      <c r="C239" t="s">
        <v>1013</v>
      </c>
      <c r="D239" t="s">
        <v>192</v>
      </c>
      <c r="E239" t="s">
        <v>611</v>
      </c>
      <c r="F239" t="s">
        <v>692</v>
      </c>
      <c r="G239" t="s">
        <v>693</v>
      </c>
      <c r="H239" t="s">
        <v>694</v>
      </c>
      <c r="I239" t="s">
        <v>201</v>
      </c>
      <c r="J239" t="s">
        <v>175</v>
      </c>
      <c r="K239" s="30">
        <v>43032</v>
      </c>
      <c r="L239" s="8">
        <v>43027.634618055556</v>
      </c>
      <c r="M239" s="21">
        <f>LEN(ProjTextTable[[#This Row],[text]])</f>
        <v>2484</v>
      </c>
      <c r="N239" s="21">
        <f>LEN(TRIM(CLEAN(SUBSTITUTE(ProjTextTable[[#This Row],[text]],CHAR(10)," "))))+1 - LEN(SUBSTITUTE(CLEAN(SUBSTITUTE(ProjTextTable[[#This Row],[text]],CHAR(10)," "))," ",""))</f>
        <v>378</v>
      </c>
      <c r="O239" t="s">
        <v>196</v>
      </c>
      <c r="P239" t="s">
        <v>1019</v>
      </c>
    </row>
    <row r="240" spans="1:16" x14ac:dyDescent="0.4">
      <c r="A240">
        <f t="shared" si="3"/>
        <v>34</v>
      </c>
      <c r="B240" t="s">
        <v>1012</v>
      </c>
      <c r="C240" t="s">
        <v>1013</v>
      </c>
      <c r="D240" t="s">
        <v>194</v>
      </c>
      <c r="E240" t="s">
        <v>604</v>
      </c>
      <c r="F240" t="s">
        <v>13</v>
      </c>
      <c r="G240" t="s">
        <v>13</v>
      </c>
      <c r="H240" t="s">
        <v>13</v>
      </c>
      <c r="K240" s="30"/>
      <c r="L240" s="8">
        <v>42936.044953703706</v>
      </c>
      <c r="M240" s="21">
        <f>LEN(ProjTextTable[[#This Row],[text]])</f>
        <v>3898</v>
      </c>
      <c r="N240" s="21">
        <f>LEN(TRIM(CLEAN(SUBSTITUTE(ProjTextTable[[#This Row],[text]],CHAR(10)," "))))+1 - LEN(SUBSTITUTE(CLEAN(SUBSTITUTE(ProjTextTable[[#This Row],[text]],CHAR(10)," "))," ",""))</f>
        <v>569</v>
      </c>
      <c r="O240" t="s">
        <v>13</v>
      </c>
      <c r="P240" t="s">
        <v>1020</v>
      </c>
    </row>
    <row r="241" spans="1:16" x14ac:dyDescent="0.4">
      <c r="A241">
        <f t="shared" si="3"/>
        <v>35</v>
      </c>
      <c r="B241" t="s">
        <v>1021</v>
      </c>
      <c r="C241" t="s">
        <v>1022</v>
      </c>
      <c r="D241" t="s">
        <v>533</v>
      </c>
      <c r="E241" t="s">
        <v>611</v>
      </c>
      <c r="F241" t="s">
        <v>714</v>
      </c>
      <c r="G241" t="s">
        <v>715</v>
      </c>
      <c r="H241" t="s">
        <v>541</v>
      </c>
      <c r="I241" t="s">
        <v>536</v>
      </c>
      <c r="J241" t="s">
        <v>877</v>
      </c>
      <c r="K241" s="30">
        <v>43059</v>
      </c>
      <c r="L241" s="8">
        <v>43060.626122685186</v>
      </c>
      <c r="M241" s="21">
        <f>LEN(ProjTextTable[[#This Row],[text]])</f>
        <v>2566</v>
      </c>
      <c r="N241" s="21">
        <f>LEN(TRIM(CLEAN(SUBSTITUTE(ProjTextTable[[#This Row],[text]],CHAR(10)," "))))+1 - LEN(SUBSTITUTE(CLEAN(SUBSTITUTE(ProjTextTable[[#This Row],[text]],CHAR(10)," "))," ",""))</f>
        <v>369</v>
      </c>
      <c r="O241" t="s">
        <v>542</v>
      </c>
      <c r="P241" t="s">
        <v>1023</v>
      </c>
    </row>
    <row r="242" spans="1:16" x14ac:dyDescent="0.4">
      <c r="A242">
        <f t="shared" si="3"/>
        <v>35</v>
      </c>
      <c r="B242" t="s">
        <v>1021</v>
      </c>
      <c r="C242" t="s">
        <v>1022</v>
      </c>
      <c r="D242" t="s">
        <v>2</v>
      </c>
      <c r="E242" t="s">
        <v>611</v>
      </c>
      <c r="F242" t="s">
        <v>13</v>
      </c>
      <c r="G242" t="s">
        <v>609</v>
      </c>
      <c r="H242" t="s">
        <v>13</v>
      </c>
      <c r="I242" t="s">
        <v>13</v>
      </c>
      <c r="K242" s="30"/>
      <c r="L242" s="8">
        <v>43082.663263888891</v>
      </c>
      <c r="M242" s="21">
        <f>LEN(ProjTextTable[[#This Row],[text]])</f>
        <v>1970</v>
      </c>
      <c r="N242" s="21">
        <f>LEN(TRIM(CLEAN(SUBSTITUTE(ProjTextTable[[#This Row],[text]],CHAR(10)," "))))+1 - LEN(SUBSTITUTE(CLEAN(SUBSTITUTE(ProjTextTable[[#This Row],[text]],CHAR(10)," "))," ",""))</f>
        <v>289</v>
      </c>
      <c r="O242" t="s">
        <v>13</v>
      </c>
      <c r="P242" t="s">
        <v>1024</v>
      </c>
    </row>
    <row r="243" spans="1:16" x14ac:dyDescent="0.4">
      <c r="A243">
        <f t="shared" si="3"/>
        <v>35</v>
      </c>
      <c r="B243" t="s">
        <v>1021</v>
      </c>
      <c r="C243" t="s">
        <v>1022</v>
      </c>
      <c r="D243" t="s">
        <v>192</v>
      </c>
      <c r="E243" t="s">
        <v>611</v>
      </c>
      <c r="F243" t="s">
        <v>745</v>
      </c>
      <c r="G243" t="s">
        <v>746</v>
      </c>
      <c r="H243" t="s">
        <v>747</v>
      </c>
      <c r="I243" t="s">
        <v>201</v>
      </c>
      <c r="J243" t="s">
        <v>175</v>
      </c>
      <c r="K243" s="30">
        <v>43060</v>
      </c>
      <c r="L243" s="8">
        <v>43055.992812500001</v>
      </c>
      <c r="M243" s="21">
        <f>LEN(ProjTextTable[[#This Row],[text]])</f>
        <v>1959</v>
      </c>
      <c r="N243" s="21">
        <f>LEN(TRIM(CLEAN(SUBSTITUTE(ProjTextTable[[#This Row],[text]],CHAR(10)," "))))+1 - LEN(SUBSTITUTE(CLEAN(SUBSTITUTE(ProjTextTable[[#This Row],[text]],CHAR(10)," "))," ",""))</f>
        <v>275</v>
      </c>
      <c r="O243" t="s">
        <v>197</v>
      </c>
      <c r="P243" t="s">
        <v>1025</v>
      </c>
    </row>
    <row r="244" spans="1:16" x14ac:dyDescent="0.4">
      <c r="A244">
        <f t="shared" si="3"/>
        <v>35</v>
      </c>
      <c r="B244" t="s">
        <v>1021</v>
      </c>
      <c r="C244" t="s">
        <v>1022</v>
      </c>
      <c r="D244" t="s">
        <v>192</v>
      </c>
      <c r="E244" t="s">
        <v>611</v>
      </c>
      <c r="F244" t="s">
        <v>749</v>
      </c>
      <c r="G244" t="s">
        <v>750</v>
      </c>
      <c r="H244" t="s">
        <v>751</v>
      </c>
      <c r="I244" t="s">
        <v>201</v>
      </c>
      <c r="J244" t="s">
        <v>175</v>
      </c>
      <c r="K244" s="30">
        <v>43060</v>
      </c>
      <c r="L244" s="8">
        <v>43059.228263888886</v>
      </c>
      <c r="M244" s="21">
        <f>LEN(ProjTextTable[[#This Row],[text]])</f>
        <v>1799</v>
      </c>
      <c r="N244" s="21">
        <f>LEN(TRIM(CLEAN(SUBSTITUTE(ProjTextTable[[#This Row],[text]],CHAR(10)," "))))+1 - LEN(SUBSTITUTE(CLEAN(SUBSTITUTE(ProjTextTable[[#This Row],[text]],CHAR(10)," "))," ",""))</f>
        <v>263</v>
      </c>
      <c r="O244" t="s">
        <v>193</v>
      </c>
      <c r="P244" t="s">
        <v>1026</v>
      </c>
    </row>
    <row r="245" spans="1:16" x14ac:dyDescent="0.4">
      <c r="A245">
        <f t="shared" si="3"/>
        <v>35</v>
      </c>
      <c r="B245" t="s">
        <v>1021</v>
      </c>
      <c r="C245" t="s">
        <v>1022</v>
      </c>
      <c r="D245" t="s">
        <v>192</v>
      </c>
      <c r="E245" t="s">
        <v>611</v>
      </c>
      <c r="F245" t="s">
        <v>753</v>
      </c>
      <c r="G245" t="s">
        <v>754</v>
      </c>
      <c r="H245" t="s">
        <v>755</v>
      </c>
      <c r="I245" t="s">
        <v>201</v>
      </c>
      <c r="J245" t="s">
        <v>175</v>
      </c>
      <c r="K245" s="30">
        <v>43060</v>
      </c>
      <c r="L245" s="8">
        <v>43054.567141203705</v>
      </c>
      <c r="M245" s="21">
        <f>LEN(ProjTextTable[[#This Row],[text]])</f>
        <v>2252</v>
      </c>
      <c r="N245" s="21">
        <f>LEN(TRIM(CLEAN(SUBSTITUTE(ProjTextTable[[#This Row],[text]],CHAR(10)," "))))+1 - LEN(SUBSTITUTE(CLEAN(SUBSTITUTE(ProjTextTable[[#This Row],[text]],CHAR(10)," "))," ",""))</f>
        <v>338</v>
      </c>
      <c r="O245" t="s">
        <v>199</v>
      </c>
      <c r="P245" t="s">
        <v>1027</v>
      </c>
    </row>
    <row r="246" spans="1:16" x14ac:dyDescent="0.4">
      <c r="A246">
        <f t="shared" si="3"/>
        <v>35</v>
      </c>
      <c r="B246" t="s">
        <v>1021</v>
      </c>
      <c r="C246" t="s">
        <v>1022</v>
      </c>
      <c r="D246" t="s">
        <v>192</v>
      </c>
      <c r="E246" t="s">
        <v>611</v>
      </c>
      <c r="F246" t="s">
        <v>964</v>
      </c>
      <c r="G246" t="s">
        <v>965</v>
      </c>
      <c r="H246" t="s">
        <v>966</v>
      </c>
      <c r="I246" t="s">
        <v>201</v>
      </c>
      <c r="J246" t="s">
        <v>175</v>
      </c>
      <c r="K246" s="30">
        <v>43060</v>
      </c>
      <c r="L246" s="8">
        <v>43054.537291666667</v>
      </c>
      <c r="M246" s="21">
        <f>LEN(ProjTextTable[[#This Row],[text]])</f>
        <v>2032</v>
      </c>
      <c r="N246" s="21">
        <f>LEN(TRIM(CLEAN(SUBSTITUTE(ProjTextTable[[#This Row],[text]],CHAR(10)," "))))+1 - LEN(SUBSTITUTE(CLEAN(SUBSTITUTE(ProjTextTable[[#This Row],[text]],CHAR(10)," "))," ",""))</f>
        <v>307</v>
      </c>
      <c r="O246" t="s">
        <v>198</v>
      </c>
      <c r="P246" t="s">
        <v>1028</v>
      </c>
    </row>
    <row r="247" spans="1:16" x14ac:dyDescent="0.4">
      <c r="A247">
        <f t="shared" si="3"/>
        <v>35</v>
      </c>
      <c r="B247" t="s">
        <v>1021</v>
      </c>
      <c r="C247" t="s">
        <v>1022</v>
      </c>
      <c r="D247" t="s">
        <v>194</v>
      </c>
      <c r="E247" t="s">
        <v>611</v>
      </c>
      <c r="F247" t="s">
        <v>13</v>
      </c>
      <c r="G247" t="s">
        <v>13</v>
      </c>
      <c r="H247" t="s">
        <v>13</v>
      </c>
      <c r="K247" s="30"/>
      <c r="L247" s="8">
        <v>42936.044953703706</v>
      </c>
      <c r="M247" s="21">
        <f>LEN(ProjTextTable[[#This Row],[text]])</f>
        <v>3405</v>
      </c>
      <c r="N247" s="21">
        <f>LEN(TRIM(CLEAN(SUBSTITUTE(ProjTextTable[[#This Row],[text]],CHAR(10)," "))))+1 - LEN(SUBSTITUTE(CLEAN(SUBSTITUTE(ProjTextTable[[#This Row],[text]],CHAR(10)," "))," ",""))</f>
        <v>481</v>
      </c>
      <c r="O247" t="s">
        <v>13</v>
      </c>
      <c r="P247" t="s">
        <v>1029</v>
      </c>
    </row>
    <row r="248" spans="1:16" x14ac:dyDescent="0.4">
      <c r="A248">
        <f t="shared" si="3"/>
        <v>36</v>
      </c>
      <c r="B248" t="s">
        <v>1030</v>
      </c>
      <c r="C248" t="s">
        <v>1031</v>
      </c>
      <c r="D248" t="s">
        <v>533</v>
      </c>
      <c r="E248" t="s">
        <v>611</v>
      </c>
      <c r="F248" t="s">
        <v>714</v>
      </c>
      <c r="G248" t="s">
        <v>715</v>
      </c>
      <c r="H248" t="s">
        <v>541</v>
      </c>
      <c r="I248" t="s">
        <v>536</v>
      </c>
      <c r="J248" t="s">
        <v>877</v>
      </c>
      <c r="K248" s="30">
        <v>43059</v>
      </c>
      <c r="L248" s="8">
        <v>43060.668020833335</v>
      </c>
      <c r="M248" s="21">
        <f>LEN(ProjTextTable[[#This Row],[text]])</f>
        <v>3123</v>
      </c>
      <c r="N248" s="21">
        <f>LEN(TRIM(CLEAN(SUBSTITUTE(ProjTextTable[[#This Row],[text]],CHAR(10)," "))))+1 - LEN(SUBSTITUTE(CLEAN(SUBSTITUTE(ProjTextTable[[#This Row],[text]],CHAR(10)," "))," ",""))</f>
        <v>476</v>
      </c>
      <c r="O248" t="s">
        <v>542</v>
      </c>
      <c r="P248" t="s">
        <v>1032</v>
      </c>
    </row>
    <row r="249" spans="1:16" x14ac:dyDescent="0.4">
      <c r="A249">
        <f t="shared" si="3"/>
        <v>36</v>
      </c>
      <c r="B249" t="s">
        <v>1030</v>
      </c>
      <c r="C249" t="s">
        <v>1031</v>
      </c>
      <c r="D249" t="s">
        <v>2</v>
      </c>
      <c r="E249" t="s">
        <v>611</v>
      </c>
      <c r="F249" t="s">
        <v>13</v>
      </c>
      <c r="G249" t="s">
        <v>609</v>
      </c>
      <c r="H249" t="s">
        <v>13</v>
      </c>
      <c r="I249" t="s">
        <v>13</v>
      </c>
      <c r="K249" s="30"/>
      <c r="L249" s="8">
        <v>43082.66333333333</v>
      </c>
      <c r="M249" s="21">
        <f>LEN(ProjTextTable[[#This Row],[text]])</f>
        <v>1915</v>
      </c>
      <c r="N249" s="21">
        <f>LEN(TRIM(CLEAN(SUBSTITUTE(ProjTextTable[[#This Row],[text]],CHAR(10)," "))))+1 - LEN(SUBSTITUTE(CLEAN(SUBSTITUTE(ProjTextTable[[#This Row],[text]],CHAR(10)," "))," ",""))</f>
        <v>281</v>
      </c>
      <c r="O249" t="s">
        <v>13</v>
      </c>
      <c r="P249" t="s">
        <v>1033</v>
      </c>
    </row>
    <row r="250" spans="1:16" x14ac:dyDescent="0.4">
      <c r="A250">
        <f t="shared" si="3"/>
        <v>36</v>
      </c>
      <c r="B250" t="s">
        <v>1030</v>
      </c>
      <c r="C250" t="s">
        <v>1031</v>
      </c>
      <c r="D250" t="s">
        <v>192</v>
      </c>
      <c r="E250" t="s">
        <v>611</v>
      </c>
      <c r="F250" t="s">
        <v>799</v>
      </c>
      <c r="G250" t="s">
        <v>800</v>
      </c>
      <c r="H250" t="s">
        <v>801</v>
      </c>
      <c r="I250" t="s">
        <v>201</v>
      </c>
      <c r="J250" t="s">
        <v>175</v>
      </c>
      <c r="K250" s="30">
        <v>43060</v>
      </c>
      <c r="L250" s="8">
        <v>43056.606111111112</v>
      </c>
      <c r="M250" s="21">
        <f>LEN(ProjTextTable[[#This Row],[text]])</f>
        <v>3227</v>
      </c>
      <c r="N250" s="21">
        <f>LEN(TRIM(CLEAN(SUBSTITUTE(ProjTextTable[[#This Row],[text]],CHAR(10)," "))))+1 - LEN(SUBSTITUTE(CLEAN(SUBSTITUTE(ProjTextTable[[#This Row],[text]],CHAR(10)," "))," ",""))</f>
        <v>500</v>
      </c>
      <c r="O250" t="s">
        <v>196</v>
      </c>
      <c r="P250" t="s">
        <v>1034</v>
      </c>
    </row>
    <row r="251" spans="1:16" x14ac:dyDescent="0.4">
      <c r="A251">
        <f t="shared" si="3"/>
        <v>36</v>
      </c>
      <c r="B251" t="s">
        <v>1030</v>
      </c>
      <c r="C251" t="s">
        <v>1031</v>
      </c>
      <c r="D251" t="s">
        <v>192</v>
      </c>
      <c r="E251" t="s">
        <v>611</v>
      </c>
      <c r="F251" t="s">
        <v>749</v>
      </c>
      <c r="G251" t="s">
        <v>750</v>
      </c>
      <c r="H251" t="s">
        <v>751</v>
      </c>
      <c r="I251" t="s">
        <v>201</v>
      </c>
      <c r="J251" t="s">
        <v>175</v>
      </c>
      <c r="K251" s="30">
        <v>43060</v>
      </c>
      <c r="L251" s="8">
        <v>43059.229328703703</v>
      </c>
      <c r="M251" s="21">
        <f>LEN(ProjTextTable[[#This Row],[text]])</f>
        <v>1790</v>
      </c>
      <c r="N251" s="21">
        <f>LEN(TRIM(CLEAN(SUBSTITUTE(ProjTextTable[[#This Row],[text]],CHAR(10)," "))))+1 - LEN(SUBSTITUTE(CLEAN(SUBSTITUTE(ProjTextTable[[#This Row],[text]],CHAR(10)," "))," ",""))</f>
        <v>263</v>
      </c>
      <c r="O251" t="s">
        <v>193</v>
      </c>
      <c r="P251" t="s">
        <v>1035</v>
      </c>
    </row>
    <row r="252" spans="1:16" x14ac:dyDescent="0.4">
      <c r="A252">
        <f t="shared" si="3"/>
        <v>36</v>
      </c>
      <c r="B252" t="s">
        <v>1030</v>
      </c>
      <c r="C252" t="s">
        <v>1031</v>
      </c>
      <c r="D252" t="s">
        <v>192</v>
      </c>
      <c r="E252" t="s">
        <v>611</v>
      </c>
      <c r="F252" t="s">
        <v>757</v>
      </c>
      <c r="G252" t="s">
        <v>758</v>
      </c>
      <c r="H252" t="s">
        <v>759</v>
      </c>
      <c r="I252" t="s">
        <v>201</v>
      </c>
      <c r="J252" t="s">
        <v>175</v>
      </c>
      <c r="K252" s="30">
        <v>43060</v>
      </c>
      <c r="L252" s="8">
        <v>43056.70511574074</v>
      </c>
      <c r="M252" s="21">
        <f>LEN(ProjTextTable[[#This Row],[text]])</f>
        <v>4984</v>
      </c>
      <c r="N252" s="21">
        <f>LEN(TRIM(CLEAN(SUBSTITUTE(ProjTextTable[[#This Row],[text]],CHAR(10)," "))))+1 - LEN(SUBSTITUTE(CLEAN(SUBSTITUTE(ProjTextTable[[#This Row],[text]],CHAR(10)," "))," ",""))</f>
        <v>780</v>
      </c>
      <c r="O252" t="s">
        <v>196</v>
      </c>
      <c r="P252" t="s">
        <v>1036</v>
      </c>
    </row>
    <row r="253" spans="1:16" x14ac:dyDescent="0.4">
      <c r="A253">
        <f t="shared" si="3"/>
        <v>36</v>
      </c>
      <c r="B253" t="s">
        <v>1030</v>
      </c>
      <c r="C253" t="s">
        <v>1031</v>
      </c>
      <c r="D253" t="s">
        <v>192</v>
      </c>
      <c r="E253" t="s">
        <v>611</v>
      </c>
      <c r="F253" t="s">
        <v>891</v>
      </c>
      <c r="G253" t="s">
        <v>892</v>
      </c>
      <c r="H253" t="s">
        <v>893</v>
      </c>
      <c r="I253" t="s">
        <v>201</v>
      </c>
      <c r="J253" t="s">
        <v>175</v>
      </c>
      <c r="K253" s="30">
        <v>43060</v>
      </c>
      <c r="L253" s="8">
        <v>43058.695891203701</v>
      </c>
      <c r="M253" s="21">
        <f>LEN(ProjTextTable[[#This Row],[text]])</f>
        <v>5217</v>
      </c>
      <c r="N253" s="21">
        <f>LEN(TRIM(CLEAN(SUBSTITUTE(ProjTextTable[[#This Row],[text]],CHAR(10)," "))))+1 - LEN(SUBSTITUTE(CLEAN(SUBSTITUTE(ProjTextTable[[#This Row],[text]],CHAR(10)," "))," ",""))</f>
        <v>834</v>
      </c>
      <c r="O253" t="s">
        <v>196</v>
      </c>
      <c r="P253" t="s">
        <v>1037</v>
      </c>
    </row>
    <row r="254" spans="1:16" x14ac:dyDescent="0.4">
      <c r="A254">
        <f t="shared" si="3"/>
        <v>36</v>
      </c>
      <c r="B254" t="s">
        <v>1030</v>
      </c>
      <c r="C254" t="s">
        <v>1031</v>
      </c>
      <c r="D254" t="s">
        <v>194</v>
      </c>
      <c r="E254" t="s">
        <v>611</v>
      </c>
      <c r="F254" t="s">
        <v>13</v>
      </c>
      <c r="G254" t="s">
        <v>13</v>
      </c>
      <c r="H254" t="s">
        <v>13</v>
      </c>
      <c r="K254" s="30"/>
      <c r="L254" s="8">
        <v>42936.045023148145</v>
      </c>
      <c r="M254" s="21">
        <f>LEN(ProjTextTable[[#This Row],[text]])</f>
        <v>3999</v>
      </c>
      <c r="N254" s="21">
        <f>LEN(TRIM(CLEAN(SUBSTITUTE(ProjTextTable[[#This Row],[text]],CHAR(10)," "))))+1 - LEN(SUBSTITUTE(CLEAN(SUBSTITUTE(ProjTextTable[[#This Row],[text]],CHAR(10)," "))," ",""))</f>
        <v>590</v>
      </c>
      <c r="O254" t="s">
        <v>13</v>
      </c>
      <c r="P254" t="s">
        <v>1038</v>
      </c>
    </row>
    <row r="255" spans="1:16" x14ac:dyDescent="0.4">
      <c r="A255">
        <f t="shared" si="3"/>
        <v>37</v>
      </c>
      <c r="B255" t="s">
        <v>1039</v>
      </c>
      <c r="C255" t="s">
        <v>1040</v>
      </c>
      <c r="D255" t="s">
        <v>533</v>
      </c>
      <c r="E255" t="s">
        <v>604</v>
      </c>
      <c r="F255" t="s">
        <v>605</v>
      </c>
      <c r="G255" t="s">
        <v>606</v>
      </c>
      <c r="H255" t="s">
        <v>539</v>
      </c>
      <c r="I255" t="s">
        <v>535</v>
      </c>
      <c r="J255" t="s">
        <v>1041</v>
      </c>
      <c r="K255" s="30">
        <v>43031</v>
      </c>
      <c r="L255" s="8">
        <v>43032.495509259257</v>
      </c>
      <c r="M255" s="21">
        <f>LEN(ProjTextTable[[#This Row],[text]])</f>
        <v>2478</v>
      </c>
      <c r="N255" s="21">
        <f>LEN(TRIM(CLEAN(SUBSTITUTE(ProjTextTable[[#This Row],[text]],CHAR(10)," "))))+1 - LEN(SUBSTITUTE(CLEAN(SUBSTITUTE(ProjTextTable[[#This Row],[text]],CHAR(10)," "))," ",""))</f>
        <v>352</v>
      </c>
      <c r="O255" t="s">
        <v>540</v>
      </c>
      <c r="P255" t="s">
        <v>1042</v>
      </c>
    </row>
    <row r="256" spans="1:16" x14ac:dyDescent="0.4">
      <c r="A256">
        <f t="shared" si="3"/>
        <v>37</v>
      </c>
      <c r="B256" t="s">
        <v>1039</v>
      </c>
      <c r="C256" t="s">
        <v>1040</v>
      </c>
      <c r="D256" t="s">
        <v>192</v>
      </c>
      <c r="E256" t="s">
        <v>611</v>
      </c>
      <c r="F256" t="s">
        <v>635</v>
      </c>
      <c r="G256" t="s">
        <v>636</v>
      </c>
      <c r="H256" t="s">
        <v>637</v>
      </c>
      <c r="I256" t="s">
        <v>201</v>
      </c>
      <c r="J256" t="s">
        <v>175</v>
      </c>
      <c r="K256" s="30">
        <v>43032</v>
      </c>
      <c r="L256" s="8">
        <v>43031.392627314817</v>
      </c>
      <c r="M256" s="21">
        <f>LEN(ProjTextTable[[#This Row],[text]])</f>
        <v>2470</v>
      </c>
      <c r="N256" s="21">
        <f>LEN(TRIM(CLEAN(SUBSTITUTE(ProjTextTable[[#This Row],[text]],CHAR(10)," "))))+1 - LEN(SUBSTITUTE(CLEAN(SUBSTITUTE(ProjTextTable[[#This Row],[text]],CHAR(10)," "))," ",""))</f>
        <v>379</v>
      </c>
      <c r="O256" t="s">
        <v>196</v>
      </c>
      <c r="P256" t="s">
        <v>1043</v>
      </c>
    </row>
    <row r="257" spans="1:16" x14ac:dyDescent="0.4">
      <c r="A257">
        <f t="shared" si="3"/>
        <v>37</v>
      </c>
      <c r="B257" t="s">
        <v>1039</v>
      </c>
      <c r="C257" t="s">
        <v>1040</v>
      </c>
      <c r="D257" t="s">
        <v>192</v>
      </c>
      <c r="E257" t="s">
        <v>611</v>
      </c>
      <c r="F257" t="s">
        <v>643</v>
      </c>
      <c r="G257" t="s">
        <v>644</v>
      </c>
      <c r="H257" t="s">
        <v>645</v>
      </c>
      <c r="I257" t="s">
        <v>201</v>
      </c>
      <c r="J257" t="s">
        <v>175</v>
      </c>
      <c r="K257" s="30">
        <v>43032</v>
      </c>
      <c r="L257" s="8">
        <v>43028.861886574072</v>
      </c>
      <c r="M257" s="21">
        <f>LEN(ProjTextTable[[#This Row],[text]])</f>
        <v>1850</v>
      </c>
      <c r="N257" s="21">
        <f>LEN(TRIM(CLEAN(SUBSTITUTE(ProjTextTable[[#This Row],[text]],CHAR(10)," "))))+1 - LEN(SUBSTITUTE(CLEAN(SUBSTITUTE(ProjTextTable[[#This Row],[text]],CHAR(10)," "))," ",""))</f>
        <v>275</v>
      </c>
      <c r="O257" t="s">
        <v>193</v>
      </c>
      <c r="P257" t="s">
        <v>1044</v>
      </c>
    </row>
    <row r="258" spans="1:16" x14ac:dyDescent="0.4">
      <c r="A258">
        <f t="shared" ref="A258:A321" si="4">A257+(B258&lt;&gt;B257)</f>
        <v>37</v>
      </c>
      <c r="B258" t="s">
        <v>1039</v>
      </c>
      <c r="C258" t="s">
        <v>1040</v>
      </c>
      <c r="D258" t="s">
        <v>192</v>
      </c>
      <c r="E258" t="s">
        <v>611</v>
      </c>
      <c r="F258" t="s">
        <v>621</v>
      </c>
      <c r="G258" t="s">
        <v>622</v>
      </c>
      <c r="H258" t="s">
        <v>623</v>
      </c>
      <c r="I258" t="s">
        <v>201</v>
      </c>
      <c r="J258" t="s">
        <v>175</v>
      </c>
      <c r="K258" s="30">
        <v>43032</v>
      </c>
      <c r="L258" s="8">
        <v>43030.850983796299</v>
      </c>
      <c r="M258" s="21">
        <f>LEN(ProjTextTable[[#This Row],[text]])</f>
        <v>2602</v>
      </c>
      <c r="N258" s="21">
        <f>LEN(TRIM(CLEAN(SUBSTITUTE(ProjTextTable[[#This Row],[text]],CHAR(10)," "))))+1 - LEN(SUBSTITUTE(CLEAN(SUBSTITUTE(ProjTextTable[[#This Row],[text]],CHAR(10)," "))," ",""))</f>
        <v>415</v>
      </c>
      <c r="O258" t="s">
        <v>196</v>
      </c>
      <c r="P258" t="s">
        <v>1045</v>
      </c>
    </row>
    <row r="259" spans="1:16" x14ac:dyDescent="0.4">
      <c r="A259">
        <f t="shared" si="4"/>
        <v>37</v>
      </c>
      <c r="B259" t="s">
        <v>1039</v>
      </c>
      <c r="C259" t="s">
        <v>1040</v>
      </c>
      <c r="D259" t="s">
        <v>192</v>
      </c>
      <c r="E259" t="s">
        <v>604</v>
      </c>
      <c r="F259" t="s">
        <v>625</v>
      </c>
      <c r="G259" t="s">
        <v>626</v>
      </c>
      <c r="H259" t="s">
        <v>627</v>
      </c>
      <c r="I259" t="s">
        <v>201</v>
      </c>
      <c r="J259" t="s">
        <v>175</v>
      </c>
      <c r="K259" s="30">
        <v>43032</v>
      </c>
      <c r="L259" s="8">
        <v>43025.587372685186</v>
      </c>
      <c r="M259" s="21">
        <f>LEN(ProjTextTable[[#This Row],[text]])</f>
        <v>2719</v>
      </c>
      <c r="N259" s="21">
        <f>LEN(TRIM(CLEAN(SUBSTITUTE(ProjTextTable[[#This Row],[text]],CHAR(10)," "))))+1 - LEN(SUBSTITUTE(CLEAN(SUBSTITUTE(ProjTextTable[[#This Row],[text]],CHAR(10)," "))," ",""))</f>
        <v>400</v>
      </c>
      <c r="O259" t="s">
        <v>196</v>
      </c>
      <c r="P259" t="s">
        <v>1046</v>
      </c>
    </row>
    <row r="260" spans="1:16" x14ac:dyDescent="0.4">
      <c r="A260">
        <f t="shared" si="4"/>
        <v>37</v>
      </c>
      <c r="B260" t="s">
        <v>1039</v>
      </c>
      <c r="C260" t="s">
        <v>1040</v>
      </c>
      <c r="D260" t="s">
        <v>194</v>
      </c>
      <c r="E260" t="s">
        <v>604</v>
      </c>
      <c r="F260" t="s">
        <v>13</v>
      </c>
      <c r="G260" t="s">
        <v>13</v>
      </c>
      <c r="H260" t="s">
        <v>13</v>
      </c>
      <c r="K260" s="30"/>
      <c r="L260" s="8">
        <v>42936.045092592591</v>
      </c>
      <c r="M260" s="21">
        <f>LEN(ProjTextTable[[#This Row],[text]])</f>
        <v>3926</v>
      </c>
      <c r="N260" s="21">
        <f>LEN(TRIM(CLEAN(SUBSTITUTE(ProjTextTable[[#This Row],[text]],CHAR(10)," "))))+1 - LEN(SUBSTITUTE(CLEAN(SUBSTITUTE(ProjTextTable[[#This Row],[text]],CHAR(10)," "))," ",""))</f>
        <v>557</v>
      </c>
      <c r="O260" t="s">
        <v>13</v>
      </c>
      <c r="P260" t="s">
        <v>1047</v>
      </c>
    </row>
    <row r="261" spans="1:16" x14ac:dyDescent="0.4">
      <c r="A261">
        <f t="shared" si="4"/>
        <v>38</v>
      </c>
      <c r="B261" t="s">
        <v>1048</v>
      </c>
      <c r="C261" t="s">
        <v>1049</v>
      </c>
      <c r="D261" t="s">
        <v>533</v>
      </c>
      <c r="E261" t="s">
        <v>604</v>
      </c>
      <c r="F261" t="s">
        <v>605</v>
      </c>
      <c r="G261" t="s">
        <v>606</v>
      </c>
      <c r="H261" t="s">
        <v>539</v>
      </c>
      <c r="I261" t="s">
        <v>535</v>
      </c>
      <c r="J261" t="s">
        <v>355</v>
      </c>
      <c r="K261" s="30">
        <v>43031</v>
      </c>
      <c r="L261" s="8">
        <v>43032.689050925925</v>
      </c>
      <c r="M261" s="21">
        <f>LEN(ProjTextTable[[#This Row],[text]])</f>
        <v>2977</v>
      </c>
      <c r="N261" s="21">
        <f>LEN(TRIM(CLEAN(SUBSTITUTE(ProjTextTable[[#This Row],[text]],CHAR(10)," "))))+1 - LEN(SUBSTITUTE(CLEAN(SUBSTITUTE(ProjTextTable[[#This Row],[text]],CHAR(10)," "))," ",""))</f>
        <v>443</v>
      </c>
      <c r="O261" t="s">
        <v>540</v>
      </c>
      <c r="P261" t="s">
        <v>1050</v>
      </c>
    </row>
    <row r="262" spans="1:16" x14ac:dyDescent="0.4">
      <c r="A262">
        <f t="shared" si="4"/>
        <v>38</v>
      </c>
      <c r="B262" t="s">
        <v>1048</v>
      </c>
      <c r="C262" t="s">
        <v>1049</v>
      </c>
      <c r="D262" t="s">
        <v>192</v>
      </c>
      <c r="E262" t="s">
        <v>611</v>
      </c>
      <c r="F262" t="s">
        <v>635</v>
      </c>
      <c r="G262" t="s">
        <v>636</v>
      </c>
      <c r="H262" t="s">
        <v>637</v>
      </c>
      <c r="I262" t="s">
        <v>201</v>
      </c>
      <c r="J262" t="s">
        <v>175</v>
      </c>
      <c r="K262" s="30">
        <v>43032</v>
      </c>
      <c r="L262" s="8">
        <v>43025.598553240743</v>
      </c>
      <c r="M262" s="21">
        <f>LEN(ProjTextTable[[#This Row],[text]])</f>
        <v>2780</v>
      </c>
      <c r="N262" s="21">
        <f>LEN(TRIM(CLEAN(SUBSTITUTE(ProjTextTable[[#This Row],[text]],CHAR(10)," "))))+1 - LEN(SUBSTITUTE(CLEAN(SUBSTITUTE(ProjTextTable[[#This Row],[text]],CHAR(10)," "))," ",""))</f>
        <v>439</v>
      </c>
      <c r="O262" t="s">
        <v>196</v>
      </c>
      <c r="P262" t="s">
        <v>1051</v>
      </c>
    </row>
    <row r="263" spans="1:16" x14ac:dyDescent="0.4">
      <c r="A263">
        <f t="shared" si="4"/>
        <v>38</v>
      </c>
      <c r="B263" t="s">
        <v>1048</v>
      </c>
      <c r="C263" t="s">
        <v>1049</v>
      </c>
      <c r="D263" t="s">
        <v>192</v>
      </c>
      <c r="E263" t="s">
        <v>604</v>
      </c>
      <c r="F263" t="s">
        <v>639</v>
      </c>
      <c r="G263" t="s">
        <v>640</v>
      </c>
      <c r="H263" t="s">
        <v>641</v>
      </c>
      <c r="I263" t="s">
        <v>201</v>
      </c>
      <c r="J263" t="s">
        <v>175</v>
      </c>
      <c r="K263" s="30">
        <v>43032</v>
      </c>
      <c r="L263" s="8">
        <v>43030.184629629628</v>
      </c>
      <c r="M263" s="21">
        <f>LEN(ProjTextTable[[#This Row],[text]])</f>
        <v>2052</v>
      </c>
      <c r="N263" s="21">
        <f>LEN(TRIM(CLEAN(SUBSTITUTE(ProjTextTable[[#This Row],[text]],CHAR(10)," "))))+1 - LEN(SUBSTITUTE(CLEAN(SUBSTITUTE(ProjTextTable[[#This Row],[text]],CHAR(10)," "))," ",""))</f>
        <v>300</v>
      </c>
      <c r="O263" t="s">
        <v>196</v>
      </c>
      <c r="P263" t="s">
        <v>1052</v>
      </c>
    </row>
    <row r="264" spans="1:16" x14ac:dyDescent="0.4">
      <c r="A264">
        <f t="shared" si="4"/>
        <v>38</v>
      </c>
      <c r="B264" t="s">
        <v>1048</v>
      </c>
      <c r="C264" t="s">
        <v>1049</v>
      </c>
      <c r="D264" t="s">
        <v>192</v>
      </c>
      <c r="E264" t="s">
        <v>611</v>
      </c>
      <c r="F264" t="s">
        <v>692</v>
      </c>
      <c r="G264" t="s">
        <v>693</v>
      </c>
      <c r="H264" t="s">
        <v>694</v>
      </c>
      <c r="I264" t="s">
        <v>201</v>
      </c>
      <c r="J264" t="s">
        <v>175</v>
      </c>
      <c r="K264" s="30">
        <v>43032</v>
      </c>
      <c r="L264" s="8">
        <v>43028.388240740744</v>
      </c>
      <c r="M264" s="21">
        <f>LEN(ProjTextTable[[#This Row],[text]])</f>
        <v>2314</v>
      </c>
      <c r="N264" s="21">
        <f>LEN(TRIM(CLEAN(SUBSTITUTE(ProjTextTable[[#This Row],[text]],CHAR(10)," "))))+1 - LEN(SUBSTITUTE(CLEAN(SUBSTITUTE(ProjTextTable[[#This Row],[text]],CHAR(10)," "))," ",""))</f>
        <v>355</v>
      </c>
      <c r="O264" t="s">
        <v>198</v>
      </c>
      <c r="P264" t="s">
        <v>1053</v>
      </c>
    </row>
    <row r="265" spans="1:16" x14ac:dyDescent="0.4">
      <c r="A265">
        <f t="shared" si="4"/>
        <v>38</v>
      </c>
      <c r="B265" t="s">
        <v>1048</v>
      </c>
      <c r="C265" t="s">
        <v>1049</v>
      </c>
      <c r="D265" t="s">
        <v>192</v>
      </c>
      <c r="E265" t="s">
        <v>611</v>
      </c>
      <c r="F265" t="s">
        <v>697</v>
      </c>
      <c r="G265" t="s">
        <v>698</v>
      </c>
      <c r="H265" t="s">
        <v>699</v>
      </c>
      <c r="I265" t="s">
        <v>201</v>
      </c>
      <c r="J265" t="s">
        <v>175</v>
      </c>
      <c r="K265" s="30">
        <v>43032</v>
      </c>
      <c r="L265" s="8">
        <v>43031.690868055557</v>
      </c>
      <c r="M265" s="21">
        <f>LEN(ProjTextTable[[#This Row],[text]])</f>
        <v>3778</v>
      </c>
      <c r="N265" s="21">
        <f>LEN(TRIM(CLEAN(SUBSTITUTE(ProjTextTable[[#This Row],[text]],CHAR(10)," "))))+1 - LEN(SUBSTITUTE(CLEAN(SUBSTITUTE(ProjTextTable[[#This Row],[text]],CHAR(10)," "))," ",""))</f>
        <v>593</v>
      </c>
      <c r="O265" t="s">
        <v>196</v>
      </c>
      <c r="P265" t="s">
        <v>1054</v>
      </c>
    </row>
    <row r="266" spans="1:16" x14ac:dyDescent="0.4">
      <c r="A266">
        <f t="shared" si="4"/>
        <v>38</v>
      </c>
      <c r="B266" t="s">
        <v>1048</v>
      </c>
      <c r="C266" t="s">
        <v>1049</v>
      </c>
      <c r="D266" t="s">
        <v>194</v>
      </c>
      <c r="E266" t="s">
        <v>604</v>
      </c>
      <c r="F266" t="s">
        <v>13</v>
      </c>
      <c r="G266" t="s">
        <v>13</v>
      </c>
      <c r="H266" t="s">
        <v>13</v>
      </c>
      <c r="K266" s="30"/>
      <c r="L266" s="8">
        <v>42936.045185185183</v>
      </c>
      <c r="M266" s="21">
        <f>LEN(ProjTextTable[[#This Row],[text]])</f>
        <v>2855</v>
      </c>
      <c r="N266" s="21">
        <f>LEN(TRIM(CLEAN(SUBSTITUTE(ProjTextTable[[#This Row],[text]],CHAR(10)," "))))+1 - LEN(SUBSTITUTE(CLEAN(SUBSTITUTE(ProjTextTable[[#This Row],[text]],CHAR(10)," "))," ",""))</f>
        <v>407</v>
      </c>
      <c r="O266" t="s">
        <v>13</v>
      </c>
      <c r="P266" t="s">
        <v>1055</v>
      </c>
    </row>
    <row r="267" spans="1:16" x14ac:dyDescent="0.4">
      <c r="A267">
        <f t="shared" si="4"/>
        <v>39</v>
      </c>
      <c r="B267" t="s">
        <v>1056</v>
      </c>
      <c r="C267" t="s">
        <v>1057</v>
      </c>
      <c r="D267" t="s">
        <v>533</v>
      </c>
      <c r="E267" t="s">
        <v>654</v>
      </c>
      <c r="F267" t="s">
        <v>714</v>
      </c>
      <c r="G267" t="s">
        <v>715</v>
      </c>
      <c r="H267" t="s">
        <v>539</v>
      </c>
      <c r="I267" t="s">
        <v>535</v>
      </c>
      <c r="J267" t="s">
        <v>355</v>
      </c>
      <c r="K267" s="30">
        <v>43059</v>
      </c>
      <c r="L267" s="8">
        <v>43060.630347222221</v>
      </c>
      <c r="M267" s="21">
        <f>LEN(ProjTextTable[[#This Row],[text]])</f>
        <v>4888</v>
      </c>
      <c r="N267" s="21">
        <f>LEN(TRIM(CLEAN(SUBSTITUTE(ProjTextTable[[#This Row],[text]],CHAR(10)," "))))+1 - LEN(SUBSTITUTE(CLEAN(SUBSTITUTE(ProjTextTable[[#This Row],[text]],CHAR(10)," "))," ",""))</f>
        <v>721</v>
      </c>
      <c r="O267" t="s">
        <v>540</v>
      </c>
      <c r="P267" t="s">
        <v>1058</v>
      </c>
    </row>
    <row r="268" spans="1:16" x14ac:dyDescent="0.4">
      <c r="A268">
        <f t="shared" si="4"/>
        <v>39</v>
      </c>
      <c r="B268" t="s">
        <v>1056</v>
      </c>
      <c r="C268" t="s">
        <v>1057</v>
      </c>
      <c r="D268" t="s">
        <v>192</v>
      </c>
      <c r="E268" t="s">
        <v>611</v>
      </c>
      <c r="F268" t="s">
        <v>749</v>
      </c>
      <c r="G268" t="s">
        <v>750</v>
      </c>
      <c r="H268" t="s">
        <v>751</v>
      </c>
      <c r="I268" t="s">
        <v>201</v>
      </c>
      <c r="J268" t="s">
        <v>175</v>
      </c>
      <c r="K268" s="30">
        <v>43060</v>
      </c>
      <c r="L268" s="8">
        <v>43059.230451388888</v>
      </c>
      <c r="M268" s="21">
        <f>LEN(ProjTextTable[[#This Row],[text]])</f>
        <v>1637</v>
      </c>
      <c r="N268" s="21">
        <f>LEN(TRIM(CLEAN(SUBSTITUTE(ProjTextTable[[#This Row],[text]],CHAR(10)," "))))+1 - LEN(SUBSTITUTE(CLEAN(SUBSTITUTE(ProjTextTable[[#This Row],[text]],CHAR(10)," "))," ",""))</f>
        <v>239</v>
      </c>
      <c r="O268" t="s">
        <v>199</v>
      </c>
      <c r="P268" t="s">
        <v>1059</v>
      </c>
    </row>
    <row r="269" spans="1:16" x14ac:dyDescent="0.4">
      <c r="A269">
        <f t="shared" si="4"/>
        <v>39</v>
      </c>
      <c r="B269" t="s">
        <v>1056</v>
      </c>
      <c r="C269" t="s">
        <v>1057</v>
      </c>
      <c r="D269" t="s">
        <v>192</v>
      </c>
      <c r="E269" t="s">
        <v>654</v>
      </c>
      <c r="F269" t="s">
        <v>964</v>
      </c>
      <c r="G269" t="s">
        <v>965</v>
      </c>
      <c r="H269" t="s">
        <v>966</v>
      </c>
      <c r="I269" t="s">
        <v>201</v>
      </c>
      <c r="J269" t="s">
        <v>175</v>
      </c>
      <c r="K269" s="30">
        <v>43060</v>
      </c>
      <c r="L269" s="8">
        <v>43054.528622685182</v>
      </c>
      <c r="M269" s="21">
        <f>LEN(ProjTextTable[[#This Row],[text]])</f>
        <v>2260</v>
      </c>
      <c r="N269" s="21">
        <f>LEN(TRIM(CLEAN(SUBSTITUTE(ProjTextTable[[#This Row],[text]],CHAR(10)," "))))+1 - LEN(SUBSTITUTE(CLEAN(SUBSTITUTE(ProjTextTable[[#This Row],[text]],CHAR(10)," "))," ",""))</f>
        <v>328</v>
      </c>
      <c r="O269" t="s">
        <v>193</v>
      </c>
      <c r="P269" t="s">
        <v>1060</v>
      </c>
    </row>
    <row r="270" spans="1:16" x14ac:dyDescent="0.4">
      <c r="A270">
        <f t="shared" si="4"/>
        <v>39</v>
      </c>
      <c r="B270" t="s">
        <v>1056</v>
      </c>
      <c r="C270" t="s">
        <v>1057</v>
      </c>
      <c r="D270" t="s">
        <v>192</v>
      </c>
      <c r="E270" t="s">
        <v>611</v>
      </c>
      <c r="F270" t="s">
        <v>717</v>
      </c>
      <c r="G270" t="s">
        <v>718</v>
      </c>
      <c r="H270" t="s">
        <v>719</v>
      </c>
      <c r="I270" t="s">
        <v>201</v>
      </c>
      <c r="J270" t="s">
        <v>175</v>
      </c>
      <c r="K270" s="30">
        <v>43060</v>
      </c>
      <c r="L270" s="8">
        <v>43058.869027777779</v>
      </c>
      <c r="M270" s="21">
        <f>LEN(ProjTextTable[[#This Row],[text]])</f>
        <v>3271</v>
      </c>
      <c r="N270" s="21">
        <f>LEN(TRIM(CLEAN(SUBSTITUTE(ProjTextTable[[#This Row],[text]],CHAR(10)," "))))+1 - LEN(SUBSTITUTE(CLEAN(SUBSTITUTE(ProjTextTable[[#This Row],[text]],CHAR(10)," "))," ",""))</f>
        <v>467</v>
      </c>
      <c r="O270" t="s">
        <v>229</v>
      </c>
      <c r="P270" t="s">
        <v>1061</v>
      </c>
    </row>
    <row r="271" spans="1:16" x14ac:dyDescent="0.4">
      <c r="A271">
        <f t="shared" si="4"/>
        <v>39</v>
      </c>
      <c r="B271" t="s">
        <v>1056</v>
      </c>
      <c r="C271" t="s">
        <v>1057</v>
      </c>
      <c r="D271" t="s">
        <v>192</v>
      </c>
      <c r="E271" t="s">
        <v>611</v>
      </c>
      <c r="F271" t="s">
        <v>776</v>
      </c>
      <c r="G271" t="s">
        <v>777</v>
      </c>
      <c r="H271" t="s">
        <v>778</v>
      </c>
      <c r="I271" t="s">
        <v>201</v>
      </c>
      <c r="J271" t="s">
        <v>175</v>
      </c>
      <c r="K271" s="30">
        <v>43060</v>
      </c>
      <c r="L271" s="8">
        <v>43059.013773148145</v>
      </c>
      <c r="M271" s="21">
        <f>LEN(ProjTextTable[[#This Row],[text]])</f>
        <v>1390</v>
      </c>
      <c r="N271" s="21">
        <f>LEN(TRIM(CLEAN(SUBSTITUTE(ProjTextTable[[#This Row],[text]],CHAR(10)," "))))+1 - LEN(SUBSTITUTE(CLEAN(SUBSTITUTE(ProjTextTable[[#This Row],[text]],CHAR(10)," "))," ",""))</f>
        <v>202</v>
      </c>
      <c r="O271" t="s">
        <v>193</v>
      </c>
      <c r="P271" t="s">
        <v>1062</v>
      </c>
    </row>
    <row r="272" spans="1:16" x14ac:dyDescent="0.4">
      <c r="A272">
        <f t="shared" si="4"/>
        <v>39</v>
      </c>
      <c r="B272" t="s">
        <v>1056</v>
      </c>
      <c r="C272" t="s">
        <v>1057</v>
      </c>
      <c r="D272" t="s">
        <v>194</v>
      </c>
      <c r="E272" t="s">
        <v>654</v>
      </c>
      <c r="F272" t="s">
        <v>13</v>
      </c>
      <c r="G272" t="s">
        <v>13</v>
      </c>
      <c r="H272" t="s">
        <v>13</v>
      </c>
      <c r="K272" s="30"/>
      <c r="L272" s="8">
        <v>42936.045300925929</v>
      </c>
      <c r="M272" s="21">
        <f>LEN(ProjTextTable[[#This Row],[text]])</f>
        <v>3037</v>
      </c>
      <c r="N272" s="21">
        <f>LEN(TRIM(CLEAN(SUBSTITUTE(ProjTextTable[[#This Row],[text]],CHAR(10)," "))))+1 - LEN(SUBSTITUTE(CLEAN(SUBSTITUTE(ProjTextTable[[#This Row],[text]],CHAR(10)," "))," ",""))</f>
        <v>442</v>
      </c>
      <c r="O272" t="s">
        <v>13</v>
      </c>
      <c r="P272" t="s">
        <v>1063</v>
      </c>
    </row>
    <row r="273" spans="1:16" x14ac:dyDescent="0.4">
      <c r="A273">
        <f t="shared" si="4"/>
        <v>40</v>
      </c>
      <c r="B273" t="s">
        <v>1064</v>
      </c>
      <c r="C273" t="s">
        <v>1065</v>
      </c>
      <c r="D273" t="s">
        <v>533</v>
      </c>
      <c r="E273" t="s">
        <v>611</v>
      </c>
      <c r="F273" t="s">
        <v>714</v>
      </c>
      <c r="G273" t="s">
        <v>715</v>
      </c>
      <c r="H273" t="s">
        <v>541</v>
      </c>
      <c r="I273" t="s">
        <v>536</v>
      </c>
      <c r="J273" t="s">
        <v>877</v>
      </c>
      <c r="K273" s="30">
        <v>43059</v>
      </c>
      <c r="L273" s="8">
        <v>43060.598935185182</v>
      </c>
      <c r="M273" s="21">
        <f>LEN(ProjTextTable[[#This Row],[text]])</f>
        <v>2400</v>
      </c>
      <c r="N273" s="21">
        <f>LEN(TRIM(CLEAN(SUBSTITUTE(ProjTextTable[[#This Row],[text]],CHAR(10)," "))))+1 - LEN(SUBSTITUTE(CLEAN(SUBSTITUTE(ProjTextTable[[#This Row],[text]],CHAR(10)," "))," ",""))</f>
        <v>348</v>
      </c>
      <c r="O273" t="s">
        <v>542</v>
      </c>
      <c r="P273" t="s">
        <v>1066</v>
      </c>
    </row>
    <row r="274" spans="1:16" x14ac:dyDescent="0.4">
      <c r="A274">
        <f t="shared" si="4"/>
        <v>40</v>
      </c>
      <c r="B274" t="s">
        <v>1064</v>
      </c>
      <c r="C274" t="s">
        <v>1065</v>
      </c>
      <c r="D274" t="s">
        <v>2</v>
      </c>
      <c r="E274" t="s">
        <v>611</v>
      </c>
      <c r="F274" t="s">
        <v>13</v>
      </c>
      <c r="G274" t="s">
        <v>609</v>
      </c>
      <c r="H274" t="s">
        <v>13</v>
      </c>
      <c r="I274" t="s">
        <v>13</v>
      </c>
      <c r="K274" s="30"/>
      <c r="L274" s="8">
        <v>43082.663402777776</v>
      </c>
      <c r="M274" s="21">
        <f>LEN(ProjTextTable[[#This Row],[text]])</f>
        <v>1918</v>
      </c>
      <c r="N274" s="21">
        <f>LEN(TRIM(CLEAN(SUBSTITUTE(ProjTextTable[[#This Row],[text]],CHAR(10)," "))))+1 - LEN(SUBSTITUTE(CLEAN(SUBSTITUTE(ProjTextTable[[#This Row],[text]],CHAR(10)," "))," ",""))</f>
        <v>282</v>
      </c>
      <c r="O274" t="s">
        <v>13</v>
      </c>
      <c r="P274" t="s">
        <v>1067</v>
      </c>
    </row>
    <row r="275" spans="1:16" x14ac:dyDescent="0.4">
      <c r="A275">
        <f t="shared" si="4"/>
        <v>40</v>
      </c>
      <c r="B275" t="s">
        <v>1064</v>
      </c>
      <c r="C275" t="s">
        <v>1065</v>
      </c>
      <c r="D275" t="s">
        <v>192</v>
      </c>
      <c r="E275" t="s">
        <v>611</v>
      </c>
      <c r="F275" t="s">
        <v>745</v>
      </c>
      <c r="G275" t="s">
        <v>746</v>
      </c>
      <c r="H275" t="s">
        <v>747</v>
      </c>
      <c r="I275" t="s">
        <v>201</v>
      </c>
      <c r="J275" t="s">
        <v>175</v>
      </c>
      <c r="K275" s="30">
        <v>43060</v>
      </c>
      <c r="L275" s="8">
        <v>43055.929837962962</v>
      </c>
      <c r="M275" s="21">
        <f>LEN(ProjTextTable[[#This Row],[text]])</f>
        <v>1881</v>
      </c>
      <c r="N275" s="21">
        <f>LEN(TRIM(CLEAN(SUBSTITUTE(ProjTextTable[[#This Row],[text]],CHAR(10)," "))))+1 - LEN(SUBSTITUTE(CLEAN(SUBSTITUTE(ProjTextTable[[#This Row],[text]],CHAR(10)," "))," ",""))</f>
        <v>271</v>
      </c>
      <c r="O275" t="s">
        <v>196</v>
      </c>
      <c r="P275" t="s">
        <v>1068</v>
      </c>
    </row>
    <row r="276" spans="1:16" x14ac:dyDescent="0.4">
      <c r="A276">
        <f t="shared" si="4"/>
        <v>40</v>
      </c>
      <c r="B276" t="s">
        <v>1064</v>
      </c>
      <c r="C276" t="s">
        <v>1065</v>
      </c>
      <c r="D276" t="s">
        <v>192</v>
      </c>
      <c r="E276" t="s">
        <v>611</v>
      </c>
      <c r="F276" t="s">
        <v>776</v>
      </c>
      <c r="G276" t="s">
        <v>777</v>
      </c>
      <c r="H276" t="s">
        <v>778</v>
      </c>
      <c r="I276" t="s">
        <v>201</v>
      </c>
      <c r="J276" t="s">
        <v>175</v>
      </c>
      <c r="K276" s="30">
        <v>43060</v>
      </c>
      <c r="L276" s="8">
        <v>43058.99627314815</v>
      </c>
      <c r="M276" s="21">
        <f>LEN(ProjTextTable[[#This Row],[text]])</f>
        <v>2482</v>
      </c>
      <c r="N276" s="21">
        <f>LEN(TRIM(CLEAN(SUBSTITUTE(ProjTextTable[[#This Row],[text]],CHAR(10)," "))))+1 - LEN(SUBSTITUTE(CLEAN(SUBSTITUTE(ProjTextTable[[#This Row],[text]],CHAR(10)," "))," ",""))</f>
        <v>372</v>
      </c>
      <c r="O276" t="s">
        <v>196</v>
      </c>
      <c r="P276" t="s">
        <v>1069</v>
      </c>
    </row>
    <row r="277" spans="1:16" x14ac:dyDescent="0.4">
      <c r="A277">
        <f t="shared" si="4"/>
        <v>40</v>
      </c>
      <c r="B277" t="s">
        <v>1064</v>
      </c>
      <c r="C277" t="s">
        <v>1065</v>
      </c>
      <c r="D277" t="s">
        <v>192</v>
      </c>
      <c r="E277" t="s">
        <v>611</v>
      </c>
      <c r="F277" t="s">
        <v>891</v>
      </c>
      <c r="G277" t="s">
        <v>892</v>
      </c>
      <c r="H277" t="s">
        <v>893</v>
      </c>
      <c r="I277" t="s">
        <v>201</v>
      </c>
      <c r="J277" t="s">
        <v>175</v>
      </c>
      <c r="K277" s="30">
        <v>43060</v>
      </c>
      <c r="L277" s="8">
        <v>43058.923993055556</v>
      </c>
      <c r="M277" s="21">
        <f>LEN(ProjTextTable[[#This Row],[text]])</f>
        <v>3470</v>
      </c>
      <c r="N277" s="21">
        <f>LEN(TRIM(CLEAN(SUBSTITUTE(ProjTextTable[[#This Row],[text]],CHAR(10)," "))))+1 - LEN(SUBSTITUTE(CLEAN(SUBSTITUTE(ProjTextTable[[#This Row],[text]],CHAR(10)," "))," ",""))</f>
        <v>527</v>
      </c>
      <c r="O277" t="s">
        <v>196</v>
      </c>
      <c r="P277" t="s">
        <v>1070</v>
      </c>
    </row>
    <row r="278" spans="1:16" x14ac:dyDescent="0.4">
      <c r="A278">
        <f t="shared" si="4"/>
        <v>40</v>
      </c>
      <c r="B278" t="s">
        <v>1064</v>
      </c>
      <c r="C278" t="s">
        <v>1065</v>
      </c>
      <c r="D278" t="s">
        <v>192</v>
      </c>
      <c r="E278" t="s">
        <v>611</v>
      </c>
      <c r="F278" t="s">
        <v>729</v>
      </c>
      <c r="G278" t="s">
        <v>730</v>
      </c>
      <c r="H278" t="s">
        <v>731</v>
      </c>
      <c r="I278" t="s">
        <v>201</v>
      </c>
      <c r="J278" t="s">
        <v>175</v>
      </c>
      <c r="K278" s="30">
        <v>43060</v>
      </c>
      <c r="L278" s="8">
        <v>43056.743946759256</v>
      </c>
      <c r="M278" s="21">
        <f>LEN(ProjTextTable[[#This Row],[text]])</f>
        <v>1413</v>
      </c>
      <c r="N278" s="21">
        <f>LEN(TRIM(CLEAN(SUBSTITUTE(ProjTextTable[[#This Row],[text]],CHAR(10)," "))))+1 - LEN(SUBSTITUTE(CLEAN(SUBSTITUTE(ProjTextTable[[#This Row],[text]],CHAR(10)," "))," ",""))</f>
        <v>211</v>
      </c>
      <c r="O278" t="s">
        <v>193</v>
      </c>
      <c r="P278" t="s">
        <v>1071</v>
      </c>
    </row>
    <row r="279" spans="1:16" x14ac:dyDescent="0.4">
      <c r="A279">
        <f t="shared" si="4"/>
        <v>40</v>
      </c>
      <c r="B279" t="s">
        <v>1064</v>
      </c>
      <c r="C279" t="s">
        <v>1065</v>
      </c>
      <c r="D279" t="s">
        <v>194</v>
      </c>
      <c r="E279" t="s">
        <v>611</v>
      </c>
      <c r="F279" t="s">
        <v>13</v>
      </c>
      <c r="G279" t="s">
        <v>13</v>
      </c>
      <c r="H279" t="s">
        <v>13</v>
      </c>
      <c r="K279" s="30"/>
      <c r="L279" s="8">
        <v>42936.045428240737</v>
      </c>
      <c r="M279" s="21">
        <f>LEN(ProjTextTable[[#This Row],[text]])</f>
        <v>3199</v>
      </c>
      <c r="N279" s="21">
        <f>LEN(TRIM(CLEAN(SUBSTITUTE(ProjTextTable[[#This Row],[text]],CHAR(10)," "))))+1 - LEN(SUBSTITUTE(CLEAN(SUBSTITUTE(ProjTextTable[[#This Row],[text]],CHAR(10)," "))," ",""))</f>
        <v>448</v>
      </c>
      <c r="O279" t="s">
        <v>13</v>
      </c>
      <c r="P279" t="s">
        <v>1072</v>
      </c>
    </row>
    <row r="280" spans="1:16" x14ac:dyDescent="0.4">
      <c r="A280">
        <f t="shared" si="4"/>
        <v>41</v>
      </c>
      <c r="B280" t="s">
        <v>1073</v>
      </c>
      <c r="C280" t="s">
        <v>1074</v>
      </c>
      <c r="D280" t="s">
        <v>533</v>
      </c>
      <c r="E280" t="s">
        <v>611</v>
      </c>
      <c r="F280" t="s">
        <v>605</v>
      </c>
      <c r="G280" t="s">
        <v>606</v>
      </c>
      <c r="H280" t="s">
        <v>539</v>
      </c>
      <c r="I280" t="s">
        <v>535</v>
      </c>
      <c r="J280" t="s">
        <v>1075</v>
      </c>
      <c r="K280" s="30">
        <v>43031</v>
      </c>
      <c r="L280" s="8">
        <v>43032.641006944446</v>
      </c>
      <c r="M280" s="21">
        <f>LEN(ProjTextTable[[#This Row],[text]])</f>
        <v>2460</v>
      </c>
      <c r="N280" s="21">
        <f>LEN(TRIM(CLEAN(SUBSTITUTE(ProjTextTable[[#This Row],[text]],CHAR(10)," "))))+1 - LEN(SUBSTITUTE(CLEAN(SUBSTITUTE(ProjTextTable[[#This Row],[text]],CHAR(10)," "))," ",""))</f>
        <v>343</v>
      </c>
      <c r="O280" t="s">
        <v>540</v>
      </c>
      <c r="P280" t="s">
        <v>1076</v>
      </c>
    </row>
    <row r="281" spans="1:16" x14ac:dyDescent="0.4">
      <c r="A281">
        <f t="shared" si="4"/>
        <v>41</v>
      </c>
      <c r="B281" t="s">
        <v>1073</v>
      </c>
      <c r="C281" t="s">
        <v>1074</v>
      </c>
      <c r="D281" t="s">
        <v>192</v>
      </c>
      <c r="E281" t="s">
        <v>611</v>
      </c>
      <c r="F281" t="s">
        <v>635</v>
      </c>
      <c r="G281" t="s">
        <v>636</v>
      </c>
      <c r="H281" t="s">
        <v>637</v>
      </c>
      <c r="I281" t="s">
        <v>201</v>
      </c>
      <c r="J281" t="s">
        <v>175</v>
      </c>
      <c r="K281" s="30">
        <v>43032</v>
      </c>
      <c r="L281" s="8">
        <v>43031.434907407405</v>
      </c>
      <c r="M281" s="21">
        <f>LEN(ProjTextTable[[#This Row],[text]])</f>
        <v>3265</v>
      </c>
      <c r="N281" s="21">
        <f>LEN(TRIM(CLEAN(SUBSTITUTE(ProjTextTable[[#This Row],[text]],CHAR(10)," "))))+1 - LEN(SUBSTITUTE(CLEAN(SUBSTITUTE(ProjTextTable[[#This Row],[text]],CHAR(10)," "))," ",""))</f>
        <v>506</v>
      </c>
      <c r="O281" t="s">
        <v>196</v>
      </c>
      <c r="P281" t="s">
        <v>1077</v>
      </c>
    </row>
    <row r="282" spans="1:16" x14ac:dyDescent="0.4">
      <c r="A282">
        <f t="shared" si="4"/>
        <v>41</v>
      </c>
      <c r="B282" t="s">
        <v>1073</v>
      </c>
      <c r="C282" t="s">
        <v>1074</v>
      </c>
      <c r="D282" t="s">
        <v>192</v>
      </c>
      <c r="E282" t="s">
        <v>611</v>
      </c>
      <c r="F282" t="s">
        <v>688</v>
      </c>
      <c r="G282" t="s">
        <v>689</v>
      </c>
      <c r="H282" t="s">
        <v>690</v>
      </c>
      <c r="I282" t="s">
        <v>201</v>
      </c>
      <c r="J282" t="s">
        <v>175</v>
      </c>
      <c r="K282" s="30">
        <v>43032</v>
      </c>
      <c r="L282" s="8">
        <v>43030.882361111115</v>
      </c>
      <c r="M282" s="21">
        <f>LEN(ProjTextTable[[#This Row],[text]])</f>
        <v>2182</v>
      </c>
      <c r="N282" s="21">
        <f>LEN(TRIM(CLEAN(SUBSTITUTE(ProjTextTable[[#This Row],[text]],CHAR(10)," "))))+1 - LEN(SUBSTITUTE(CLEAN(SUBSTITUTE(ProjTextTable[[#This Row],[text]],CHAR(10)," "))," ",""))</f>
        <v>333</v>
      </c>
      <c r="O282" t="s">
        <v>196</v>
      </c>
      <c r="P282" t="s">
        <v>1078</v>
      </c>
    </row>
    <row r="283" spans="1:16" x14ac:dyDescent="0.4">
      <c r="A283">
        <f t="shared" si="4"/>
        <v>41</v>
      </c>
      <c r="B283" t="s">
        <v>1073</v>
      </c>
      <c r="C283" t="s">
        <v>1074</v>
      </c>
      <c r="D283" t="s">
        <v>192</v>
      </c>
      <c r="E283" t="s">
        <v>611</v>
      </c>
      <c r="F283" t="s">
        <v>639</v>
      </c>
      <c r="G283" t="s">
        <v>640</v>
      </c>
      <c r="H283" t="s">
        <v>641</v>
      </c>
      <c r="I283" t="s">
        <v>201</v>
      </c>
      <c r="J283" t="s">
        <v>175</v>
      </c>
      <c r="K283" s="30">
        <v>43032</v>
      </c>
      <c r="L283" s="8">
        <v>43030.173541666663</v>
      </c>
      <c r="M283" s="21">
        <f>LEN(ProjTextTable[[#This Row],[text]])</f>
        <v>1948</v>
      </c>
      <c r="N283" s="21">
        <f>LEN(TRIM(CLEAN(SUBSTITUTE(ProjTextTable[[#This Row],[text]],CHAR(10)," "))))+1 - LEN(SUBSTITUTE(CLEAN(SUBSTITUTE(ProjTextTable[[#This Row],[text]],CHAR(10)," "))," ",""))</f>
        <v>276</v>
      </c>
      <c r="O283" t="s">
        <v>193</v>
      </c>
      <c r="P283" t="s">
        <v>1079</v>
      </c>
    </row>
    <row r="284" spans="1:16" x14ac:dyDescent="0.4">
      <c r="A284">
        <f t="shared" si="4"/>
        <v>41</v>
      </c>
      <c r="B284" t="s">
        <v>1073</v>
      </c>
      <c r="C284" t="s">
        <v>1074</v>
      </c>
      <c r="D284" t="s">
        <v>192</v>
      </c>
      <c r="E284" t="s">
        <v>611</v>
      </c>
      <c r="F284" t="s">
        <v>647</v>
      </c>
      <c r="G284" t="s">
        <v>648</v>
      </c>
      <c r="H284" t="s">
        <v>649</v>
      </c>
      <c r="I284" t="s">
        <v>201</v>
      </c>
      <c r="J284" t="s">
        <v>175</v>
      </c>
      <c r="K284" s="30">
        <v>43032</v>
      </c>
      <c r="L284" s="8">
        <v>43030.798495370371</v>
      </c>
      <c r="M284" s="21">
        <f>LEN(ProjTextTable[[#This Row],[text]])</f>
        <v>2495</v>
      </c>
      <c r="N284" s="21">
        <f>LEN(TRIM(CLEAN(SUBSTITUTE(ProjTextTable[[#This Row],[text]],CHAR(10)," "))))+1 - LEN(SUBSTITUTE(CLEAN(SUBSTITUTE(ProjTextTable[[#This Row],[text]],CHAR(10)," "))," ",""))</f>
        <v>381</v>
      </c>
      <c r="O284" t="s">
        <v>196</v>
      </c>
      <c r="P284" t="s">
        <v>1080</v>
      </c>
    </row>
    <row r="285" spans="1:16" x14ac:dyDescent="0.4">
      <c r="A285">
        <f t="shared" si="4"/>
        <v>41</v>
      </c>
      <c r="B285" t="s">
        <v>1073</v>
      </c>
      <c r="C285" t="s">
        <v>1074</v>
      </c>
      <c r="D285" t="s">
        <v>194</v>
      </c>
      <c r="E285" t="s">
        <v>611</v>
      </c>
      <c r="F285" t="s">
        <v>13</v>
      </c>
      <c r="G285" t="s">
        <v>13</v>
      </c>
      <c r="H285" t="s">
        <v>13</v>
      </c>
      <c r="K285" s="30"/>
      <c r="L285" s="8">
        <v>42936.045486111114</v>
      </c>
      <c r="M285" s="21">
        <f>LEN(ProjTextTable[[#This Row],[text]])</f>
        <v>3779</v>
      </c>
      <c r="N285" s="21">
        <f>LEN(TRIM(CLEAN(SUBSTITUTE(ProjTextTable[[#This Row],[text]],CHAR(10)," "))))+1 - LEN(SUBSTITUTE(CLEAN(SUBSTITUTE(ProjTextTable[[#This Row],[text]],CHAR(10)," "))," ",""))</f>
        <v>548</v>
      </c>
      <c r="O285" t="s">
        <v>13</v>
      </c>
      <c r="P285" t="s">
        <v>1081</v>
      </c>
    </row>
    <row r="286" spans="1:16" x14ac:dyDescent="0.4">
      <c r="A286">
        <f t="shared" si="4"/>
        <v>42</v>
      </c>
      <c r="B286" t="s">
        <v>1082</v>
      </c>
      <c r="C286" t="s">
        <v>1083</v>
      </c>
      <c r="D286" t="s">
        <v>533</v>
      </c>
      <c r="E286" t="s">
        <v>654</v>
      </c>
      <c r="F286" t="s">
        <v>605</v>
      </c>
      <c r="G286" t="s">
        <v>606</v>
      </c>
      <c r="H286" t="s">
        <v>541</v>
      </c>
      <c r="I286" t="s">
        <v>536</v>
      </c>
      <c r="J286" t="s">
        <v>632</v>
      </c>
      <c r="K286" s="30">
        <v>43031</v>
      </c>
      <c r="L286" s="8">
        <v>43032.65483796296</v>
      </c>
      <c r="M286" s="21">
        <f>LEN(ProjTextTable[[#This Row],[text]])</f>
        <v>2769</v>
      </c>
      <c r="N286" s="21">
        <f>LEN(TRIM(CLEAN(SUBSTITUTE(ProjTextTable[[#This Row],[text]],CHAR(10)," "))))+1 - LEN(SUBSTITUTE(CLEAN(SUBSTITUTE(ProjTextTable[[#This Row],[text]],CHAR(10)," "))," ",""))</f>
        <v>402</v>
      </c>
      <c r="O286" t="s">
        <v>542</v>
      </c>
      <c r="P286" t="s">
        <v>1084</v>
      </c>
    </row>
    <row r="287" spans="1:16" x14ac:dyDescent="0.4">
      <c r="A287">
        <f t="shared" si="4"/>
        <v>42</v>
      </c>
      <c r="B287" t="s">
        <v>1082</v>
      </c>
      <c r="C287" t="s">
        <v>1083</v>
      </c>
      <c r="D287" t="s">
        <v>2</v>
      </c>
      <c r="E287" t="s">
        <v>654</v>
      </c>
      <c r="F287" t="s">
        <v>13</v>
      </c>
      <c r="G287" t="s">
        <v>609</v>
      </c>
      <c r="H287" t="s">
        <v>13</v>
      </c>
      <c r="I287" t="s">
        <v>13</v>
      </c>
      <c r="K287" s="30"/>
      <c r="L287" s="8">
        <v>43082.669027777774</v>
      </c>
      <c r="M287" s="21">
        <f>LEN(ProjTextTable[[#This Row],[text]])</f>
        <v>1909</v>
      </c>
      <c r="N287" s="21">
        <f>LEN(TRIM(CLEAN(SUBSTITUTE(ProjTextTable[[#This Row],[text]],CHAR(10)," "))))+1 - LEN(SUBSTITUTE(CLEAN(SUBSTITUTE(ProjTextTable[[#This Row],[text]],CHAR(10)," "))," ",""))</f>
        <v>281</v>
      </c>
      <c r="O287" t="s">
        <v>13</v>
      </c>
      <c r="P287" t="s">
        <v>1085</v>
      </c>
    </row>
    <row r="288" spans="1:16" x14ac:dyDescent="0.4">
      <c r="A288">
        <f t="shared" si="4"/>
        <v>42</v>
      </c>
      <c r="B288" t="s">
        <v>1082</v>
      </c>
      <c r="C288" t="s">
        <v>1083</v>
      </c>
      <c r="D288" t="s">
        <v>192</v>
      </c>
      <c r="E288" t="s">
        <v>611</v>
      </c>
      <c r="F288" t="s">
        <v>688</v>
      </c>
      <c r="G288" t="s">
        <v>689</v>
      </c>
      <c r="H288" t="s">
        <v>690</v>
      </c>
      <c r="I288" t="s">
        <v>201</v>
      </c>
      <c r="J288" t="s">
        <v>175</v>
      </c>
      <c r="K288" s="30">
        <v>43032</v>
      </c>
      <c r="L288" s="8">
        <v>43030.883020833331</v>
      </c>
      <c r="M288" s="21">
        <f>LEN(ProjTextTable[[#This Row],[text]])</f>
        <v>4197</v>
      </c>
      <c r="N288" s="21">
        <f>LEN(TRIM(CLEAN(SUBSTITUTE(ProjTextTable[[#This Row],[text]],CHAR(10)," "))))+1 - LEN(SUBSTITUTE(CLEAN(SUBSTITUTE(ProjTextTable[[#This Row],[text]],CHAR(10)," "))," ",""))</f>
        <v>668</v>
      </c>
      <c r="O288" t="s">
        <v>196</v>
      </c>
      <c r="P288" t="s">
        <v>1086</v>
      </c>
    </row>
    <row r="289" spans="1:16" x14ac:dyDescent="0.4">
      <c r="A289">
        <f t="shared" si="4"/>
        <v>42</v>
      </c>
      <c r="B289" t="s">
        <v>1082</v>
      </c>
      <c r="C289" t="s">
        <v>1083</v>
      </c>
      <c r="D289" t="s">
        <v>192</v>
      </c>
      <c r="E289" t="s">
        <v>611</v>
      </c>
      <c r="F289" t="s">
        <v>639</v>
      </c>
      <c r="G289" t="s">
        <v>640</v>
      </c>
      <c r="H289" t="s">
        <v>641</v>
      </c>
      <c r="I289" t="s">
        <v>201</v>
      </c>
      <c r="J289" t="s">
        <v>175</v>
      </c>
      <c r="K289" s="30">
        <v>43032</v>
      </c>
      <c r="L289" s="8">
        <v>43030.171967592592</v>
      </c>
      <c r="M289" s="21">
        <f>LEN(ProjTextTable[[#This Row],[text]])</f>
        <v>1906</v>
      </c>
      <c r="N289" s="21">
        <f>LEN(TRIM(CLEAN(SUBSTITUTE(ProjTextTable[[#This Row],[text]],CHAR(10)," "))))+1 - LEN(SUBSTITUTE(CLEAN(SUBSTITUTE(ProjTextTable[[#This Row],[text]],CHAR(10)," "))," ",""))</f>
        <v>276</v>
      </c>
      <c r="O289" t="s">
        <v>193</v>
      </c>
      <c r="P289" t="s">
        <v>1087</v>
      </c>
    </row>
    <row r="290" spans="1:16" x14ac:dyDescent="0.4">
      <c r="A290">
        <f t="shared" si="4"/>
        <v>42</v>
      </c>
      <c r="B290" t="s">
        <v>1082</v>
      </c>
      <c r="C290" t="s">
        <v>1083</v>
      </c>
      <c r="D290" t="s">
        <v>192</v>
      </c>
      <c r="E290" t="s">
        <v>611</v>
      </c>
      <c r="F290" t="s">
        <v>617</v>
      </c>
      <c r="G290" t="s">
        <v>618</v>
      </c>
      <c r="H290" t="s">
        <v>619</v>
      </c>
      <c r="I290" t="s">
        <v>201</v>
      </c>
      <c r="J290" t="s">
        <v>175</v>
      </c>
      <c r="K290" s="30">
        <v>43032</v>
      </c>
      <c r="L290" s="8">
        <v>43031.362187500003</v>
      </c>
      <c r="M290" s="21">
        <f>LEN(ProjTextTable[[#This Row],[text]])</f>
        <v>2284</v>
      </c>
      <c r="N290" s="21">
        <f>LEN(TRIM(CLEAN(SUBSTITUTE(ProjTextTable[[#This Row],[text]],CHAR(10)," "))))+1 - LEN(SUBSTITUTE(CLEAN(SUBSTITUTE(ProjTextTable[[#This Row],[text]],CHAR(10)," "))," ",""))</f>
        <v>353</v>
      </c>
      <c r="O290" t="s">
        <v>198</v>
      </c>
      <c r="P290" t="s">
        <v>1088</v>
      </c>
    </row>
    <row r="291" spans="1:16" x14ac:dyDescent="0.4">
      <c r="A291">
        <f t="shared" si="4"/>
        <v>42</v>
      </c>
      <c r="B291" t="s">
        <v>1082</v>
      </c>
      <c r="C291" t="s">
        <v>1083</v>
      </c>
      <c r="D291" t="s">
        <v>192</v>
      </c>
      <c r="E291" t="s">
        <v>611</v>
      </c>
      <c r="F291" t="s">
        <v>692</v>
      </c>
      <c r="G291" t="s">
        <v>693</v>
      </c>
      <c r="H291" t="s">
        <v>694</v>
      </c>
      <c r="I291" t="s">
        <v>201</v>
      </c>
      <c r="J291" t="s">
        <v>175</v>
      </c>
      <c r="K291" s="30">
        <v>43032</v>
      </c>
      <c r="L291" s="8">
        <v>43031.703900462962</v>
      </c>
      <c r="M291" s="21">
        <f>LEN(ProjTextTable[[#This Row],[text]])</f>
        <v>2598</v>
      </c>
      <c r="N291" s="21">
        <f>LEN(TRIM(CLEAN(SUBSTITUTE(ProjTextTable[[#This Row],[text]],CHAR(10)," "))))+1 - LEN(SUBSTITUTE(CLEAN(SUBSTITUTE(ProjTextTable[[#This Row],[text]],CHAR(10)," "))," ",""))</f>
        <v>394</v>
      </c>
      <c r="O291" t="s">
        <v>199</v>
      </c>
      <c r="P291" t="s">
        <v>1089</v>
      </c>
    </row>
    <row r="292" spans="1:16" x14ac:dyDescent="0.4">
      <c r="A292">
        <f t="shared" si="4"/>
        <v>42</v>
      </c>
      <c r="B292" t="s">
        <v>1082</v>
      </c>
      <c r="C292" t="s">
        <v>1083</v>
      </c>
      <c r="D292" t="s">
        <v>194</v>
      </c>
      <c r="E292" t="s">
        <v>654</v>
      </c>
      <c r="F292" t="s">
        <v>13</v>
      </c>
      <c r="G292" t="s">
        <v>13</v>
      </c>
      <c r="H292" t="s">
        <v>13</v>
      </c>
      <c r="K292" s="30"/>
      <c r="L292" s="8">
        <v>42936.045902777776</v>
      </c>
      <c r="M292" s="21">
        <f>LEN(ProjTextTable[[#This Row],[text]])</f>
        <v>3366</v>
      </c>
      <c r="N292" s="21">
        <f>LEN(TRIM(CLEAN(SUBSTITUTE(ProjTextTable[[#This Row],[text]],CHAR(10)," "))))+1 - LEN(SUBSTITUTE(CLEAN(SUBSTITUTE(ProjTextTable[[#This Row],[text]],CHAR(10)," "))," ",""))</f>
        <v>485</v>
      </c>
      <c r="O292" t="s">
        <v>13</v>
      </c>
      <c r="P292" t="s">
        <v>1090</v>
      </c>
    </row>
    <row r="293" spans="1:16" x14ac:dyDescent="0.4">
      <c r="A293">
        <f t="shared" si="4"/>
        <v>43</v>
      </c>
      <c r="B293" t="s">
        <v>1091</v>
      </c>
      <c r="C293" t="s">
        <v>1092</v>
      </c>
      <c r="D293" t="s">
        <v>533</v>
      </c>
      <c r="E293" t="s">
        <v>1093</v>
      </c>
      <c r="F293" t="s">
        <v>714</v>
      </c>
      <c r="G293" t="s">
        <v>715</v>
      </c>
      <c r="H293" t="s">
        <v>546</v>
      </c>
      <c r="I293" t="s">
        <v>538</v>
      </c>
      <c r="J293" t="s">
        <v>1075</v>
      </c>
      <c r="K293" s="30">
        <v>43059</v>
      </c>
      <c r="L293" s="8">
        <v>43060.591979166667</v>
      </c>
      <c r="M293" s="21">
        <f>LEN(ProjTextTable[[#This Row],[text]])</f>
        <v>2674</v>
      </c>
      <c r="N293" s="21">
        <f>LEN(TRIM(CLEAN(SUBSTITUTE(ProjTextTable[[#This Row],[text]],CHAR(10)," "))))+1 - LEN(SUBSTITUTE(CLEAN(SUBSTITUTE(ProjTextTable[[#This Row],[text]],CHAR(10)," "))," ",""))</f>
        <v>394</v>
      </c>
      <c r="O293" t="s">
        <v>309</v>
      </c>
      <c r="P293" t="s">
        <v>1094</v>
      </c>
    </row>
    <row r="294" spans="1:16" x14ac:dyDescent="0.4">
      <c r="A294">
        <f t="shared" si="4"/>
        <v>43</v>
      </c>
      <c r="B294" t="s">
        <v>1091</v>
      </c>
      <c r="C294" t="s">
        <v>1092</v>
      </c>
      <c r="D294" t="s">
        <v>533</v>
      </c>
      <c r="E294" t="s">
        <v>1093</v>
      </c>
      <c r="F294" t="s">
        <v>1095</v>
      </c>
      <c r="G294" t="s">
        <v>1096</v>
      </c>
      <c r="H294" t="s">
        <v>543</v>
      </c>
      <c r="I294" t="s">
        <v>537</v>
      </c>
      <c r="J294" t="s">
        <v>537</v>
      </c>
      <c r="K294" s="30">
        <v>43073</v>
      </c>
      <c r="L294" s="8">
        <v>43074.463912037034</v>
      </c>
      <c r="M294" s="21">
        <f>LEN(ProjTextTable[[#This Row],[text]])</f>
        <v>4180</v>
      </c>
      <c r="N294" s="21">
        <f>LEN(TRIM(CLEAN(SUBSTITUTE(ProjTextTable[[#This Row],[text]],CHAR(10)," "))))+1 - LEN(SUBSTITUTE(CLEAN(SUBSTITUTE(ProjTextTable[[#This Row],[text]],CHAR(10)," "))," ",""))</f>
        <v>594</v>
      </c>
      <c r="O294" t="s">
        <v>544</v>
      </c>
      <c r="P294" t="s">
        <v>1097</v>
      </c>
    </row>
    <row r="295" spans="1:16" x14ac:dyDescent="0.4">
      <c r="A295">
        <f t="shared" si="4"/>
        <v>43</v>
      </c>
      <c r="B295" t="s">
        <v>1091</v>
      </c>
      <c r="C295" t="s">
        <v>1092</v>
      </c>
      <c r="D295" t="s">
        <v>192</v>
      </c>
      <c r="E295" t="s">
        <v>1093</v>
      </c>
      <c r="F295" t="s">
        <v>799</v>
      </c>
      <c r="G295" t="s">
        <v>800</v>
      </c>
      <c r="H295" t="s">
        <v>801</v>
      </c>
      <c r="I295" t="s">
        <v>201</v>
      </c>
      <c r="J295" t="s">
        <v>175</v>
      </c>
      <c r="K295" s="30">
        <v>43060</v>
      </c>
      <c r="L295" s="8">
        <v>43056.609085648146</v>
      </c>
      <c r="M295" s="21">
        <f>LEN(ProjTextTable[[#This Row],[text]])</f>
        <v>3303</v>
      </c>
      <c r="N295" s="21">
        <f>LEN(TRIM(CLEAN(SUBSTITUTE(ProjTextTable[[#This Row],[text]],CHAR(10)," "))))+1 - LEN(SUBSTITUTE(CLEAN(SUBSTITUTE(ProjTextTable[[#This Row],[text]],CHAR(10)," "))," ",""))</f>
        <v>519</v>
      </c>
      <c r="O295" t="s">
        <v>197</v>
      </c>
      <c r="P295" t="s">
        <v>1098</v>
      </c>
    </row>
    <row r="296" spans="1:16" x14ac:dyDescent="0.4">
      <c r="A296">
        <f t="shared" si="4"/>
        <v>43</v>
      </c>
      <c r="B296" t="s">
        <v>1091</v>
      </c>
      <c r="C296" t="s">
        <v>1092</v>
      </c>
      <c r="D296" t="s">
        <v>192</v>
      </c>
      <c r="E296" t="s">
        <v>1093</v>
      </c>
      <c r="F296" t="s">
        <v>745</v>
      </c>
      <c r="G296" t="s">
        <v>746</v>
      </c>
      <c r="H296" t="s">
        <v>747</v>
      </c>
      <c r="I296" t="s">
        <v>201</v>
      </c>
      <c r="J296" t="s">
        <v>175</v>
      </c>
      <c r="K296" s="30">
        <v>43060</v>
      </c>
      <c r="L296" s="8">
        <v>43057.831296296295</v>
      </c>
      <c r="M296" s="21">
        <f>LEN(ProjTextTable[[#This Row],[text]])</f>
        <v>2328</v>
      </c>
      <c r="N296" s="21">
        <f>LEN(TRIM(CLEAN(SUBSTITUTE(ProjTextTable[[#This Row],[text]],CHAR(10)," "))))+1 - LEN(SUBSTITUTE(CLEAN(SUBSTITUTE(ProjTextTable[[#This Row],[text]],CHAR(10)," "))," ",""))</f>
        <v>349</v>
      </c>
      <c r="O296" t="s">
        <v>199</v>
      </c>
      <c r="P296" t="s">
        <v>1099</v>
      </c>
    </row>
    <row r="297" spans="1:16" x14ac:dyDescent="0.4">
      <c r="A297">
        <f t="shared" si="4"/>
        <v>43</v>
      </c>
      <c r="B297" t="s">
        <v>1091</v>
      </c>
      <c r="C297" t="s">
        <v>1092</v>
      </c>
      <c r="D297" t="s">
        <v>192</v>
      </c>
      <c r="E297" t="s">
        <v>1093</v>
      </c>
      <c r="F297" t="s">
        <v>1100</v>
      </c>
      <c r="G297" t="s">
        <v>1101</v>
      </c>
      <c r="H297" t="s">
        <v>1102</v>
      </c>
      <c r="I297" t="s">
        <v>201</v>
      </c>
      <c r="J297" t="s">
        <v>175</v>
      </c>
      <c r="K297" s="30">
        <v>43074</v>
      </c>
      <c r="L297" s="8">
        <v>43072.524259259262</v>
      </c>
      <c r="M297" s="21">
        <f>LEN(ProjTextTable[[#This Row],[text]])</f>
        <v>4364</v>
      </c>
      <c r="N297" s="21">
        <f>LEN(TRIM(CLEAN(SUBSTITUTE(ProjTextTable[[#This Row],[text]],CHAR(10)," "))))+1 - LEN(SUBSTITUTE(CLEAN(SUBSTITUTE(ProjTextTable[[#This Row],[text]],CHAR(10)," "))," ",""))</f>
        <v>684</v>
      </c>
      <c r="O297" t="s">
        <v>195</v>
      </c>
      <c r="P297" t="s">
        <v>1103</v>
      </c>
    </row>
    <row r="298" spans="1:16" x14ac:dyDescent="0.4">
      <c r="A298">
        <f t="shared" si="4"/>
        <v>43</v>
      </c>
      <c r="B298" t="s">
        <v>1091</v>
      </c>
      <c r="C298" t="s">
        <v>1092</v>
      </c>
      <c r="D298" t="s">
        <v>192</v>
      </c>
      <c r="E298" t="s">
        <v>1093</v>
      </c>
      <c r="F298" t="s">
        <v>964</v>
      </c>
      <c r="G298" t="s">
        <v>965</v>
      </c>
      <c r="H298" t="s">
        <v>966</v>
      </c>
      <c r="I298" t="s">
        <v>201</v>
      </c>
      <c r="J298" t="s">
        <v>175</v>
      </c>
      <c r="K298" s="30">
        <v>43060</v>
      </c>
      <c r="L298" s="8">
        <v>43059.316354166665</v>
      </c>
      <c r="M298" s="21">
        <f>LEN(ProjTextTable[[#This Row],[text]])</f>
        <v>1896</v>
      </c>
      <c r="N298" s="21">
        <f>LEN(TRIM(CLEAN(SUBSTITUTE(ProjTextTable[[#This Row],[text]],CHAR(10)," "))))+1 - LEN(SUBSTITUTE(CLEAN(SUBSTITUTE(ProjTextTable[[#This Row],[text]],CHAR(10)," "))," ",""))</f>
        <v>276</v>
      </c>
      <c r="O298" t="s">
        <v>193</v>
      </c>
      <c r="P298" t="s">
        <v>1104</v>
      </c>
    </row>
    <row r="299" spans="1:16" x14ac:dyDescent="0.4">
      <c r="A299">
        <f t="shared" si="4"/>
        <v>43</v>
      </c>
      <c r="B299" t="s">
        <v>1091</v>
      </c>
      <c r="C299" t="s">
        <v>1092</v>
      </c>
      <c r="D299" t="s">
        <v>192</v>
      </c>
      <c r="E299" t="s">
        <v>1093</v>
      </c>
      <c r="F299" t="s">
        <v>1105</v>
      </c>
      <c r="G299" t="s">
        <v>1106</v>
      </c>
      <c r="H299" t="s">
        <v>1107</v>
      </c>
      <c r="I299" t="s">
        <v>201</v>
      </c>
      <c r="J299" t="s">
        <v>175</v>
      </c>
      <c r="K299" s="30">
        <v>43074</v>
      </c>
      <c r="L299" s="8">
        <v>43072.654861111114</v>
      </c>
      <c r="M299" s="21">
        <f>LEN(ProjTextTable[[#This Row],[text]])</f>
        <v>4756</v>
      </c>
      <c r="N299" s="21">
        <f>LEN(TRIM(CLEAN(SUBSTITUTE(ProjTextTable[[#This Row],[text]],CHAR(10)," "))))+1 - LEN(SUBSTITUTE(CLEAN(SUBSTITUTE(ProjTextTable[[#This Row],[text]],CHAR(10)," "))," ",""))</f>
        <v>728</v>
      </c>
      <c r="O299" t="s">
        <v>195</v>
      </c>
      <c r="P299" t="s">
        <v>1108</v>
      </c>
    </row>
    <row r="300" spans="1:16" x14ac:dyDescent="0.4">
      <c r="A300">
        <f t="shared" si="4"/>
        <v>43</v>
      </c>
      <c r="B300" t="s">
        <v>1091</v>
      </c>
      <c r="C300" t="s">
        <v>1092</v>
      </c>
      <c r="D300" t="s">
        <v>192</v>
      </c>
      <c r="E300" t="s">
        <v>1093</v>
      </c>
      <c r="F300" t="s">
        <v>1109</v>
      </c>
      <c r="G300" t="s">
        <v>1110</v>
      </c>
      <c r="H300" t="s">
        <v>1111</v>
      </c>
      <c r="I300" t="s">
        <v>201</v>
      </c>
      <c r="J300" t="s">
        <v>175</v>
      </c>
      <c r="K300" s="30">
        <v>43074</v>
      </c>
      <c r="L300" s="8">
        <v>43072.91814814815</v>
      </c>
      <c r="M300" s="21">
        <f>LEN(ProjTextTable[[#This Row],[text]])</f>
        <v>3560</v>
      </c>
      <c r="N300" s="21">
        <f>LEN(TRIM(CLEAN(SUBSTITUTE(ProjTextTable[[#This Row],[text]],CHAR(10)," "))))+1 - LEN(SUBSTITUTE(CLEAN(SUBSTITUTE(ProjTextTable[[#This Row],[text]],CHAR(10)," "))," ",""))</f>
        <v>531</v>
      </c>
      <c r="O300" t="s">
        <v>195</v>
      </c>
      <c r="P300" t="s">
        <v>1112</v>
      </c>
    </row>
    <row r="301" spans="1:16" x14ac:dyDescent="0.4">
      <c r="A301">
        <f t="shared" si="4"/>
        <v>43</v>
      </c>
      <c r="B301" t="s">
        <v>1091</v>
      </c>
      <c r="C301" t="s">
        <v>1092</v>
      </c>
      <c r="D301" t="s">
        <v>192</v>
      </c>
      <c r="E301" t="s">
        <v>1093</v>
      </c>
      <c r="F301" t="s">
        <v>1113</v>
      </c>
      <c r="G301" t="s">
        <v>1114</v>
      </c>
      <c r="H301" t="s">
        <v>1115</v>
      </c>
      <c r="I301" t="s">
        <v>201</v>
      </c>
      <c r="J301" t="s">
        <v>175</v>
      </c>
      <c r="K301" s="30">
        <v>43074</v>
      </c>
      <c r="L301" s="8">
        <v>43073.748368055552</v>
      </c>
      <c r="M301" s="21">
        <f>LEN(ProjTextTable[[#This Row],[text]])</f>
        <v>2982</v>
      </c>
      <c r="N301" s="21">
        <f>LEN(TRIM(CLEAN(SUBSTITUTE(ProjTextTable[[#This Row],[text]],CHAR(10)," "))))+1 - LEN(SUBSTITUTE(CLEAN(SUBSTITUTE(ProjTextTable[[#This Row],[text]],CHAR(10)," "))," ",""))</f>
        <v>457</v>
      </c>
      <c r="O301" t="s">
        <v>193</v>
      </c>
      <c r="P301" t="s">
        <v>1116</v>
      </c>
    </row>
    <row r="302" spans="1:16" x14ac:dyDescent="0.4">
      <c r="A302">
        <f t="shared" si="4"/>
        <v>43</v>
      </c>
      <c r="B302" t="s">
        <v>1091</v>
      </c>
      <c r="C302" t="s">
        <v>1092</v>
      </c>
      <c r="D302" t="s">
        <v>194</v>
      </c>
      <c r="E302" t="s">
        <v>1093</v>
      </c>
      <c r="F302" t="s">
        <v>13</v>
      </c>
      <c r="G302" t="s">
        <v>13</v>
      </c>
      <c r="H302" t="s">
        <v>13</v>
      </c>
      <c r="K302" s="30"/>
      <c r="L302" s="8">
        <v>42951.042847222219</v>
      </c>
      <c r="M302" s="21">
        <f>LEN(ProjTextTable[[#This Row],[text]])</f>
        <v>4320</v>
      </c>
      <c r="N302" s="21">
        <f>LEN(TRIM(CLEAN(SUBSTITUTE(ProjTextTable[[#This Row],[text]],CHAR(10)," "))))+1 - LEN(SUBSTITUTE(CLEAN(SUBSTITUTE(ProjTextTable[[#This Row],[text]],CHAR(10)," "))," ",""))</f>
        <v>613</v>
      </c>
      <c r="O302" t="s">
        <v>13</v>
      </c>
      <c r="P302" t="s">
        <v>1117</v>
      </c>
    </row>
    <row r="303" spans="1:16" x14ac:dyDescent="0.4">
      <c r="A303">
        <f t="shared" si="4"/>
        <v>44</v>
      </c>
      <c r="B303" t="s">
        <v>1118</v>
      </c>
      <c r="C303" t="s">
        <v>1119</v>
      </c>
      <c r="D303" t="s">
        <v>533</v>
      </c>
      <c r="E303" t="s">
        <v>611</v>
      </c>
      <c r="F303" t="s">
        <v>714</v>
      </c>
      <c r="G303" t="s">
        <v>715</v>
      </c>
      <c r="H303" t="s">
        <v>541</v>
      </c>
      <c r="I303" t="s">
        <v>536</v>
      </c>
      <c r="J303" t="s">
        <v>534</v>
      </c>
      <c r="K303" s="30">
        <v>43059</v>
      </c>
      <c r="L303" s="8">
        <v>43060.657847222225</v>
      </c>
      <c r="M303" s="21">
        <f>LEN(ProjTextTable[[#This Row],[text]])</f>
        <v>3445</v>
      </c>
      <c r="N303" s="21">
        <f>LEN(TRIM(CLEAN(SUBSTITUTE(ProjTextTable[[#This Row],[text]],CHAR(10)," "))))+1 - LEN(SUBSTITUTE(CLEAN(SUBSTITUTE(ProjTextTable[[#This Row],[text]],CHAR(10)," "))," ",""))</f>
        <v>509</v>
      </c>
      <c r="O303" t="s">
        <v>542</v>
      </c>
      <c r="P303" t="s">
        <v>1120</v>
      </c>
    </row>
    <row r="304" spans="1:16" x14ac:dyDescent="0.4">
      <c r="A304">
        <f t="shared" si="4"/>
        <v>44</v>
      </c>
      <c r="B304" t="s">
        <v>1118</v>
      </c>
      <c r="C304" t="s">
        <v>1119</v>
      </c>
      <c r="D304" t="s">
        <v>2</v>
      </c>
      <c r="E304" t="s">
        <v>611</v>
      </c>
      <c r="F304" t="s">
        <v>13</v>
      </c>
      <c r="G304" t="s">
        <v>609</v>
      </c>
      <c r="H304" t="s">
        <v>13</v>
      </c>
      <c r="I304" t="s">
        <v>13</v>
      </c>
      <c r="K304" s="30"/>
      <c r="L304" s="8">
        <v>43082.662870370368</v>
      </c>
      <c r="M304" s="21">
        <f>LEN(ProjTextTable[[#This Row],[text]])</f>
        <v>2009</v>
      </c>
      <c r="N304" s="21">
        <f>LEN(TRIM(CLEAN(SUBSTITUTE(ProjTextTable[[#This Row],[text]],CHAR(10)," "))))+1 - LEN(SUBSTITUTE(CLEAN(SUBSTITUTE(ProjTextTable[[#This Row],[text]],CHAR(10)," "))," ",""))</f>
        <v>295</v>
      </c>
      <c r="O304" t="s">
        <v>13</v>
      </c>
      <c r="P304" t="s">
        <v>1121</v>
      </c>
    </row>
    <row r="305" spans="1:16" x14ac:dyDescent="0.4">
      <c r="A305">
        <f t="shared" si="4"/>
        <v>44</v>
      </c>
      <c r="B305" t="s">
        <v>1118</v>
      </c>
      <c r="C305" t="s">
        <v>1119</v>
      </c>
      <c r="D305" t="s">
        <v>192</v>
      </c>
      <c r="E305" t="s">
        <v>611</v>
      </c>
      <c r="F305" t="s">
        <v>799</v>
      </c>
      <c r="G305" t="s">
        <v>800</v>
      </c>
      <c r="H305" t="s">
        <v>801</v>
      </c>
      <c r="I305" t="s">
        <v>201</v>
      </c>
      <c r="J305" t="s">
        <v>175</v>
      </c>
      <c r="K305" s="30">
        <v>43060</v>
      </c>
      <c r="L305" s="8">
        <v>43056.617256944446</v>
      </c>
      <c r="M305" s="21">
        <f>LEN(ProjTextTable[[#This Row],[text]])</f>
        <v>2679</v>
      </c>
      <c r="N305" s="21">
        <f>LEN(TRIM(CLEAN(SUBSTITUTE(ProjTextTable[[#This Row],[text]],CHAR(10)," "))))+1 - LEN(SUBSTITUTE(CLEAN(SUBSTITUTE(ProjTextTable[[#This Row],[text]],CHAR(10)," "))," ",""))</f>
        <v>403</v>
      </c>
      <c r="O305" t="s">
        <v>199</v>
      </c>
      <c r="P305" t="s">
        <v>1122</v>
      </c>
    </row>
    <row r="306" spans="1:16" x14ac:dyDescent="0.4">
      <c r="A306">
        <f t="shared" si="4"/>
        <v>44</v>
      </c>
      <c r="B306" t="s">
        <v>1118</v>
      </c>
      <c r="C306" t="s">
        <v>1119</v>
      </c>
      <c r="D306" t="s">
        <v>192</v>
      </c>
      <c r="E306" t="s">
        <v>611</v>
      </c>
      <c r="F306" t="s">
        <v>745</v>
      </c>
      <c r="G306" t="s">
        <v>746</v>
      </c>
      <c r="H306" t="s">
        <v>747</v>
      </c>
      <c r="I306" t="s">
        <v>201</v>
      </c>
      <c r="J306" t="s">
        <v>175</v>
      </c>
      <c r="K306" s="30">
        <v>43060</v>
      </c>
      <c r="L306" s="8">
        <v>43057.974942129629</v>
      </c>
      <c r="M306" s="21">
        <f>LEN(ProjTextTable[[#This Row],[text]])</f>
        <v>2862</v>
      </c>
      <c r="N306" s="21">
        <f>LEN(TRIM(CLEAN(SUBSTITUTE(ProjTextTable[[#This Row],[text]],CHAR(10)," "))))+1 - LEN(SUBSTITUTE(CLEAN(SUBSTITUTE(ProjTextTable[[#This Row],[text]],CHAR(10)," "))," ",""))</f>
        <v>415</v>
      </c>
      <c r="O306" t="s">
        <v>197</v>
      </c>
      <c r="P306" t="s">
        <v>1123</v>
      </c>
    </row>
    <row r="307" spans="1:16" x14ac:dyDescent="0.4">
      <c r="A307">
        <f t="shared" si="4"/>
        <v>44</v>
      </c>
      <c r="B307" t="s">
        <v>1118</v>
      </c>
      <c r="C307" t="s">
        <v>1119</v>
      </c>
      <c r="D307" t="s">
        <v>192</v>
      </c>
      <c r="E307" t="s">
        <v>611</v>
      </c>
      <c r="F307" t="s">
        <v>757</v>
      </c>
      <c r="G307" t="s">
        <v>758</v>
      </c>
      <c r="H307" t="s">
        <v>759</v>
      </c>
      <c r="I307" t="s">
        <v>201</v>
      </c>
      <c r="J307" t="s">
        <v>175</v>
      </c>
      <c r="K307" s="30">
        <v>43060</v>
      </c>
      <c r="L307" s="8">
        <v>43060.386817129627</v>
      </c>
      <c r="M307" s="21">
        <f>LEN(ProjTextTable[[#This Row],[text]])</f>
        <v>4923</v>
      </c>
      <c r="N307" s="21">
        <f>LEN(TRIM(CLEAN(SUBSTITUTE(ProjTextTable[[#This Row],[text]],CHAR(10)," "))))+1 - LEN(SUBSTITUTE(CLEAN(SUBSTITUTE(ProjTextTable[[#This Row],[text]],CHAR(10)," "))," ",""))</f>
        <v>752</v>
      </c>
      <c r="O307" t="s">
        <v>193</v>
      </c>
      <c r="P307" t="s">
        <v>1124</v>
      </c>
    </row>
    <row r="308" spans="1:16" x14ac:dyDescent="0.4">
      <c r="A308">
        <f t="shared" si="4"/>
        <v>44</v>
      </c>
      <c r="B308" t="s">
        <v>1118</v>
      </c>
      <c r="C308" t="s">
        <v>1119</v>
      </c>
      <c r="D308" t="s">
        <v>194</v>
      </c>
      <c r="E308" t="s">
        <v>611</v>
      </c>
      <c r="F308" t="s">
        <v>13</v>
      </c>
      <c r="G308" t="s">
        <v>13</v>
      </c>
      <c r="H308" t="s">
        <v>13</v>
      </c>
      <c r="K308" s="30"/>
      <c r="L308" s="8">
        <v>42955.042557870373</v>
      </c>
      <c r="M308" s="21">
        <f>LEN(ProjTextTable[[#This Row],[text]])</f>
        <v>4167</v>
      </c>
      <c r="N308" s="21">
        <f>LEN(TRIM(CLEAN(SUBSTITUTE(ProjTextTable[[#This Row],[text]],CHAR(10)," "))))+1 - LEN(SUBSTITUTE(CLEAN(SUBSTITUTE(ProjTextTable[[#This Row],[text]],CHAR(10)," "))," ",""))</f>
        <v>598</v>
      </c>
      <c r="O308" t="s">
        <v>13</v>
      </c>
      <c r="P308" t="s">
        <v>1125</v>
      </c>
    </row>
    <row r="309" spans="1:16" x14ac:dyDescent="0.4">
      <c r="A309">
        <f t="shared" si="4"/>
        <v>45</v>
      </c>
      <c r="B309" t="s">
        <v>1126</v>
      </c>
      <c r="C309" t="s">
        <v>631</v>
      </c>
      <c r="D309" t="s">
        <v>533</v>
      </c>
      <c r="E309" t="s">
        <v>654</v>
      </c>
      <c r="F309" t="s">
        <v>605</v>
      </c>
      <c r="G309" t="s">
        <v>606</v>
      </c>
      <c r="H309" t="s">
        <v>546</v>
      </c>
      <c r="I309" t="s">
        <v>538</v>
      </c>
      <c r="J309" t="s">
        <v>534</v>
      </c>
      <c r="K309" s="30">
        <v>43031</v>
      </c>
      <c r="L309" s="8">
        <v>43032.670497685183</v>
      </c>
      <c r="M309" s="21">
        <f>LEN(ProjTextTable[[#This Row],[text]])</f>
        <v>2162</v>
      </c>
      <c r="N309" s="21">
        <f>LEN(TRIM(CLEAN(SUBSTITUTE(ProjTextTable[[#This Row],[text]],CHAR(10)," "))))+1 - LEN(SUBSTITUTE(CLEAN(SUBSTITUTE(ProjTextTable[[#This Row],[text]],CHAR(10)," "))," ",""))</f>
        <v>303</v>
      </c>
      <c r="O309" t="s">
        <v>309</v>
      </c>
      <c r="P309" t="s">
        <v>1127</v>
      </c>
    </row>
    <row r="310" spans="1:16" x14ac:dyDescent="0.4">
      <c r="A310">
        <f t="shared" si="4"/>
        <v>45</v>
      </c>
      <c r="B310" t="s">
        <v>1126</v>
      </c>
      <c r="C310" t="s">
        <v>631</v>
      </c>
      <c r="D310" t="s">
        <v>2</v>
      </c>
      <c r="E310" t="s">
        <v>654</v>
      </c>
      <c r="F310" t="s">
        <v>13</v>
      </c>
      <c r="G310" t="s">
        <v>609</v>
      </c>
      <c r="H310" t="s">
        <v>13</v>
      </c>
      <c r="I310" t="s">
        <v>13</v>
      </c>
      <c r="K310" s="30"/>
      <c r="L310" s="8">
        <v>43082.669131944444</v>
      </c>
      <c r="M310" s="21">
        <f>LEN(ProjTextTable[[#This Row],[text]])</f>
        <v>1976</v>
      </c>
      <c r="N310" s="21">
        <f>LEN(TRIM(CLEAN(SUBSTITUTE(ProjTextTable[[#This Row],[text]],CHAR(10)," "))))+1 - LEN(SUBSTITUTE(CLEAN(SUBSTITUTE(ProjTextTable[[#This Row],[text]],CHAR(10)," "))," ",""))</f>
        <v>293</v>
      </c>
      <c r="O310" t="s">
        <v>13</v>
      </c>
      <c r="P310" t="s">
        <v>1128</v>
      </c>
    </row>
    <row r="311" spans="1:16" x14ac:dyDescent="0.4">
      <c r="A311">
        <f t="shared" si="4"/>
        <v>45</v>
      </c>
      <c r="B311" t="s">
        <v>1126</v>
      </c>
      <c r="C311" t="s">
        <v>631</v>
      </c>
      <c r="D311" t="s">
        <v>192</v>
      </c>
      <c r="E311" t="s">
        <v>611</v>
      </c>
      <c r="F311" t="s">
        <v>635</v>
      </c>
      <c r="G311" t="s">
        <v>636</v>
      </c>
      <c r="H311" t="s">
        <v>637</v>
      </c>
      <c r="I311" t="s">
        <v>201</v>
      </c>
      <c r="J311" t="s">
        <v>175</v>
      </c>
      <c r="K311" s="30">
        <v>43032</v>
      </c>
      <c r="L311" s="8">
        <v>43026.986875000002</v>
      </c>
      <c r="M311" s="21">
        <f>LEN(ProjTextTable[[#This Row],[text]])</f>
        <v>1796</v>
      </c>
      <c r="N311" s="21">
        <f>LEN(TRIM(CLEAN(SUBSTITUTE(ProjTextTable[[#This Row],[text]],CHAR(10)," "))))+1 - LEN(SUBSTITUTE(CLEAN(SUBSTITUTE(ProjTextTable[[#This Row],[text]],CHAR(10)," "))," ",""))</f>
        <v>279</v>
      </c>
      <c r="O311" t="s">
        <v>197</v>
      </c>
      <c r="P311" t="s">
        <v>1129</v>
      </c>
    </row>
    <row r="312" spans="1:16" x14ac:dyDescent="0.4">
      <c r="A312">
        <f t="shared" si="4"/>
        <v>45</v>
      </c>
      <c r="B312" t="s">
        <v>1126</v>
      </c>
      <c r="C312" t="s">
        <v>631</v>
      </c>
      <c r="D312" t="s">
        <v>192</v>
      </c>
      <c r="E312" t="s">
        <v>611</v>
      </c>
      <c r="F312" t="s">
        <v>692</v>
      </c>
      <c r="G312" t="s">
        <v>693</v>
      </c>
      <c r="H312" t="s">
        <v>694</v>
      </c>
      <c r="I312" t="s">
        <v>201</v>
      </c>
      <c r="J312" t="s">
        <v>175</v>
      </c>
      <c r="K312" s="30">
        <v>43032</v>
      </c>
      <c r="L312" s="8">
        <v>43027.924050925925</v>
      </c>
      <c r="M312" s="21">
        <f>LEN(ProjTextTable[[#This Row],[text]])</f>
        <v>2309</v>
      </c>
      <c r="N312" s="21">
        <f>LEN(TRIM(CLEAN(SUBSTITUTE(ProjTextTable[[#This Row],[text]],CHAR(10)," "))))+1 - LEN(SUBSTITUTE(CLEAN(SUBSTITUTE(ProjTextTable[[#This Row],[text]],CHAR(10)," "))," ",""))</f>
        <v>353</v>
      </c>
      <c r="O312" t="s">
        <v>199</v>
      </c>
      <c r="P312" t="s">
        <v>1130</v>
      </c>
    </row>
    <row r="313" spans="1:16" x14ac:dyDescent="0.4">
      <c r="A313">
        <f t="shared" si="4"/>
        <v>45</v>
      </c>
      <c r="B313" t="s">
        <v>1126</v>
      </c>
      <c r="C313" t="s">
        <v>631</v>
      </c>
      <c r="D313" t="s">
        <v>192</v>
      </c>
      <c r="E313" t="s">
        <v>611</v>
      </c>
      <c r="F313" t="s">
        <v>621</v>
      </c>
      <c r="G313" t="s">
        <v>622</v>
      </c>
      <c r="H313" t="s">
        <v>623</v>
      </c>
      <c r="I313" t="s">
        <v>201</v>
      </c>
      <c r="J313" t="s">
        <v>175</v>
      </c>
      <c r="K313" s="30">
        <v>43032</v>
      </c>
      <c r="L313" s="8">
        <v>43030.984317129631</v>
      </c>
      <c r="M313" s="21">
        <f>LEN(ProjTextTable[[#This Row],[text]])</f>
        <v>1903</v>
      </c>
      <c r="N313" s="21">
        <f>LEN(TRIM(CLEAN(SUBSTITUTE(ProjTextTable[[#This Row],[text]],CHAR(10)," "))))+1 - LEN(SUBSTITUTE(CLEAN(SUBSTITUTE(ProjTextTable[[#This Row],[text]],CHAR(10)," "))," ",""))</f>
        <v>283</v>
      </c>
      <c r="O313" t="s">
        <v>197</v>
      </c>
      <c r="P313" t="s">
        <v>1131</v>
      </c>
    </row>
    <row r="314" spans="1:16" x14ac:dyDescent="0.4">
      <c r="A314">
        <f t="shared" si="4"/>
        <v>45</v>
      </c>
      <c r="B314" t="s">
        <v>1126</v>
      </c>
      <c r="C314" t="s">
        <v>631</v>
      </c>
      <c r="D314" t="s">
        <v>192</v>
      </c>
      <c r="E314" t="s">
        <v>611</v>
      </c>
      <c r="F314" t="s">
        <v>664</v>
      </c>
      <c r="G314" t="s">
        <v>665</v>
      </c>
      <c r="H314" t="s">
        <v>666</v>
      </c>
      <c r="I314" t="s">
        <v>201</v>
      </c>
      <c r="J314" t="s">
        <v>175</v>
      </c>
      <c r="K314" s="30">
        <v>43032</v>
      </c>
      <c r="L314" s="8">
        <v>43031.775856481479</v>
      </c>
      <c r="M314" s="21">
        <f>LEN(ProjTextTable[[#This Row],[text]])</f>
        <v>1055</v>
      </c>
      <c r="N314" s="21">
        <f>LEN(TRIM(CLEAN(SUBSTITUTE(ProjTextTable[[#This Row],[text]],CHAR(10)," "))))+1 - LEN(SUBSTITUTE(CLEAN(SUBSTITUTE(ProjTextTable[[#This Row],[text]],CHAR(10)," "))," ",""))</f>
        <v>153</v>
      </c>
      <c r="O314" t="s">
        <v>197</v>
      </c>
      <c r="P314" t="s">
        <v>1132</v>
      </c>
    </row>
    <row r="315" spans="1:16" x14ac:dyDescent="0.4">
      <c r="A315">
        <f t="shared" si="4"/>
        <v>46</v>
      </c>
      <c r="B315" t="s">
        <v>1133</v>
      </c>
      <c r="C315" t="s">
        <v>1134</v>
      </c>
      <c r="D315" t="s">
        <v>533</v>
      </c>
      <c r="E315" t="s">
        <v>654</v>
      </c>
      <c r="F315" t="s">
        <v>714</v>
      </c>
      <c r="G315" t="s">
        <v>715</v>
      </c>
      <c r="H315" t="s">
        <v>539</v>
      </c>
      <c r="I315" t="s">
        <v>535</v>
      </c>
      <c r="J315" t="s">
        <v>538</v>
      </c>
      <c r="K315" s="30">
        <v>43059</v>
      </c>
      <c r="L315" s="8">
        <v>43060.622893518521</v>
      </c>
      <c r="M315" s="21">
        <f>LEN(ProjTextTable[[#This Row],[text]])</f>
        <v>3096</v>
      </c>
      <c r="N315" s="21">
        <f>LEN(TRIM(CLEAN(SUBSTITUTE(ProjTextTable[[#This Row],[text]],CHAR(10)," "))))+1 - LEN(SUBSTITUTE(CLEAN(SUBSTITUTE(ProjTextTable[[#This Row],[text]],CHAR(10)," "))," ",""))</f>
        <v>454</v>
      </c>
      <c r="O315" t="s">
        <v>540</v>
      </c>
      <c r="P315" t="s">
        <v>1135</v>
      </c>
    </row>
    <row r="316" spans="1:16" x14ac:dyDescent="0.4">
      <c r="A316">
        <f t="shared" si="4"/>
        <v>46</v>
      </c>
      <c r="B316" t="s">
        <v>1133</v>
      </c>
      <c r="C316" t="s">
        <v>1134</v>
      </c>
      <c r="D316" t="s">
        <v>192</v>
      </c>
      <c r="E316" t="s">
        <v>654</v>
      </c>
      <c r="F316" t="s">
        <v>745</v>
      </c>
      <c r="G316" t="s">
        <v>746</v>
      </c>
      <c r="H316" t="s">
        <v>747</v>
      </c>
      <c r="I316" t="s">
        <v>201</v>
      </c>
      <c r="J316" t="s">
        <v>175</v>
      </c>
      <c r="K316" s="30">
        <v>43060</v>
      </c>
      <c r="L316" s="8">
        <v>43059.033379629633</v>
      </c>
      <c r="M316" s="21">
        <f>LEN(ProjTextTable[[#This Row],[text]])</f>
        <v>1750</v>
      </c>
      <c r="N316" s="21">
        <f>LEN(TRIM(CLEAN(SUBSTITUTE(ProjTextTable[[#This Row],[text]],CHAR(10)," "))))+1 - LEN(SUBSTITUTE(CLEAN(SUBSTITUTE(ProjTextTable[[#This Row],[text]],CHAR(10)," "))," ",""))</f>
        <v>248</v>
      </c>
      <c r="O316" t="s">
        <v>196</v>
      </c>
      <c r="P316" t="s">
        <v>1136</v>
      </c>
    </row>
    <row r="317" spans="1:16" x14ac:dyDescent="0.4">
      <c r="A317">
        <f t="shared" si="4"/>
        <v>46</v>
      </c>
      <c r="B317" t="s">
        <v>1133</v>
      </c>
      <c r="C317" t="s">
        <v>1134</v>
      </c>
      <c r="D317" t="s">
        <v>192</v>
      </c>
      <c r="E317" t="s">
        <v>611</v>
      </c>
      <c r="F317" t="s">
        <v>749</v>
      </c>
      <c r="G317" t="s">
        <v>750</v>
      </c>
      <c r="H317" t="s">
        <v>751</v>
      </c>
      <c r="I317" t="s">
        <v>201</v>
      </c>
      <c r="J317" t="s">
        <v>175</v>
      </c>
      <c r="K317" s="30">
        <v>43060</v>
      </c>
      <c r="L317" s="8">
        <v>43060.398402777777</v>
      </c>
      <c r="M317" s="21">
        <f>LEN(ProjTextTable[[#This Row],[text]])</f>
        <v>1643</v>
      </c>
      <c r="N317" s="21">
        <f>LEN(TRIM(CLEAN(SUBSTITUTE(ProjTextTable[[#This Row],[text]],CHAR(10)," "))))+1 - LEN(SUBSTITUTE(CLEAN(SUBSTITUTE(ProjTextTable[[#This Row],[text]],CHAR(10)," "))," ",""))</f>
        <v>240</v>
      </c>
      <c r="O317" t="s">
        <v>198</v>
      </c>
      <c r="P317" t="s">
        <v>1137</v>
      </c>
    </row>
    <row r="318" spans="1:16" x14ac:dyDescent="0.4">
      <c r="A318">
        <f t="shared" si="4"/>
        <v>46</v>
      </c>
      <c r="B318" t="s">
        <v>1133</v>
      </c>
      <c r="C318" t="s">
        <v>1134</v>
      </c>
      <c r="D318" t="s">
        <v>192</v>
      </c>
      <c r="E318" t="s">
        <v>611</v>
      </c>
      <c r="F318" t="s">
        <v>717</v>
      </c>
      <c r="G318" t="s">
        <v>718</v>
      </c>
      <c r="H318" t="s">
        <v>719</v>
      </c>
      <c r="I318" t="s">
        <v>201</v>
      </c>
      <c r="J318" t="s">
        <v>175</v>
      </c>
      <c r="K318" s="30">
        <v>43060</v>
      </c>
      <c r="L318" s="8">
        <v>43058.877210648148</v>
      </c>
      <c r="M318" s="21">
        <f>LEN(ProjTextTable[[#This Row],[text]])</f>
        <v>3453</v>
      </c>
      <c r="N318" s="21">
        <f>LEN(TRIM(CLEAN(SUBSTITUTE(ProjTextTable[[#This Row],[text]],CHAR(10)," "))))+1 - LEN(SUBSTITUTE(CLEAN(SUBSTITUTE(ProjTextTable[[#This Row],[text]],CHAR(10)," "))," ",""))</f>
        <v>511</v>
      </c>
      <c r="O318" t="s">
        <v>193</v>
      </c>
      <c r="P318" t="s">
        <v>1138</v>
      </c>
    </row>
    <row r="319" spans="1:16" x14ac:dyDescent="0.4">
      <c r="A319">
        <f t="shared" si="4"/>
        <v>46</v>
      </c>
      <c r="B319" t="s">
        <v>1133</v>
      </c>
      <c r="C319" t="s">
        <v>1134</v>
      </c>
      <c r="D319" t="s">
        <v>192</v>
      </c>
      <c r="E319" t="s">
        <v>611</v>
      </c>
      <c r="F319" t="s">
        <v>721</v>
      </c>
      <c r="G319" t="s">
        <v>722</v>
      </c>
      <c r="H319" t="s">
        <v>723</v>
      </c>
      <c r="I319" t="s">
        <v>201</v>
      </c>
      <c r="J319" t="s">
        <v>175</v>
      </c>
      <c r="K319" s="30">
        <v>43060</v>
      </c>
      <c r="L319" s="8">
        <v>43059.06417824074</v>
      </c>
      <c r="M319" s="21">
        <f>LEN(ProjTextTable[[#This Row],[text]])</f>
        <v>817</v>
      </c>
      <c r="N319" s="21">
        <f>LEN(TRIM(CLEAN(SUBSTITUTE(ProjTextTable[[#This Row],[text]],CHAR(10)," "))))+1 - LEN(SUBSTITUTE(CLEAN(SUBSTITUTE(ProjTextTable[[#This Row],[text]],CHAR(10)," "))," ",""))</f>
        <v>129</v>
      </c>
      <c r="O319" t="s">
        <v>175</v>
      </c>
      <c r="P319" t="s">
        <v>1139</v>
      </c>
    </row>
    <row r="320" spans="1:16" x14ac:dyDescent="0.4">
      <c r="A320">
        <f t="shared" si="4"/>
        <v>46</v>
      </c>
      <c r="B320" t="s">
        <v>1133</v>
      </c>
      <c r="C320" t="s">
        <v>1134</v>
      </c>
      <c r="D320" t="s">
        <v>194</v>
      </c>
      <c r="E320" t="s">
        <v>654</v>
      </c>
      <c r="F320" t="s">
        <v>13</v>
      </c>
      <c r="G320" t="s">
        <v>13</v>
      </c>
      <c r="H320" t="s">
        <v>13</v>
      </c>
      <c r="K320" s="30"/>
      <c r="L320" s="8">
        <v>42956.042430555557</v>
      </c>
      <c r="M320" s="21">
        <f>LEN(ProjTextTable[[#This Row],[text]])</f>
        <v>3167</v>
      </c>
      <c r="N320" s="21">
        <f>LEN(TRIM(CLEAN(SUBSTITUTE(ProjTextTable[[#This Row],[text]],CHAR(10)," "))))+1 - LEN(SUBSTITUTE(CLEAN(SUBSTITUTE(ProjTextTable[[#This Row],[text]],CHAR(10)," "))," ",""))</f>
        <v>430</v>
      </c>
      <c r="O320" t="s">
        <v>13</v>
      </c>
      <c r="P320" t="s">
        <v>1140</v>
      </c>
    </row>
    <row r="321" spans="1:16" x14ac:dyDescent="0.4">
      <c r="A321">
        <f t="shared" si="4"/>
        <v>47</v>
      </c>
      <c r="B321" t="s">
        <v>1141</v>
      </c>
      <c r="C321" t="s">
        <v>965</v>
      </c>
      <c r="D321" t="s">
        <v>533</v>
      </c>
      <c r="E321" t="s">
        <v>611</v>
      </c>
      <c r="F321" t="s">
        <v>714</v>
      </c>
      <c r="G321" t="s">
        <v>715</v>
      </c>
      <c r="H321" t="s">
        <v>543</v>
      </c>
      <c r="I321" t="s">
        <v>537</v>
      </c>
      <c r="J321" t="s">
        <v>535</v>
      </c>
      <c r="K321" s="30">
        <v>43059</v>
      </c>
      <c r="L321" s="8">
        <v>43060.652233796296</v>
      </c>
      <c r="M321" s="21">
        <f>LEN(ProjTextTable[[#This Row],[text]])</f>
        <v>4255</v>
      </c>
      <c r="N321" s="21">
        <f>LEN(TRIM(CLEAN(SUBSTITUTE(ProjTextTable[[#This Row],[text]],CHAR(10)," "))))+1 - LEN(SUBSTITUTE(CLEAN(SUBSTITUTE(ProjTextTable[[#This Row],[text]],CHAR(10)," "))," ",""))</f>
        <v>654</v>
      </c>
      <c r="O321" t="s">
        <v>544</v>
      </c>
      <c r="P321" t="s">
        <v>1142</v>
      </c>
    </row>
    <row r="322" spans="1:16" x14ac:dyDescent="0.4">
      <c r="A322">
        <f t="shared" ref="A322:A385" si="5">A321+(B322&lt;&gt;B321)</f>
        <v>47</v>
      </c>
      <c r="B322" t="s">
        <v>1141</v>
      </c>
      <c r="C322" t="s">
        <v>965</v>
      </c>
      <c r="D322" t="s">
        <v>192</v>
      </c>
      <c r="E322" t="s">
        <v>611</v>
      </c>
      <c r="F322" t="s">
        <v>799</v>
      </c>
      <c r="G322" t="s">
        <v>800</v>
      </c>
      <c r="H322" t="s">
        <v>801</v>
      </c>
      <c r="I322" t="s">
        <v>201</v>
      </c>
      <c r="J322" t="s">
        <v>175</v>
      </c>
      <c r="K322" s="30">
        <v>43060</v>
      </c>
      <c r="L322" s="8">
        <v>43056.619537037041</v>
      </c>
      <c r="M322" s="21">
        <f>LEN(ProjTextTable[[#This Row],[text]])</f>
        <v>2478</v>
      </c>
      <c r="N322" s="21">
        <f>LEN(TRIM(CLEAN(SUBSTITUTE(ProjTextTable[[#This Row],[text]],CHAR(10)," "))))+1 - LEN(SUBSTITUTE(CLEAN(SUBSTITUTE(ProjTextTable[[#This Row],[text]],CHAR(10)," "))," ",""))</f>
        <v>375</v>
      </c>
      <c r="O322" t="s">
        <v>196</v>
      </c>
      <c r="P322" t="s">
        <v>1143</v>
      </c>
    </row>
    <row r="323" spans="1:16" x14ac:dyDescent="0.4">
      <c r="A323">
        <f t="shared" si="5"/>
        <v>47</v>
      </c>
      <c r="B323" t="s">
        <v>1141</v>
      </c>
      <c r="C323" t="s">
        <v>965</v>
      </c>
      <c r="D323" t="s">
        <v>192</v>
      </c>
      <c r="E323" t="s">
        <v>611</v>
      </c>
      <c r="F323" t="s">
        <v>745</v>
      </c>
      <c r="G323" t="s">
        <v>746</v>
      </c>
      <c r="H323" t="s">
        <v>747</v>
      </c>
      <c r="I323" t="s">
        <v>201</v>
      </c>
      <c r="J323" t="s">
        <v>175</v>
      </c>
      <c r="K323" s="30">
        <v>43060</v>
      </c>
      <c r="L323" s="8">
        <v>43059.53533564815</v>
      </c>
      <c r="M323" s="21">
        <f>LEN(ProjTextTable[[#This Row],[text]])</f>
        <v>2255</v>
      </c>
      <c r="N323" s="21">
        <f>LEN(TRIM(CLEAN(SUBSTITUTE(ProjTextTable[[#This Row],[text]],CHAR(10)," "))))+1 - LEN(SUBSTITUTE(CLEAN(SUBSTITUTE(ProjTextTable[[#This Row],[text]],CHAR(10)," "))," ",""))</f>
        <v>328</v>
      </c>
      <c r="O323" t="s">
        <v>196</v>
      </c>
      <c r="P323" t="s">
        <v>1144</v>
      </c>
    </row>
    <row r="324" spans="1:16" x14ac:dyDescent="0.4">
      <c r="A324">
        <f t="shared" si="5"/>
        <v>47</v>
      </c>
      <c r="B324" t="s">
        <v>1141</v>
      </c>
      <c r="C324" t="s">
        <v>965</v>
      </c>
      <c r="D324" t="s">
        <v>192</v>
      </c>
      <c r="E324" t="s">
        <v>611</v>
      </c>
      <c r="F324" t="s">
        <v>964</v>
      </c>
      <c r="G324" t="s">
        <v>965</v>
      </c>
      <c r="H324" t="s">
        <v>966</v>
      </c>
      <c r="I324" t="s">
        <v>201</v>
      </c>
      <c r="J324" t="s">
        <v>175</v>
      </c>
      <c r="K324" s="30">
        <v>43060</v>
      </c>
      <c r="L324" s="8">
        <v>43054.505729166667</v>
      </c>
      <c r="M324" s="21">
        <f>LEN(ProjTextTable[[#This Row],[text]])</f>
        <v>1579</v>
      </c>
      <c r="N324" s="21">
        <f>LEN(TRIM(CLEAN(SUBSTITUTE(ProjTextTable[[#This Row],[text]],CHAR(10)," "))))+1 - LEN(SUBSTITUTE(CLEAN(SUBSTITUTE(ProjTextTable[[#This Row],[text]],CHAR(10)," "))," ",""))</f>
        <v>230</v>
      </c>
      <c r="O324" t="s">
        <v>195</v>
      </c>
      <c r="P324" t="s">
        <v>1145</v>
      </c>
    </row>
    <row r="325" spans="1:16" x14ac:dyDescent="0.4">
      <c r="A325">
        <f t="shared" si="5"/>
        <v>47</v>
      </c>
      <c r="B325" t="s">
        <v>1141</v>
      </c>
      <c r="C325" t="s">
        <v>965</v>
      </c>
      <c r="D325" t="s">
        <v>194</v>
      </c>
      <c r="E325" t="s">
        <v>611</v>
      </c>
      <c r="F325" t="s">
        <v>13</v>
      </c>
      <c r="G325" t="s">
        <v>13</v>
      </c>
      <c r="H325" t="s">
        <v>13</v>
      </c>
      <c r="K325" s="30"/>
      <c r="L325" s="8">
        <v>42956.042557870373</v>
      </c>
      <c r="M325" s="21">
        <f>LEN(ProjTextTable[[#This Row],[text]])</f>
        <v>3157</v>
      </c>
      <c r="N325" s="21">
        <f>LEN(TRIM(CLEAN(SUBSTITUTE(ProjTextTable[[#This Row],[text]],CHAR(10)," "))))+1 - LEN(SUBSTITUTE(CLEAN(SUBSTITUTE(ProjTextTable[[#This Row],[text]],CHAR(10)," "))," ",""))</f>
        <v>462</v>
      </c>
      <c r="O325" t="s">
        <v>13</v>
      </c>
      <c r="P325" t="s">
        <v>1146</v>
      </c>
    </row>
    <row r="326" spans="1:16" x14ac:dyDescent="0.4">
      <c r="A326">
        <f t="shared" si="5"/>
        <v>48</v>
      </c>
      <c r="B326" t="s">
        <v>2044</v>
      </c>
      <c r="C326" t="s">
        <v>2045</v>
      </c>
      <c r="D326" t="s">
        <v>533</v>
      </c>
      <c r="E326" t="s">
        <v>2046</v>
      </c>
      <c r="F326" t="s">
        <v>714</v>
      </c>
      <c r="G326" t="s">
        <v>715</v>
      </c>
      <c r="H326" t="s">
        <v>546</v>
      </c>
      <c r="I326" t="s">
        <v>538</v>
      </c>
      <c r="J326" t="s">
        <v>1075</v>
      </c>
      <c r="K326" s="30">
        <v>43059</v>
      </c>
      <c r="L326" s="8">
        <v>43060.673229166663</v>
      </c>
      <c r="M326" s="21">
        <f>LEN(ProjTextTable[[#This Row],[text]])</f>
        <v>5594</v>
      </c>
      <c r="N326" s="21">
        <f>LEN(TRIM(CLEAN(SUBSTITUTE(ProjTextTable[[#This Row],[text]],CHAR(10)," "))))+1 - LEN(SUBSTITUTE(CLEAN(SUBSTITUTE(ProjTextTable[[#This Row],[text]],CHAR(10)," "))," ",""))</f>
        <v>912</v>
      </c>
      <c r="O326" t="s">
        <v>309</v>
      </c>
      <c r="P326" t="s">
        <v>2047</v>
      </c>
    </row>
    <row r="327" spans="1:16" x14ac:dyDescent="0.4">
      <c r="A327">
        <f t="shared" si="5"/>
        <v>48</v>
      </c>
      <c r="B327" t="s">
        <v>2044</v>
      </c>
      <c r="C327" t="s">
        <v>2045</v>
      </c>
      <c r="D327" t="s">
        <v>533</v>
      </c>
      <c r="E327" t="s">
        <v>2046</v>
      </c>
      <c r="F327" t="s">
        <v>2048</v>
      </c>
      <c r="G327" t="s">
        <v>2049</v>
      </c>
      <c r="H327" t="s">
        <v>541</v>
      </c>
      <c r="I327" t="s">
        <v>536</v>
      </c>
      <c r="K327" s="30">
        <v>43067</v>
      </c>
      <c r="L327" s="8">
        <v>43068.488541666666</v>
      </c>
      <c r="M327" s="21">
        <f>LEN(ProjTextTable[[#This Row],[text]])</f>
        <v>3417</v>
      </c>
      <c r="N327" s="21">
        <f>LEN(TRIM(CLEAN(SUBSTITUTE(ProjTextTable[[#This Row],[text]],CHAR(10)," "))))+1 - LEN(SUBSTITUTE(CLEAN(SUBSTITUTE(ProjTextTable[[#This Row],[text]],CHAR(10)," "))," ",""))</f>
        <v>494</v>
      </c>
      <c r="O327" t="s">
        <v>542</v>
      </c>
      <c r="P327" t="s">
        <v>2050</v>
      </c>
    </row>
    <row r="328" spans="1:16" x14ac:dyDescent="0.4">
      <c r="A328">
        <f t="shared" si="5"/>
        <v>48</v>
      </c>
      <c r="B328" t="s">
        <v>2044</v>
      </c>
      <c r="C328" t="s">
        <v>2045</v>
      </c>
      <c r="D328" t="s">
        <v>2</v>
      </c>
      <c r="E328" t="s">
        <v>2046</v>
      </c>
      <c r="F328" t="s">
        <v>13</v>
      </c>
      <c r="G328" t="s">
        <v>609</v>
      </c>
      <c r="H328" t="s">
        <v>13</v>
      </c>
      <c r="I328" t="s">
        <v>13</v>
      </c>
      <c r="K328" s="30"/>
      <c r="L328" s="8">
        <v>43070.440868055557</v>
      </c>
      <c r="M328" s="21">
        <f>LEN(ProjTextTable[[#This Row],[text]])</f>
        <v>3969</v>
      </c>
      <c r="N328" s="21">
        <f>LEN(TRIM(CLEAN(SUBSTITUTE(ProjTextTable[[#This Row],[text]],CHAR(10)," "))))+1 - LEN(SUBSTITUTE(CLEAN(SUBSTITUTE(ProjTextTable[[#This Row],[text]],CHAR(10)," "))," ",""))</f>
        <v>606</v>
      </c>
      <c r="O328" t="s">
        <v>13</v>
      </c>
      <c r="P328" t="s">
        <v>2051</v>
      </c>
    </row>
    <row r="329" spans="1:16" x14ac:dyDescent="0.4">
      <c r="A329">
        <f t="shared" si="5"/>
        <v>48</v>
      </c>
      <c r="B329" t="s">
        <v>2044</v>
      </c>
      <c r="C329" t="s">
        <v>2045</v>
      </c>
      <c r="D329" t="s">
        <v>192</v>
      </c>
      <c r="E329" t="s">
        <v>2052</v>
      </c>
      <c r="F329" t="s">
        <v>799</v>
      </c>
      <c r="G329" t="s">
        <v>800</v>
      </c>
      <c r="H329" t="s">
        <v>801</v>
      </c>
      <c r="I329" t="s">
        <v>201</v>
      </c>
      <c r="J329" t="s">
        <v>175</v>
      </c>
      <c r="K329" s="30">
        <v>43060</v>
      </c>
      <c r="L329" s="8">
        <v>43059.614282407405</v>
      </c>
      <c r="M329" s="21">
        <f>LEN(ProjTextTable[[#This Row],[text]])</f>
        <v>3606</v>
      </c>
      <c r="N329" s="21">
        <f>LEN(TRIM(CLEAN(SUBSTITUTE(ProjTextTable[[#This Row],[text]],CHAR(10)," "))))+1 - LEN(SUBSTITUTE(CLEAN(SUBSTITUTE(ProjTextTable[[#This Row],[text]],CHAR(10)," "))," ",""))</f>
        <v>593</v>
      </c>
      <c r="O329" t="s">
        <v>198</v>
      </c>
      <c r="P329" t="s">
        <v>2053</v>
      </c>
    </row>
    <row r="330" spans="1:16" x14ac:dyDescent="0.4">
      <c r="A330">
        <f t="shared" si="5"/>
        <v>48</v>
      </c>
      <c r="B330" t="s">
        <v>2044</v>
      </c>
      <c r="C330" t="s">
        <v>2045</v>
      </c>
      <c r="D330" t="s">
        <v>192</v>
      </c>
      <c r="E330" t="s">
        <v>2046</v>
      </c>
      <c r="F330" t="s">
        <v>2054</v>
      </c>
      <c r="G330" t="s">
        <v>2055</v>
      </c>
      <c r="H330" t="s">
        <v>2056</v>
      </c>
      <c r="I330" t="s">
        <v>537</v>
      </c>
      <c r="J330" t="s">
        <v>175</v>
      </c>
      <c r="K330" s="30">
        <v>43068</v>
      </c>
      <c r="L330" s="8">
        <v>43068.363229166665</v>
      </c>
      <c r="M330" s="21">
        <f>LEN(ProjTextTable[[#This Row],[text]])</f>
        <v>6314</v>
      </c>
      <c r="N330" s="21">
        <f>LEN(TRIM(CLEAN(SUBSTITUTE(ProjTextTable[[#This Row],[text]],CHAR(10)," "))))+1 - LEN(SUBSTITUTE(CLEAN(SUBSTITUTE(ProjTextTable[[#This Row],[text]],CHAR(10)," "))," ",""))</f>
        <v>1000</v>
      </c>
      <c r="O330" t="s">
        <v>197</v>
      </c>
      <c r="P330" t="s">
        <v>2057</v>
      </c>
    </row>
    <row r="331" spans="1:16" x14ac:dyDescent="0.4">
      <c r="A331">
        <f t="shared" si="5"/>
        <v>48</v>
      </c>
      <c r="B331" t="s">
        <v>2044</v>
      </c>
      <c r="C331" t="s">
        <v>2045</v>
      </c>
      <c r="D331" t="s">
        <v>192</v>
      </c>
      <c r="E331" t="s">
        <v>2046</v>
      </c>
      <c r="F331" t="s">
        <v>2058</v>
      </c>
      <c r="G331" t="s">
        <v>2059</v>
      </c>
      <c r="H331" t="s">
        <v>2060</v>
      </c>
      <c r="I331" t="s">
        <v>537</v>
      </c>
      <c r="J331" t="s">
        <v>175</v>
      </c>
      <c r="K331" s="30">
        <v>43068</v>
      </c>
      <c r="L331" s="8">
        <v>43067.758935185186</v>
      </c>
      <c r="M331" s="21">
        <f>LEN(ProjTextTable[[#This Row],[text]])</f>
        <v>2592</v>
      </c>
      <c r="N331" s="21">
        <f>LEN(TRIM(CLEAN(SUBSTITUTE(ProjTextTable[[#This Row],[text]],CHAR(10)," "))))+1 - LEN(SUBSTITUTE(CLEAN(SUBSTITUTE(ProjTextTable[[#This Row],[text]],CHAR(10)," "))," ",""))</f>
        <v>383</v>
      </c>
      <c r="O331" t="s">
        <v>193</v>
      </c>
      <c r="P331" t="s">
        <v>2061</v>
      </c>
    </row>
    <row r="332" spans="1:16" x14ac:dyDescent="0.4">
      <c r="A332">
        <f t="shared" si="5"/>
        <v>48</v>
      </c>
      <c r="B332" t="s">
        <v>2044</v>
      </c>
      <c r="C332" t="s">
        <v>2045</v>
      </c>
      <c r="D332" t="s">
        <v>192</v>
      </c>
      <c r="E332" t="s">
        <v>2052</v>
      </c>
      <c r="F332" t="s">
        <v>757</v>
      </c>
      <c r="G332" t="s">
        <v>758</v>
      </c>
      <c r="H332" t="s">
        <v>759</v>
      </c>
      <c r="I332" t="s">
        <v>201</v>
      </c>
      <c r="J332" t="s">
        <v>175</v>
      </c>
      <c r="K332" s="30">
        <v>43060</v>
      </c>
      <c r="L332" s="8">
        <v>43057.350092592591</v>
      </c>
      <c r="M332" s="21">
        <f>LEN(ProjTextTable[[#This Row],[text]])</f>
        <v>4440</v>
      </c>
      <c r="N332" s="21">
        <f>LEN(TRIM(CLEAN(SUBSTITUTE(ProjTextTable[[#This Row],[text]],CHAR(10)," "))))+1 - LEN(SUBSTITUTE(CLEAN(SUBSTITUTE(ProjTextTable[[#This Row],[text]],CHAR(10)," "))," ",""))</f>
        <v>695</v>
      </c>
      <c r="O332" t="s">
        <v>229</v>
      </c>
      <c r="P332" t="s">
        <v>2062</v>
      </c>
    </row>
    <row r="333" spans="1:16" x14ac:dyDescent="0.4">
      <c r="A333">
        <f t="shared" si="5"/>
        <v>48</v>
      </c>
      <c r="B333" t="s">
        <v>2044</v>
      </c>
      <c r="C333" t="s">
        <v>2045</v>
      </c>
      <c r="D333" t="s">
        <v>192</v>
      </c>
      <c r="E333" t="s">
        <v>2052</v>
      </c>
      <c r="F333" t="s">
        <v>891</v>
      </c>
      <c r="G333" t="s">
        <v>892</v>
      </c>
      <c r="H333" t="s">
        <v>893</v>
      </c>
      <c r="I333" t="s">
        <v>201</v>
      </c>
      <c r="J333" t="s">
        <v>175</v>
      </c>
      <c r="K333" s="30">
        <v>43060</v>
      </c>
      <c r="L333" s="8">
        <v>43060.569803240738</v>
      </c>
      <c r="M333" s="21">
        <f>LEN(ProjTextTable[[#This Row],[text]])</f>
        <v>3343</v>
      </c>
      <c r="N333" s="21">
        <f>LEN(TRIM(CLEAN(SUBSTITUTE(ProjTextTable[[#This Row],[text]],CHAR(10)," "))))+1 - LEN(SUBSTITUTE(CLEAN(SUBSTITUTE(ProjTextTable[[#This Row],[text]],CHAR(10)," "))," ",""))</f>
        <v>535</v>
      </c>
      <c r="O333" t="s">
        <v>193</v>
      </c>
      <c r="P333" t="s">
        <v>2063</v>
      </c>
    </row>
    <row r="334" spans="1:16" x14ac:dyDescent="0.4">
      <c r="A334">
        <f t="shared" si="5"/>
        <v>48</v>
      </c>
      <c r="B334" t="s">
        <v>2044</v>
      </c>
      <c r="C334" t="s">
        <v>2045</v>
      </c>
      <c r="D334" t="s">
        <v>194</v>
      </c>
      <c r="E334" t="s">
        <v>2046</v>
      </c>
      <c r="F334" t="s">
        <v>13</v>
      </c>
      <c r="G334" t="s">
        <v>13</v>
      </c>
      <c r="H334" t="s">
        <v>13</v>
      </c>
      <c r="K334" s="30"/>
      <c r="L334" s="8">
        <v>42957.042500000003</v>
      </c>
      <c r="M334" s="21">
        <f>LEN(ProjTextTable[[#This Row],[text]])</f>
        <v>4289</v>
      </c>
      <c r="N334" s="21">
        <f>LEN(TRIM(CLEAN(SUBSTITUTE(ProjTextTable[[#This Row],[text]],CHAR(10)," "))))+1 - LEN(SUBSTITUTE(CLEAN(SUBSTITUTE(ProjTextTable[[#This Row],[text]],CHAR(10)," "))," ",""))</f>
        <v>657</v>
      </c>
      <c r="O334" t="s">
        <v>13</v>
      </c>
      <c r="P334" t="s">
        <v>2064</v>
      </c>
    </row>
    <row r="335" spans="1:16" x14ac:dyDescent="0.4">
      <c r="A335">
        <f t="shared" si="5"/>
        <v>49</v>
      </c>
      <c r="B335" t="s">
        <v>1147</v>
      </c>
      <c r="C335" t="s">
        <v>1148</v>
      </c>
      <c r="D335" t="s">
        <v>533</v>
      </c>
      <c r="E335" t="s">
        <v>604</v>
      </c>
      <c r="F335" t="s">
        <v>605</v>
      </c>
      <c r="G335" t="s">
        <v>606</v>
      </c>
      <c r="H335" t="s">
        <v>541</v>
      </c>
      <c r="I335" t="s">
        <v>536</v>
      </c>
      <c r="J335" t="s">
        <v>538</v>
      </c>
      <c r="K335" s="30">
        <v>43031</v>
      </c>
      <c r="L335" s="8">
        <v>43032.655659722222</v>
      </c>
      <c r="M335" s="21">
        <f>LEN(ProjTextTable[[#This Row],[text]])</f>
        <v>2426</v>
      </c>
      <c r="N335" s="21">
        <f>LEN(TRIM(CLEAN(SUBSTITUTE(ProjTextTable[[#This Row],[text]],CHAR(10)," "))))+1 - LEN(SUBSTITUTE(CLEAN(SUBSTITUTE(ProjTextTable[[#This Row],[text]],CHAR(10)," "))," ",""))</f>
        <v>361</v>
      </c>
      <c r="O335" t="s">
        <v>542</v>
      </c>
      <c r="P335" t="s">
        <v>1149</v>
      </c>
    </row>
    <row r="336" spans="1:16" x14ac:dyDescent="0.4">
      <c r="A336">
        <f t="shared" si="5"/>
        <v>49</v>
      </c>
      <c r="B336" t="s">
        <v>1147</v>
      </c>
      <c r="C336" t="s">
        <v>1148</v>
      </c>
      <c r="D336" t="s">
        <v>2</v>
      </c>
      <c r="E336" t="s">
        <v>604</v>
      </c>
      <c r="F336" t="s">
        <v>13</v>
      </c>
      <c r="G336" t="s">
        <v>609</v>
      </c>
      <c r="H336" t="s">
        <v>13</v>
      </c>
      <c r="I336" t="s">
        <v>13</v>
      </c>
      <c r="K336" s="30"/>
      <c r="L336" s="8">
        <v>43082.662800925929</v>
      </c>
      <c r="M336" s="21">
        <f>LEN(ProjTextTable[[#This Row],[text]])</f>
        <v>2067</v>
      </c>
      <c r="N336" s="21">
        <f>LEN(TRIM(CLEAN(SUBSTITUTE(ProjTextTable[[#This Row],[text]],CHAR(10)," "))))+1 - LEN(SUBSTITUTE(CLEAN(SUBSTITUTE(ProjTextTable[[#This Row],[text]],CHAR(10)," "))," ",""))</f>
        <v>302</v>
      </c>
      <c r="O336" t="s">
        <v>13</v>
      </c>
      <c r="P336" t="s">
        <v>1150</v>
      </c>
    </row>
    <row r="337" spans="1:16" x14ac:dyDescent="0.4">
      <c r="A337">
        <f t="shared" si="5"/>
        <v>49</v>
      </c>
      <c r="B337" t="s">
        <v>1147</v>
      </c>
      <c r="C337" t="s">
        <v>1148</v>
      </c>
      <c r="D337" t="s">
        <v>192</v>
      </c>
      <c r="E337" t="s">
        <v>611</v>
      </c>
      <c r="F337" t="s">
        <v>621</v>
      </c>
      <c r="G337" t="s">
        <v>622</v>
      </c>
      <c r="H337" t="s">
        <v>623</v>
      </c>
      <c r="I337" t="s">
        <v>201</v>
      </c>
      <c r="J337" t="s">
        <v>175</v>
      </c>
      <c r="K337" s="30">
        <v>43032</v>
      </c>
      <c r="L337" s="8">
        <v>43029.952604166669</v>
      </c>
      <c r="M337" s="21">
        <f>LEN(ProjTextTable[[#This Row],[text]])</f>
        <v>2564</v>
      </c>
      <c r="N337" s="21">
        <f>LEN(TRIM(CLEAN(SUBSTITUTE(ProjTextTable[[#This Row],[text]],CHAR(10)," "))))+1 - LEN(SUBSTITUTE(CLEAN(SUBSTITUTE(ProjTextTable[[#This Row],[text]],CHAR(10)," "))," ",""))</f>
        <v>374</v>
      </c>
      <c r="O337" t="s">
        <v>193</v>
      </c>
      <c r="P337" t="s">
        <v>1151</v>
      </c>
    </row>
    <row r="338" spans="1:16" x14ac:dyDescent="0.4">
      <c r="A338">
        <f t="shared" si="5"/>
        <v>49</v>
      </c>
      <c r="B338" t="s">
        <v>1147</v>
      </c>
      <c r="C338" t="s">
        <v>1148</v>
      </c>
      <c r="D338" t="s">
        <v>192</v>
      </c>
      <c r="E338" t="s">
        <v>611</v>
      </c>
      <c r="F338" t="s">
        <v>708</v>
      </c>
      <c r="G338" t="s">
        <v>709</v>
      </c>
      <c r="H338" t="s">
        <v>710</v>
      </c>
      <c r="I338" t="s">
        <v>201</v>
      </c>
      <c r="J338" t="s">
        <v>175</v>
      </c>
      <c r="K338" s="30">
        <v>43032</v>
      </c>
      <c r="L338" s="8">
        <v>43031.107453703706</v>
      </c>
      <c r="M338" s="21">
        <f>LEN(ProjTextTable[[#This Row],[text]])</f>
        <v>2410</v>
      </c>
      <c r="N338" s="21">
        <f>LEN(TRIM(CLEAN(SUBSTITUTE(ProjTextTable[[#This Row],[text]],CHAR(10)," "))))+1 - LEN(SUBSTITUTE(CLEAN(SUBSTITUTE(ProjTextTable[[#This Row],[text]],CHAR(10)," "))," ",""))</f>
        <v>358</v>
      </c>
      <c r="O338" t="s">
        <v>193</v>
      </c>
      <c r="P338" t="s">
        <v>1152</v>
      </c>
    </row>
    <row r="339" spans="1:16" x14ac:dyDescent="0.4">
      <c r="A339">
        <f t="shared" si="5"/>
        <v>49</v>
      </c>
      <c r="B339" t="s">
        <v>1147</v>
      </c>
      <c r="C339" t="s">
        <v>1148</v>
      </c>
      <c r="D339" t="s">
        <v>192</v>
      </c>
      <c r="E339" t="s">
        <v>611</v>
      </c>
      <c r="F339" t="s">
        <v>664</v>
      </c>
      <c r="G339" t="s">
        <v>665</v>
      </c>
      <c r="H339" t="s">
        <v>666</v>
      </c>
      <c r="I339" t="s">
        <v>201</v>
      </c>
      <c r="J339" t="s">
        <v>175</v>
      </c>
      <c r="K339" s="30">
        <v>43032</v>
      </c>
      <c r="L339" s="8">
        <v>43031.771365740744</v>
      </c>
      <c r="M339" s="21">
        <f>LEN(ProjTextTable[[#This Row],[text]])</f>
        <v>2018</v>
      </c>
      <c r="N339" s="21">
        <f>LEN(TRIM(CLEAN(SUBSTITUTE(ProjTextTable[[#This Row],[text]],CHAR(10)," "))))+1 - LEN(SUBSTITUTE(CLEAN(SUBSTITUTE(ProjTextTable[[#This Row],[text]],CHAR(10)," "))," ",""))</f>
        <v>300</v>
      </c>
      <c r="O339" t="s">
        <v>193</v>
      </c>
      <c r="P339" t="s">
        <v>1153</v>
      </c>
    </row>
    <row r="340" spans="1:16" x14ac:dyDescent="0.4">
      <c r="A340">
        <f t="shared" si="5"/>
        <v>49</v>
      </c>
      <c r="B340" t="s">
        <v>1147</v>
      </c>
      <c r="C340" t="s">
        <v>1148</v>
      </c>
      <c r="D340" t="s">
        <v>194</v>
      </c>
      <c r="E340" t="s">
        <v>604</v>
      </c>
      <c r="F340" t="s">
        <v>13</v>
      </c>
      <c r="G340" t="s">
        <v>13</v>
      </c>
      <c r="H340" t="s">
        <v>13</v>
      </c>
      <c r="K340" s="30"/>
      <c r="L340" s="8">
        <v>42957.042546296296</v>
      </c>
      <c r="M340" s="21">
        <f>LEN(ProjTextTable[[#This Row],[text]])</f>
        <v>4631</v>
      </c>
      <c r="N340" s="21">
        <f>LEN(TRIM(CLEAN(SUBSTITUTE(ProjTextTable[[#This Row],[text]],CHAR(10)," "))))+1 - LEN(SUBSTITUTE(CLEAN(SUBSTITUTE(ProjTextTable[[#This Row],[text]],CHAR(10)," "))," ",""))</f>
        <v>656</v>
      </c>
      <c r="O340" t="s">
        <v>13</v>
      </c>
      <c r="P340" t="s">
        <v>1154</v>
      </c>
    </row>
    <row r="341" spans="1:16" x14ac:dyDescent="0.4">
      <c r="A341">
        <f t="shared" si="5"/>
        <v>50</v>
      </c>
      <c r="B341" t="s">
        <v>1155</v>
      </c>
      <c r="C341" t="s">
        <v>1156</v>
      </c>
      <c r="D341" t="s">
        <v>533</v>
      </c>
      <c r="E341" t="s">
        <v>654</v>
      </c>
      <c r="F341" t="s">
        <v>605</v>
      </c>
      <c r="G341" t="s">
        <v>606</v>
      </c>
      <c r="H341" t="s">
        <v>543</v>
      </c>
      <c r="I341" t="s">
        <v>537</v>
      </c>
      <c r="J341" t="s">
        <v>537</v>
      </c>
      <c r="K341" s="30">
        <v>43031</v>
      </c>
      <c r="L341" s="8">
        <v>43032.660509259258</v>
      </c>
      <c r="M341" s="21">
        <f>LEN(ProjTextTable[[#This Row],[text]])</f>
        <v>3383</v>
      </c>
      <c r="N341" s="21">
        <f>LEN(TRIM(CLEAN(SUBSTITUTE(ProjTextTable[[#This Row],[text]],CHAR(10)," "))))+1 - LEN(SUBSTITUTE(CLEAN(SUBSTITUTE(ProjTextTable[[#This Row],[text]],CHAR(10)," "))," ",""))</f>
        <v>505</v>
      </c>
      <c r="O341" t="s">
        <v>544</v>
      </c>
      <c r="P341" t="s">
        <v>1157</v>
      </c>
    </row>
    <row r="342" spans="1:16" x14ac:dyDescent="0.4">
      <c r="A342">
        <f t="shared" si="5"/>
        <v>50</v>
      </c>
      <c r="B342" t="s">
        <v>1155</v>
      </c>
      <c r="C342" t="s">
        <v>1156</v>
      </c>
      <c r="D342" t="s">
        <v>1158</v>
      </c>
      <c r="E342" t="s">
        <v>654</v>
      </c>
      <c r="F342" t="s">
        <v>13</v>
      </c>
      <c r="G342" t="s">
        <v>1159</v>
      </c>
      <c r="H342" t="s">
        <v>13</v>
      </c>
      <c r="I342" t="s">
        <v>13</v>
      </c>
      <c r="K342" s="30"/>
      <c r="L342" s="8">
        <v>43069.566967592589</v>
      </c>
      <c r="M342" s="21">
        <f>LEN(ProjTextTable[[#This Row],[text]])</f>
        <v>3750</v>
      </c>
      <c r="N342" s="21">
        <f>LEN(TRIM(CLEAN(SUBSTITUTE(ProjTextTable[[#This Row],[text]],CHAR(10)," "))))+1 - LEN(SUBSTITUTE(CLEAN(SUBSTITUTE(ProjTextTable[[#This Row],[text]],CHAR(10)," "))," ",""))</f>
        <v>588</v>
      </c>
      <c r="O342" t="s">
        <v>13</v>
      </c>
      <c r="P342" t="s">
        <v>1160</v>
      </c>
    </row>
    <row r="343" spans="1:16" x14ac:dyDescent="0.4">
      <c r="A343">
        <f t="shared" si="5"/>
        <v>50</v>
      </c>
      <c r="B343" t="s">
        <v>1155</v>
      </c>
      <c r="C343" t="s">
        <v>1156</v>
      </c>
      <c r="D343" t="s">
        <v>192</v>
      </c>
      <c r="E343" t="s">
        <v>611</v>
      </c>
      <c r="F343" t="s">
        <v>639</v>
      </c>
      <c r="G343" t="s">
        <v>640</v>
      </c>
      <c r="H343" t="s">
        <v>641</v>
      </c>
      <c r="I343" t="s">
        <v>201</v>
      </c>
      <c r="J343" t="s">
        <v>175</v>
      </c>
      <c r="K343" s="30">
        <v>43032</v>
      </c>
      <c r="L343" s="8">
        <v>43030.168969907405</v>
      </c>
      <c r="M343" s="21">
        <f>LEN(ProjTextTable[[#This Row],[text]])</f>
        <v>1663</v>
      </c>
      <c r="N343" s="21">
        <f>LEN(TRIM(CLEAN(SUBSTITUTE(ProjTextTable[[#This Row],[text]],CHAR(10)," "))))+1 - LEN(SUBSTITUTE(CLEAN(SUBSTITUTE(ProjTextTable[[#This Row],[text]],CHAR(10)," "))," ",""))</f>
        <v>245</v>
      </c>
      <c r="O343" t="s">
        <v>196</v>
      </c>
      <c r="P343" t="s">
        <v>1161</v>
      </c>
    </row>
    <row r="344" spans="1:16" x14ac:dyDescent="0.4">
      <c r="A344">
        <f t="shared" si="5"/>
        <v>50</v>
      </c>
      <c r="B344" t="s">
        <v>1155</v>
      </c>
      <c r="C344" t="s">
        <v>1156</v>
      </c>
      <c r="D344" t="s">
        <v>192</v>
      </c>
      <c r="E344" t="s">
        <v>611</v>
      </c>
      <c r="F344" t="s">
        <v>617</v>
      </c>
      <c r="G344" t="s">
        <v>618</v>
      </c>
      <c r="H344" t="s">
        <v>619</v>
      </c>
      <c r="I344" t="s">
        <v>201</v>
      </c>
      <c r="J344" t="s">
        <v>175</v>
      </c>
      <c r="K344" s="30">
        <v>43032</v>
      </c>
      <c r="L344" s="8">
        <v>43031.369733796295</v>
      </c>
      <c r="M344" s="21">
        <f>LEN(ProjTextTable[[#This Row],[text]])</f>
        <v>1591</v>
      </c>
      <c r="N344" s="21">
        <f>LEN(TRIM(CLEAN(SUBSTITUTE(ProjTextTable[[#This Row],[text]],CHAR(10)," "))))+1 - LEN(SUBSTITUTE(CLEAN(SUBSTITUTE(ProjTextTable[[#This Row],[text]],CHAR(10)," "))," ",""))</f>
        <v>257</v>
      </c>
      <c r="O344" t="s">
        <v>196</v>
      </c>
      <c r="P344" t="s">
        <v>1162</v>
      </c>
    </row>
    <row r="345" spans="1:16" x14ac:dyDescent="0.4">
      <c r="A345">
        <f t="shared" si="5"/>
        <v>50</v>
      </c>
      <c r="B345" t="s">
        <v>1155</v>
      </c>
      <c r="C345" t="s">
        <v>1156</v>
      </c>
      <c r="D345" t="s">
        <v>192</v>
      </c>
      <c r="E345" t="s">
        <v>611</v>
      </c>
      <c r="F345" t="s">
        <v>697</v>
      </c>
      <c r="G345" t="s">
        <v>698</v>
      </c>
      <c r="H345" t="s">
        <v>699</v>
      </c>
      <c r="I345" t="s">
        <v>201</v>
      </c>
      <c r="J345" t="s">
        <v>175</v>
      </c>
      <c r="K345" s="30">
        <v>43032</v>
      </c>
      <c r="L345" s="8">
        <v>43030.807129629633</v>
      </c>
      <c r="M345" s="21">
        <f>LEN(ProjTextTable[[#This Row],[text]])</f>
        <v>1135</v>
      </c>
      <c r="N345" s="21">
        <f>LEN(TRIM(CLEAN(SUBSTITUTE(ProjTextTable[[#This Row],[text]],CHAR(10)," "))))+1 - LEN(SUBSTITUTE(CLEAN(SUBSTITUTE(ProjTextTable[[#This Row],[text]],CHAR(10)," "))," ",""))</f>
        <v>169</v>
      </c>
      <c r="O345" t="s">
        <v>196</v>
      </c>
      <c r="P345" t="s">
        <v>1163</v>
      </c>
    </row>
    <row r="346" spans="1:16" x14ac:dyDescent="0.4">
      <c r="A346">
        <f t="shared" si="5"/>
        <v>51</v>
      </c>
      <c r="B346" t="s">
        <v>1164</v>
      </c>
      <c r="C346" t="s">
        <v>1165</v>
      </c>
      <c r="D346" t="s">
        <v>533</v>
      </c>
      <c r="E346" t="s">
        <v>1166</v>
      </c>
      <c r="F346" t="s">
        <v>714</v>
      </c>
      <c r="G346" t="s">
        <v>715</v>
      </c>
      <c r="H346" t="s">
        <v>541</v>
      </c>
      <c r="I346" t="s">
        <v>536</v>
      </c>
      <c r="J346" t="s">
        <v>534</v>
      </c>
      <c r="K346" s="30">
        <v>43059</v>
      </c>
      <c r="L346" s="8">
        <v>43060.632615740738</v>
      </c>
      <c r="M346" s="21">
        <f>LEN(ProjTextTable[[#This Row],[text]])</f>
        <v>3491</v>
      </c>
      <c r="N346" s="21">
        <f>LEN(TRIM(CLEAN(SUBSTITUTE(ProjTextTable[[#This Row],[text]],CHAR(10)," "))))+1 - LEN(SUBSTITUTE(CLEAN(SUBSTITUTE(ProjTextTable[[#This Row],[text]],CHAR(10)," "))," ",""))</f>
        <v>510</v>
      </c>
      <c r="O346" t="s">
        <v>542</v>
      </c>
      <c r="P346" t="s">
        <v>1167</v>
      </c>
    </row>
    <row r="347" spans="1:16" x14ac:dyDescent="0.4">
      <c r="A347">
        <f t="shared" si="5"/>
        <v>51</v>
      </c>
      <c r="B347" t="s">
        <v>1164</v>
      </c>
      <c r="C347" t="s">
        <v>1165</v>
      </c>
      <c r="D347" t="s">
        <v>533</v>
      </c>
      <c r="E347" t="s">
        <v>1166</v>
      </c>
      <c r="F347" t="s">
        <v>1168</v>
      </c>
      <c r="G347" t="s">
        <v>1169</v>
      </c>
      <c r="H347" t="s">
        <v>539</v>
      </c>
      <c r="I347" t="s">
        <v>535</v>
      </c>
      <c r="J347" t="s">
        <v>535</v>
      </c>
      <c r="K347" s="30">
        <v>43055</v>
      </c>
      <c r="L347" s="8">
        <v>43056.744641203702</v>
      </c>
      <c r="M347" s="21">
        <f>LEN(ProjTextTable[[#This Row],[text]])</f>
        <v>8224</v>
      </c>
      <c r="N347" s="21">
        <f>LEN(TRIM(CLEAN(SUBSTITUTE(ProjTextTable[[#This Row],[text]],CHAR(10)," "))))+1 - LEN(SUBSTITUTE(CLEAN(SUBSTITUTE(ProjTextTable[[#This Row],[text]],CHAR(10)," "))," ",""))</f>
        <v>1258</v>
      </c>
      <c r="O347" t="s">
        <v>540</v>
      </c>
      <c r="P347" t="s">
        <v>1170</v>
      </c>
    </row>
    <row r="348" spans="1:16" x14ac:dyDescent="0.4">
      <c r="A348">
        <f t="shared" si="5"/>
        <v>51</v>
      </c>
      <c r="B348" t="s">
        <v>1164</v>
      </c>
      <c r="C348" t="s">
        <v>1165</v>
      </c>
      <c r="D348" t="s">
        <v>192</v>
      </c>
      <c r="E348" t="s">
        <v>1166</v>
      </c>
      <c r="F348" t="s">
        <v>749</v>
      </c>
      <c r="G348" t="s">
        <v>750</v>
      </c>
      <c r="H348" t="s">
        <v>751</v>
      </c>
      <c r="I348" t="s">
        <v>201</v>
      </c>
      <c r="J348" t="s">
        <v>1171</v>
      </c>
      <c r="K348" s="30">
        <v>43060</v>
      </c>
      <c r="L348" s="8">
        <v>43060.397789351853</v>
      </c>
      <c r="M348" s="21">
        <f>LEN(ProjTextTable[[#This Row],[text]])</f>
        <v>531</v>
      </c>
      <c r="N348" s="21">
        <f>LEN(TRIM(CLEAN(SUBSTITUTE(ProjTextTable[[#This Row],[text]],CHAR(10)," "))))+1 - LEN(SUBSTITUTE(CLEAN(SUBSTITUTE(ProjTextTable[[#This Row],[text]],CHAR(10)," "))," ",""))</f>
        <v>72</v>
      </c>
      <c r="O348" t="s">
        <v>175</v>
      </c>
      <c r="P348" t="s">
        <v>1172</v>
      </c>
    </row>
    <row r="349" spans="1:16" x14ac:dyDescent="0.4">
      <c r="A349">
        <f t="shared" si="5"/>
        <v>51</v>
      </c>
      <c r="B349" t="s">
        <v>1164</v>
      </c>
      <c r="C349" t="s">
        <v>1165</v>
      </c>
      <c r="D349" t="s">
        <v>192</v>
      </c>
      <c r="E349" t="s">
        <v>1166</v>
      </c>
      <c r="F349" t="s">
        <v>753</v>
      </c>
      <c r="G349" t="s">
        <v>754</v>
      </c>
      <c r="H349" t="s">
        <v>755</v>
      </c>
      <c r="I349" t="s">
        <v>201</v>
      </c>
      <c r="J349" t="s">
        <v>175</v>
      </c>
      <c r="K349" s="30">
        <v>43060</v>
      </c>
      <c r="L349" s="8">
        <v>43054.827337962961</v>
      </c>
      <c r="M349" s="21">
        <f>LEN(ProjTextTable[[#This Row],[text]])</f>
        <v>2608</v>
      </c>
      <c r="N349" s="21">
        <f>LEN(TRIM(CLEAN(SUBSTITUTE(ProjTextTable[[#This Row],[text]],CHAR(10)," "))))+1 - LEN(SUBSTITUTE(CLEAN(SUBSTITUTE(ProjTextTable[[#This Row],[text]],CHAR(10)," "))," ",""))</f>
        <v>407</v>
      </c>
      <c r="O349" t="s">
        <v>193</v>
      </c>
      <c r="P349" t="s">
        <v>1173</v>
      </c>
    </row>
    <row r="350" spans="1:16" x14ac:dyDescent="0.4">
      <c r="A350">
        <f t="shared" si="5"/>
        <v>51</v>
      </c>
      <c r="B350" t="s">
        <v>1164</v>
      </c>
      <c r="C350" t="s">
        <v>1165</v>
      </c>
      <c r="D350" t="s">
        <v>192</v>
      </c>
      <c r="E350" t="s">
        <v>1166</v>
      </c>
      <c r="F350" t="s">
        <v>1174</v>
      </c>
      <c r="G350" t="s">
        <v>1175</v>
      </c>
      <c r="H350" t="s">
        <v>1176</v>
      </c>
      <c r="I350" t="s">
        <v>201</v>
      </c>
      <c r="J350" t="s">
        <v>175</v>
      </c>
      <c r="K350" s="30">
        <v>43056</v>
      </c>
      <c r="L350" s="8">
        <v>43055.891493055555</v>
      </c>
      <c r="M350" s="21">
        <f>LEN(ProjTextTable[[#This Row],[text]])</f>
        <v>2468</v>
      </c>
      <c r="N350" s="21">
        <f>LEN(TRIM(CLEAN(SUBSTITUTE(ProjTextTable[[#This Row],[text]],CHAR(10)," "))))+1 - LEN(SUBSTITUTE(CLEAN(SUBSTITUTE(ProjTextTable[[#This Row],[text]],CHAR(10)," "))," ",""))</f>
        <v>370</v>
      </c>
      <c r="O350" t="s">
        <v>193</v>
      </c>
      <c r="P350" t="s">
        <v>1177</v>
      </c>
    </row>
    <row r="351" spans="1:16" x14ac:dyDescent="0.4">
      <c r="A351">
        <f t="shared" si="5"/>
        <v>51</v>
      </c>
      <c r="B351" t="s">
        <v>1164</v>
      </c>
      <c r="C351" t="s">
        <v>1165</v>
      </c>
      <c r="D351" t="s">
        <v>192</v>
      </c>
      <c r="E351" t="s">
        <v>1166</v>
      </c>
      <c r="F351" t="s">
        <v>1178</v>
      </c>
      <c r="G351" t="s">
        <v>1179</v>
      </c>
      <c r="H351" t="s">
        <v>1180</v>
      </c>
      <c r="I351" t="s">
        <v>201</v>
      </c>
      <c r="J351" t="s">
        <v>175</v>
      </c>
      <c r="K351" s="30">
        <v>43056</v>
      </c>
      <c r="L351" s="8">
        <v>43056.450486111113</v>
      </c>
      <c r="M351" s="21">
        <f>LEN(ProjTextTable[[#This Row],[text]])</f>
        <v>2741</v>
      </c>
      <c r="N351" s="21">
        <f>LEN(TRIM(CLEAN(SUBSTITUTE(ProjTextTable[[#This Row],[text]],CHAR(10)," "))))+1 - LEN(SUBSTITUTE(CLEAN(SUBSTITUTE(ProjTextTable[[#This Row],[text]],CHAR(10)," "))," ",""))</f>
        <v>390</v>
      </c>
      <c r="O351" t="s">
        <v>196</v>
      </c>
      <c r="P351" t="s">
        <v>1181</v>
      </c>
    </row>
    <row r="352" spans="1:16" x14ac:dyDescent="0.4">
      <c r="A352">
        <f t="shared" si="5"/>
        <v>51</v>
      </c>
      <c r="B352" t="s">
        <v>1164</v>
      </c>
      <c r="C352" t="s">
        <v>1165</v>
      </c>
      <c r="D352" t="s">
        <v>192</v>
      </c>
      <c r="E352" t="s">
        <v>1166</v>
      </c>
      <c r="F352" t="s">
        <v>721</v>
      </c>
      <c r="G352" t="s">
        <v>722</v>
      </c>
      <c r="H352" t="s">
        <v>723</v>
      </c>
      <c r="I352" t="s">
        <v>201</v>
      </c>
      <c r="J352" t="s">
        <v>175</v>
      </c>
      <c r="K352" s="30">
        <v>43060</v>
      </c>
      <c r="L352" s="8">
        <v>43059.398784722223</v>
      </c>
      <c r="M352" s="21">
        <f>LEN(ProjTextTable[[#This Row],[text]])</f>
        <v>1038</v>
      </c>
      <c r="N352" s="21">
        <f>LEN(TRIM(CLEAN(SUBSTITUTE(ProjTextTable[[#This Row],[text]],CHAR(10)," "))))+1 - LEN(SUBSTITUTE(CLEAN(SUBSTITUTE(ProjTextTable[[#This Row],[text]],CHAR(10)," "))," ",""))</f>
        <v>160</v>
      </c>
      <c r="O352" t="s">
        <v>175</v>
      </c>
      <c r="P352" t="s">
        <v>1182</v>
      </c>
    </row>
    <row r="353" spans="1:16" x14ac:dyDescent="0.4">
      <c r="A353">
        <f t="shared" si="5"/>
        <v>51</v>
      </c>
      <c r="B353" t="s">
        <v>1164</v>
      </c>
      <c r="C353" t="s">
        <v>1165</v>
      </c>
      <c r="D353" t="s">
        <v>192</v>
      </c>
      <c r="E353" t="s">
        <v>1166</v>
      </c>
      <c r="F353" t="s">
        <v>1183</v>
      </c>
      <c r="G353" t="s">
        <v>1184</v>
      </c>
      <c r="H353" t="s">
        <v>1185</v>
      </c>
      <c r="I353" t="s">
        <v>201</v>
      </c>
      <c r="J353" t="s">
        <v>175</v>
      </c>
      <c r="K353" s="30">
        <v>43056</v>
      </c>
      <c r="L353" s="8">
        <v>43055.670520833337</v>
      </c>
      <c r="M353" s="21">
        <f>LEN(ProjTextTable[[#This Row],[text]])</f>
        <v>4016</v>
      </c>
      <c r="N353" s="21">
        <f>LEN(TRIM(CLEAN(SUBSTITUTE(ProjTextTable[[#This Row],[text]],CHAR(10)," "))))+1 - LEN(SUBSTITUTE(CLEAN(SUBSTITUTE(ProjTextTable[[#This Row],[text]],CHAR(10)," "))," ",""))</f>
        <v>607</v>
      </c>
      <c r="O353" t="s">
        <v>197</v>
      </c>
      <c r="P353" t="s">
        <v>1186</v>
      </c>
    </row>
    <row r="354" spans="1:16" x14ac:dyDescent="0.4">
      <c r="A354">
        <f t="shared" si="5"/>
        <v>51</v>
      </c>
      <c r="B354" t="s">
        <v>1164</v>
      </c>
      <c r="C354" t="s">
        <v>1165</v>
      </c>
      <c r="D354" t="s">
        <v>192</v>
      </c>
      <c r="E354" t="s">
        <v>1166</v>
      </c>
      <c r="F354" t="s">
        <v>776</v>
      </c>
      <c r="G354" t="s">
        <v>777</v>
      </c>
      <c r="H354" t="s">
        <v>778</v>
      </c>
      <c r="I354" t="s">
        <v>201</v>
      </c>
      <c r="J354" t="s">
        <v>175</v>
      </c>
      <c r="K354" s="30">
        <v>43060</v>
      </c>
      <c r="L354" s="8">
        <v>43058.943298611113</v>
      </c>
      <c r="M354" s="21">
        <f>LEN(ProjTextTable[[#This Row],[text]])</f>
        <v>2545</v>
      </c>
      <c r="N354" s="21">
        <f>LEN(TRIM(CLEAN(SUBSTITUTE(ProjTextTable[[#This Row],[text]],CHAR(10)," "))))+1 - LEN(SUBSTITUTE(CLEAN(SUBSTITUTE(ProjTextTable[[#This Row],[text]],CHAR(10)," "))," ",""))</f>
        <v>377</v>
      </c>
      <c r="O354" t="s">
        <v>193</v>
      </c>
      <c r="P354" t="s">
        <v>1187</v>
      </c>
    </row>
    <row r="355" spans="1:16" x14ac:dyDescent="0.4">
      <c r="A355">
        <f t="shared" si="5"/>
        <v>51</v>
      </c>
      <c r="B355" t="s">
        <v>1164</v>
      </c>
      <c r="C355" t="s">
        <v>1165</v>
      </c>
      <c r="D355" t="s">
        <v>192</v>
      </c>
      <c r="E355" t="s">
        <v>1166</v>
      </c>
      <c r="F355" t="s">
        <v>1188</v>
      </c>
      <c r="G355" t="s">
        <v>1189</v>
      </c>
      <c r="H355" t="s">
        <v>1190</v>
      </c>
      <c r="I355" t="s">
        <v>175</v>
      </c>
      <c r="J355" t="s">
        <v>175</v>
      </c>
      <c r="K355" s="30">
        <v>43053</v>
      </c>
      <c r="L355" s="8">
        <v>43054.411898148152</v>
      </c>
      <c r="M355" s="21">
        <f>LEN(ProjTextTable[[#This Row],[text]])</f>
        <v>3944</v>
      </c>
      <c r="N355" s="21">
        <f>LEN(TRIM(CLEAN(SUBSTITUTE(ProjTextTable[[#This Row],[text]],CHAR(10)," "))))+1 - LEN(SUBSTITUTE(CLEAN(SUBSTITUTE(ProjTextTable[[#This Row],[text]],CHAR(10)," "))," ",""))</f>
        <v>625</v>
      </c>
      <c r="O355" t="s">
        <v>193</v>
      </c>
      <c r="P355" t="s">
        <v>1191</v>
      </c>
    </row>
    <row r="356" spans="1:16" x14ac:dyDescent="0.4">
      <c r="A356">
        <f t="shared" si="5"/>
        <v>51</v>
      </c>
      <c r="B356" t="s">
        <v>1164</v>
      </c>
      <c r="C356" t="s">
        <v>1165</v>
      </c>
      <c r="D356" t="s">
        <v>192</v>
      </c>
      <c r="E356" t="s">
        <v>1166</v>
      </c>
      <c r="F356" t="s">
        <v>891</v>
      </c>
      <c r="G356" t="s">
        <v>892</v>
      </c>
      <c r="H356" t="s">
        <v>893</v>
      </c>
      <c r="I356" t="s">
        <v>201</v>
      </c>
      <c r="J356" t="s">
        <v>175</v>
      </c>
      <c r="K356" s="30">
        <v>43060</v>
      </c>
      <c r="L356" s="8">
        <v>43058.966643518521</v>
      </c>
      <c r="M356" s="21">
        <f>LEN(ProjTextTable[[#This Row],[text]])</f>
        <v>2873</v>
      </c>
      <c r="N356" s="21">
        <f>LEN(TRIM(CLEAN(SUBSTITUTE(ProjTextTable[[#This Row],[text]],CHAR(10)," "))))+1 - LEN(SUBSTITUTE(CLEAN(SUBSTITUTE(ProjTextTable[[#This Row],[text]],CHAR(10)," "))," ",""))</f>
        <v>429</v>
      </c>
      <c r="O356" t="s">
        <v>193</v>
      </c>
      <c r="P356" t="s">
        <v>1192</v>
      </c>
    </row>
    <row r="357" spans="1:16" x14ac:dyDescent="0.4">
      <c r="A357">
        <f t="shared" si="5"/>
        <v>51</v>
      </c>
      <c r="B357" t="s">
        <v>1164</v>
      </c>
      <c r="C357" t="s">
        <v>1165</v>
      </c>
      <c r="D357" t="s">
        <v>194</v>
      </c>
      <c r="E357" t="s">
        <v>1166</v>
      </c>
      <c r="F357" t="s">
        <v>13</v>
      </c>
      <c r="G357" t="s">
        <v>13</v>
      </c>
      <c r="H357" t="s">
        <v>13</v>
      </c>
      <c r="K357" s="30"/>
      <c r="L357" s="8">
        <v>42957.042731481481</v>
      </c>
      <c r="M357" s="21">
        <f>LEN(ProjTextTable[[#This Row],[text]])</f>
        <v>2775</v>
      </c>
      <c r="N357" s="21">
        <f>LEN(TRIM(CLEAN(SUBSTITUTE(ProjTextTable[[#This Row],[text]],CHAR(10)," "))))+1 - LEN(SUBSTITUTE(CLEAN(SUBSTITUTE(ProjTextTable[[#This Row],[text]],CHAR(10)," "))," ",""))</f>
        <v>375</v>
      </c>
      <c r="O357" t="s">
        <v>13</v>
      </c>
      <c r="P357" t="s">
        <v>1193</v>
      </c>
    </row>
    <row r="358" spans="1:16" x14ac:dyDescent="0.4">
      <c r="A358">
        <f t="shared" si="5"/>
        <v>52</v>
      </c>
      <c r="B358" t="s">
        <v>1194</v>
      </c>
      <c r="C358" t="s">
        <v>1195</v>
      </c>
      <c r="D358" t="s">
        <v>533</v>
      </c>
      <c r="E358" t="s">
        <v>611</v>
      </c>
      <c r="F358" t="s">
        <v>605</v>
      </c>
      <c r="G358" t="s">
        <v>606</v>
      </c>
      <c r="H358" t="s">
        <v>539</v>
      </c>
      <c r="I358" t="s">
        <v>535</v>
      </c>
      <c r="J358" t="s">
        <v>535</v>
      </c>
      <c r="K358" s="30">
        <v>43031</v>
      </c>
      <c r="L358" s="8">
        <v>43032.667974537035</v>
      </c>
      <c r="M358" s="21">
        <f>LEN(ProjTextTable[[#This Row],[text]])</f>
        <v>2371</v>
      </c>
      <c r="N358" s="21">
        <f>LEN(TRIM(CLEAN(SUBSTITUTE(ProjTextTable[[#This Row],[text]],CHAR(10)," "))))+1 - LEN(SUBSTITUTE(CLEAN(SUBSTITUTE(ProjTextTable[[#This Row],[text]],CHAR(10)," "))," ",""))</f>
        <v>361</v>
      </c>
      <c r="O358" t="s">
        <v>540</v>
      </c>
      <c r="P358" t="s">
        <v>1196</v>
      </c>
    </row>
    <row r="359" spans="1:16" x14ac:dyDescent="0.4">
      <c r="A359">
        <f t="shared" si="5"/>
        <v>52</v>
      </c>
      <c r="B359" t="s">
        <v>1194</v>
      </c>
      <c r="C359" t="s">
        <v>1195</v>
      </c>
      <c r="D359" t="s">
        <v>192</v>
      </c>
      <c r="E359" t="s">
        <v>611</v>
      </c>
      <c r="F359" t="s">
        <v>612</v>
      </c>
      <c r="G359" t="s">
        <v>613</v>
      </c>
      <c r="H359" t="s">
        <v>614</v>
      </c>
      <c r="I359" t="s">
        <v>201</v>
      </c>
      <c r="J359" t="s">
        <v>175</v>
      </c>
      <c r="K359" s="30">
        <v>43032</v>
      </c>
      <c r="L359" s="8">
        <v>43031.767731481479</v>
      </c>
      <c r="M359" s="21">
        <f>LEN(ProjTextTable[[#This Row],[text]])</f>
        <v>3988</v>
      </c>
      <c r="N359" s="21">
        <f>LEN(TRIM(CLEAN(SUBSTITUTE(ProjTextTable[[#This Row],[text]],CHAR(10)," "))))+1 - LEN(SUBSTITUTE(CLEAN(SUBSTITUTE(ProjTextTable[[#This Row],[text]],CHAR(10)," "))," ",""))</f>
        <v>620</v>
      </c>
      <c r="O359" t="s">
        <v>198</v>
      </c>
      <c r="P359" t="s">
        <v>1197</v>
      </c>
    </row>
    <row r="360" spans="1:16" x14ac:dyDescent="0.4">
      <c r="A360">
        <f t="shared" si="5"/>
        <v>52</v>
      </c>
      <c r="B360" t="s">
        <v>1194</v>
      </c>
      <c r="C360" t="s">
        <v>1195</v>
      </c>
      <c r="D360" t="s">
        <v>192</v>
      </c>
      <c r="E360" t="s">
        <v>611</v>
      </c>
      <c r="F360" t="s">
        <v>708</v>
      </c>
      <c r="G360" t="s">
        <v>709</v>
      </c>
      <c r="H360" t="s">
        <v>710</v>
      </c>
      <c r="I360" t="s">
        <v>201</v>
      </c>
      <c r="J360" t="s">
        <v>175</v>
      </c>
      <c r="K360" s="30">
        <v>43032</v>
      </c>
      <c r="L360" s="8">
        <v>43031.147233796299</v>
      </c>
      <c r="M360" s="21">
        <f>LEN(ProjTextTable[[#This Row],[text]])</f>
        <v>1088</v>
      </c>
      <c r="N360" s="21">
        <f>LEN(TRIM(CLEAN(SUBSTITUTE(ProjTextTable[[#This Row],[text]],CHAR(10)," "))))+1 - LEN(SUBSTITUTE(CLEAN(SUBSTITUTE(ProjTextTable[[#This Row],[text]],CHAR(10)," "))," ",""))</f>
        <v>154</v>
      </c>
      <c r="O360" t="s">
        <v>196</v>
      </c>
      <c r="P360" t="s">
        <v>1198</v>
      </c>
    </row>
    <row r="361" spans="1:16" x14ac:dyDescent="0.4">
      <c r="A361">
        <f t="shared" si="5"/>
        <v>52</v>
      </c>
      <c r="B361" t="s">
        <v>1194</v>
      </c>
      <c r="C361" t="s">
        <v>1195</v>
      </c>
      <c r="D361" t="s">
        <v>192</v>
      </c>
      <c r="E361" t="s">
        <v>611</v>
      </c>
      <c r="F361" t="s">
        <v>647</v>
      </c>
      <c r="G361" t="s">
        <v>648</v>
      </c>
      <c r="H361" t="s">
        <v>649</v>
      </c>
      <c r="I361" t="s">
        <v>201</v>
      </c>
      <c r="J361" t="s">
        <v>175</v>
      </c>
      <c r="K361" s="30">
        <v>43032</v>
      </c>
      <c r="L361" s="8">
        <v>43031.020694444444</v>
      </c>
      <c r="M361" s="21">
        <f>LEN(ProjTextTable[[#This Row],[text]])</f>
        <v>2238</v>
      </c>
      <c r="N361" s="21">
        <f>LEN(TRIM(CLEAN(SUBSTITUTE(ProjTextTable[[#This Row],[text]],CHAR(10)," "))))+1 - LEN(SUBSTITUTE(CLEAN(SUBSTITUTE(ProjTextTable[[#This Row],[text]],CHAR(10)," "))," ",""))</f>
        <v>333</v>
      </c>
      <c r="O361" t="s">
        <v>198</v>
      </c>
      <c r="P361" t="s">
        <v>1199</v>
      </c>
    </row>
    <row r="362" spans="1:16" x14ac:dyDescent="0.4">
      <c r="A362">
        <f t="shared" si="5"/>
        <v>52</v>
      </c>
      <c r="B362" t="s">
        <v>1194</v>
      </c>
      <c r="C362" t="s">
        <v>1195</v>
      </c>
      <c r="D362" t="s">
        <v>194</v>
      </c>
      <c r="E362" t="s">
        <v>611</v>
      </c>
      <c r="F362" t="s">
        <v>13</v>
      </c>
      <c r="G362" t="s">
        <v>13</v>
      </c>
      <c r="H362" t="s">
        <v>13</v>
      </c>
      <c r="K362" s="30"/>
      <c r="L362" s="8">
        <v>42957.042812500003</v>
      </c>
      <c r="M362" s="21">
        <f>LEN(ProjTextTable[[#This Row],[text]])</f>
        <v>2797</v>
      </c>
      <c r="N362" s="21">
        <f>LEN(TRIM(CLEAN(SUBSTITUTE(ProjTextTable[[#This Row],[text]],CHAR(10)," "))))+1 - LEN(SUBSTITUTE(CLEAN(SUBSTITUTE(ProjTextTable[[#This Row],[text]],CHAR(10)," "))," ",""))</f>
        <v>393</v>
      </c>
      <c r="O362" t="s">
        <v>13</v>
      </c>
      <c r="P362" t="s">
        <v>1200</v>
      </c>
    </row>
    <row r="363" spans="1:16" x14ac:dyDescent="0.4">
      <c r="A363">
        <f t="shared" si="5"/>
        <v>53</v>
      </c>
      <c r="B363" t="s">
        <v>1201</v>
      </c>
      <c r="C363" t="s">
        <v>1202</v>
      </c>
      <c r="D363" t="s">
        <v>533</v>
      </c>
      <c r="E363" t="s">
        <v>604</v>
      </c>
      <c r="F363" t="s">
        <v>605</v>
      </c>
      <c r="G363" t="s">
        <v>606</v>
      </c>
      <c r="H363" t="s">
        <v>546</v>
      </c>
      <c r="I363" t="s">
        <v>538</v>
      </c>
      <c r="J363" t="s">
        <v>534</v>
      </c>
      <c r="K363" s="30">
        <v>43031</v>
      </c>
      <c r="L363" s="8">
        <v>43032.656527777777</v>
      </c>
      <c r="M363" s="21">
        <f>LEN(ProjTextTable[[#This Row],[text]])</f>
        <v>3554</v>
      </c>
      <c r="N363" s="21">
        <f>LEN(TRIM(CLEAN(SUBSTITUTE(ProjTextTable[[#This Row],[text]],CHAR(10)," "))))+1 - LEN(SUBSTITUTE(CLEAN(SUBSTITUTE(ProjTextTable[[#This Row],[text]],CHAR(10)," "))," ",""))</f>
        <v>563</v>
      </c>
      <c r="O363" t="s">
        <v>309</v>
      </c>
      <c r="P363" t="s">
        <v>1203</v>
      </c>
    </row>
    <row r="364" spans="1:16" x14ac:dyDescent="0.4">
      <c r="A364">
        <f t="shared" si="5"/>
        <v>53</v>
      </c>
      <c r="B364" t="s">
        <v>1201</v>
      </c>
      <c r="C364" t="s">
        <v>1202</v>
      </c>
      <c r="D364" t="s">
        <v>2</v>
      </c>
      <c r="E364" t="s">
        <v>604</v>
      </c>
      <c r="F364" t="s">
        <v>13</v>
      </c>
      <c r="G364" t="s">
        <v>609</v>
      </c>
      <c r="H364" t="s">
        <v>13</v>
      </c>
      <c r="I364" t="s">
        <v>13</v>
      </c>
      <c r="K364" s="30"/>
      <c r="L364" s="8">
        <v>43082.669189814813</v>
      </c>
      <c r="M364" s="21">
        <f>LEN(ProjTextTable[[#This Row],[text]])</f>
        <v>2013</v>
      </c>
      <c r="N364" s="21">
        <f>LEN(TRIM(CLEAN(SUBSTITUTE(ProjTextTable[[#This Row],[text]],CHAR(10)," "))))+1 - LEN(SUBSTITUTE(CLEAN(SUBSTITUTE(ProjTextTable[[#This Row],[text]],CHAR(10)," "))," ",""))</f>
        <v>293</v>
      </c>
      <c r="O364" t="s">
        <v>13</v>
      </c>
      <c r="P364" t="s">
        <v>1204</v>
      </c>
    </row>
    <row r="365" spans="1:16" x14ac:dyDescent="0.4">
      <c r="A365">
        <f t="shared" si="5"/>
        <v>53</v>
      </c>
      <c r="B365" t="s">
        <v>1201</v>
      </c>
      <c r="C365" t="s">
        <v>1202</v>
      </c>
      <c r="D365" t="s">
        <v>192</v>
      </c>
      <c r="E365" t="s">
        <v>611</v>
      </c>
      <c r="F365" t="s">
        <v>688</v>
      </c>
      <c r="G365" t="s">
        <v>689</v>
      </c>
      <c r="H365" t="s">
        <v>690</v>
      </c>
      <c r="I365" t="s">
        <v>201</v>
      </c>
      <c r="J365" t="s">
        <v>175</v>
      </c>
      <c r="K365" s="30">
        <v>43032</v>
      </c>
      <c r="L365" s="8">
        <v>43030.886724537035</v>
      </c>
      <c r="M365" s="21">
        <f>LEN(ProjTextTable[[#This Row],[text]])</f>
        <v>2250</v>
      </c>
      <c r="N365" s="21">
        <f>LEN(TRIM(CLEAN(SUBSTITUTE(ProjTextTable[[#This Row],[text]],CHAR(10)," "))))+1 - LEN(SUBSTITUTE(CLEAN(SUBSTITUTE(ProjTextTable[[#This Row],[text]],CHAR(10)," "))," ",""))</f>
        <v>331</v>
      </c>
      <c r="O365" t="s">
        <v>193</v>
      </c>
      <c r="P365" t="s">
        <v>1205</v>
      </c>
    </row>
    <row r="366" spans="1:16" x14ac:dyDescent="0.4">
      <c r="A366">
        <f t="shared" si="5"/>
        <v>53</v>
      </c>
      <c r="B366" t="s">
        <v>1201</v>
      </c>
      <c r="C366" t="s">
        <v>1202</v>
      </c>
      <c r="D366" t="s">
        <v>192</v>
      </c>
      <c r="E366" t="s">
        <v>611</v>
      </c>
      <c r="F366" t="s">
        <v>612</v>
      </c>
      <c r="G366" t="s">
        <v>613</v>
      </c>
      <c r="H366" t="s">
        <v>614</v>
      </c>
      <c r="I366" t="s">
        <v>201</v>
      </c>
      <c r="J366" t="s">
        <v>175</v>
      </c>
      <c r="K366" s="30">
        <v>43032</v>
      </c>
      <c r="L366" s="8">
        <v>43025.633287037039</v>
      </c>
      <c r="M366" s="21">
        <f>LEN(ProjTextTable[[#This Row],[text]])</f>
        <v>2071</v>
      </c>
      <c r="N366" s="21">
        <f>LEN(TRIM(CLEAN(SUBSTITUTE(ProjTextTable[[#This Row],[text]],CHAR(10)," "))))+1 - LEN(SUBSTITUTE(CLEAN(SUBSTITUTE(ProjTextTable[[#This Row],[text]],CHAR(10)," "))," ",""))</f>
        <v>314</v>
      </c>
      <c r="O366" t="s">
        <v>195</v>
      </c>
      <c r="P366" t="s">
        <v>1206</v>
      </c>
    </row>
    <row r="367" spans="1:16" x14ac:dyDescent="0.4">
      <c r="A367">
        <f t="shared" si="5"/>
        <v>53</v>
      </c>
      <c r="B367" t="s">
        <v>1201</v>
      </c>
      <c r="C367" t="s">
        <v>1202</v>
      </c>
      <c r="D367" t="s">
        <v>192</v>
      </c>
      <c r="E367" t="s">
        <v>611</v>
      </c>
      <c r="F367" t="s">
        <v>643</v>
      </c>
      <c r="G367" t="s">
        <v>644</v>
      </c>
      <c r="H367" t="s">
        <v>645</v>
      </c>
      <c r="I367" t="s">
        <v>201</v>
      </c>
      <c r="J367" t="s">
        <v>175</v>
      </c>
      <c r="K367" s="30">
        <v>43032</v>
      </c>
      <c r="L367" s="8">
        <v>43031.742314814815</v>
      </c>
      <c r="M367" s="21">
        <f>LEN(ProjTextTable[[#This Row],[text]])</f>
        <v>1610</v>
      </c>
      <c r="N367" s="21">
        <f>LEN(TRIM(CLEAN(SUBSTITUTE(ProjTextTable[[#This Row],[text]],CHAR(10)," "))))+1 - LEN(SUBSTITUTE(CLEAN(SUBSTITUTE(ProjTextTable[[#This Row],[text]],CHAR(10)," "))," ",""))</f>
        <v>237</v>
      </c>
      <c r="O367" t="s">
        <v>197</v>
      </c>
      <c r="P367" t="s">
        <v>1207</v>
      </c>
    </row>
    <row r="368" spans="1:16" x14ac:dyDescent="0.4">
      <c r="A368">
        <f t="shared" si="5"/>
        <v>53</v>
      </c>
      <c r="B368" t="s">
        <v>1201</v>
      </c>
      <c r="C368" t="s">
        <v>1202</v>
      </c>
      <c r="D368" t="s">
        <v>194</v>
      </c>
      <c r="E368" t="s">
        <v>604</v>
      </c>
      <c r="F368" t="s">
        <v>13</v>
      </c>
      <c r="G368" t="s">
        <v>13</v>
      </c>
      <c r="H368" t="s">
        <v>13</v>
      </c>
      <c r="K368" s="30"/>
      <c r="L368" s="8">
        <v>42957.042870370373</v>
      </c>
      <c r="M368" s="21">
        <f>LEN(ProjTextTable[[#This Row],[text]])</f>
        <v>4426</v>
      </c>
      <c r="N368" s="21">
        <f>LEN(TRIM(CLEAN(SUBSTITUTE(ProjTextTable[[#This Row],[text]],CHAR(10)," "))))+1 - LEN(SUBSTITUTE(CLEAN(SUBSTITUTE(ProjTextTable[[#This Row],[text]],CHAR(10)," "))," ",""))</f>
        <v>577</v>
      </c>
      <c r="O368" t="s">
        <v>13</v>
      </c>
      <c r="P368" t="s">
        <v>1208</v>
      </c>
    </row>
    <row r="369" spans="1:16" x14ac:dyDescent="0.4">
      <c r="A369">
        <f t="shared" si="5"/>
        <v>54</v>
      </c>
      <c r="B369" t="s">
        <v>1209</v>
      </c>
      <c r="C369" t="s">
        <v>1210</v>
      </c>
      <c r="D369" t="s">
        <v>533</v>
      </c>
      <c r="E369" t="s">
        <v>611</v>
      </c>
      <c r="F369" t="s">
        <v>714</v>
      </c>
      <c r="G369" t="s">
        <v>715</v>
      </c>
      <c r="H369" t="s">
        <v>541</v>
      </c>
      <c r="I369" t="s">
        <v>536</v>
      </c>
      <c r="J369" t="s">
        <v>534</v>
      </c>
      <c r="K369" s="30">
        <v>43059</v>
      </c>
      <c r="L369" s="8">
        <v>43060.618263888886</v>
      </c>
      <c r="M369" s="21">
        <f>LEN(ProjTextTable[[#This Row],[text]])</f>
        <v>1859</v>
      </c>
      <c r="N369" s="21">
        <f>LEN(TRIM(CLEAN(SUBSTITUTE(ProjTextTable[[#This Row],[text]],CHAR(10)," "))))+1 - LEN(SUBSTITUTE(CLEAN(SUBSTITUTE(ProjTextTable[[#This Row],[text]],CHAR(10)," "))," ",""))</f>
        <v>279</v>
      </c>
      <c r="O369" t="s">
        <v>542</v>
      </c>
      <c r="P369" t="s">
        <v>1211</v>
      </c>
    </row>
    <row r="370" spans="1:16" x14ac:dyDescent="0.4">
      <c r="A370">
        <f t="shared" si="5"/>
        <v>54</v>
      </c>
      <c r="B370" t="s">
        <v>1209</v>
      </c>
      <c r="C370" t="s">
        <v>1210</v>
      </c>
      <c r="D370" t="s">
        <v>2</v>
      </c>
      <c r="E370" t="s">
        <v>611</v>
      </c>
      <c r="F370" t="s">
        <v>13</v>
      </c>
      <c r="G370" t="s">
        <v>609</v>
      </c>
      <c r="H370" t="s">
        <v>13</v>
      </c>
      <c r="I370" t="s">
        <v>13</v>
      </c>
      <c r="K370" s="30"/>
      <c r="L370" s="8">
        <v>43082.662939814814</v>
      </c>
      <c r="M370" s="21">
        <f>LEN(ProjTextTable[[#This Row],[text]])</f>
        <v>1986</v>
      </c>
      <c r="N370" s="21">
        <f>LEN(TRIM(CLEAN(SUBSTITUTE(ProjTextTable[[#This Row],[text]],CHAR(10)," "))))+1 - LEN(SUBSTITUTE(CLEAN(SUBSTITUTE(ProjTextTable[[#This Row],[text]],CHAR(10)," "))," ",""))</f>
        <v>294</v>
      </c>
      <c r="O370" t="s">
        <v>13</v>
      </c>
      <c r="P370" t="s">
        <v>1212</v>
      </c>
    </row>
    <row r="371" spans="1:16" x14ac:dyDescent="0.4">
      <c r="A371">
        <f t="shared" si="5"/>
        <v>54</v>
      </c>
      <c r="B371" t="s">
        <v>1209</v>
      </c>
      <c r="C371" t="s">
        <v>1210</v>
      </c>
      <c r="D371" t="s">
        <v>192</v>
      </c>
      <c r="E371" t="s">
        <v>611</v>
      </c>
      <c r="F371" t="s">
        <v>799</v>
      </c>
      <c r="G371" t="s">
        <v>800</v>
      </c>
      <c r="H371" t="s">
        <v>801</v>
      </c>
      <c r="I371" t="s">
        <v>201</v>
      </c>
      <c r="J371" t="s">
        <v>175</v>
      </c>
      <c r="K371" s="30">
        <v>43060</v>
      </c>
      <c r="L371" s="8">
        <v>43056.633599537039</v>
      </c>
      <c r="M371" s="21">
        <f>LEN(ProjTextTable[[#This Row],[text]])</f>
        <v>3570</v>
      </c>
      <c r="N371" s="21">
        <f>LEN(TRIM(CLEAN(SUBSTITUTE(ProjTextTable[[#This Row],[text]],CHAR(10)," "))))+1 - LEN(SUBSTITUTE(CLEAN(SUBSTITUTE(ProjTextTable[[#This Row],[text]],CHAR(10)," "))," ",""))</f>
        <v>569</v>
      </c>
      <c r="O371" t="s">
        <v>193</v>
      </c>
      <c r="P371" t="s">
        <v>1213</v>
      </c>
    </row>
    <row r="372" spans="1:16" x14ac:dyDescent="0.4">
      <c r="A372">
        <f t="shared" si="5"/>
        <v>54</v>
      </c>
      <c r="B372" t="s">
        <v>1209</v>
      </c>
      <c r="C372" t="s">
        <v>1210</v>
      </c>
      <c r="D372" t="s">
        <v>192</v>
      </c>
      <c r="E372" t="s">
        <v>611</v>
      </c>
      <c r="F372" t="s">
        <v>749</v>
      </c>
      <c r="G372" t="s">
        <v>750</v>
      </c>
      <c r="H372" t="s">
        <v>751</v>
      </c>
      <c r="I372" t="s">
        <v>201</v>
      </c>
      <c r="J372" t="s">
        <v>175</v>
      </c>
      <c r="K372" s="30">
        <v>43060</v>
      </c>
      <c r="L372" s="8">
        <v>43059.231377314813</v>
      </c>
      <c r="M372" s="21">
        <f>LEN(ProjTextTable[[#This Row],[text]])</f>
        <v>1366</v>
      </c>
      <c r="N372" s="21">
        <f>LEN(TRIM(CLEAN(SUBSTITUTE(ProjTextTable[[#This Row],[text]],CHAR(10)," "))))+1 - LEN(SUBSTITUTE(CLEAN(SUBSTITUTE(ProjTextTable[[#This Row],[text]],CHAR(10)," "))," ",""))</f>
        <v>195</v>
      </c>
      <c r="O372" t="s">
        <v>196</v>
      </c>
      <c r="P372" t="s">
        <v>1214</v>
      </c>
    </row>
    <row r="373" spans="1:16" x14ac:dyDescent="0.4">
      <c r="A373">
        <f t="shared" si="5"/>
        <v>54</v>
      </c>
      <c r="B373" t="s">
        <v>1209</v>
      </c>
      <c r="C373" t="s">
        <v>1210</v>
      </c>
      <c r="D373" t="s">
        <v>192</v>
      </c>
      <c r="E373" t="s">
        <v>611</v>
      </c>
      <c r="F373" t="s">
        <v>964</v>
      </c>
      <c r="G373" t="s">
        <v>965</v>
      </c>
      <c r="H373" t="s">
        <v>966</v>
      </c>
      <c r="I373" t="s">
        <v>201</v>
      </c>
      <c r="J373" t="s">
        <v>175</v>
      </c>
      <c r="K373" s="30">
        <v>43060</v>
      </c>
      <c r="L373" s="8">
        <v>43058.043298611112</v>
      </c>
      <c r="M373" s="21">
        <f>LEN(ProjTextTable[[#This Row],[text]])</f>
        <v>2059</v>
      </c>
      <c r="N373" s="21">
        <f>LEN(TRIM(CLEAN(SUBSTITUTE(ProjTextTable[[#This Row],[text]],CHAR(10)," "))))+1 - LEN(SUBSTITUTE(CLEAN(SUBSTITUTE(ProjTextTable[[#This Row],[text]],CHAR(10)," "))," ",""))</f>
        <v>304</v>
      </c>
      <c r="O373" t="s">
        <v>193</v>
      </c>
      <c r="P373" t="s">
        <v>1215</v>
      </c>
    </row>
    <row r="374" spans="1:16" x14ac:dyDescent="0.4">
      <c r="A374">
        <f t="shared" si="5"/>
        <v>54</v>
      </c>
      <c r="B374" t="s">
        <v>1209</v>
      </c>
      <c r="C374" t="s">
        <v>1210</v>
      </c>
      <c r="D374" t="s">
        <v>194</v>
      </c>
      <c r="E374" t="s">
        <v>611</v>
      </c>
      <c r="F374" t="s">
        <v>13</v>
      </c>
      <c r="G374" t="s">
        <v>13</v>
      </c>
      <c r="H374" t="s">
        <v>13</v>
      </c>
      <c r="K374" s="30"/>
      <c r="L374" s="8">
        <v>42957.042881944442</v>
      </c>
      <c r="M374" s="21">
        <f>LEN(ProjTextTable[[#This Row],[text]])</f>
        <v>3662</v>
      </c>
      <c r="N374" s="21">
        <f>LEN(TRIM(CLEAN(SUBSTITUTE(ProjTextTable[[#This Row],[text]],CHAR(10)," "))))+1 - LEN(SUBSTITUTE(CLEAN(SUBSTITUTE(ProjTextTable[[#This Row],[text]],CHAR(10)," "))," ",""))</f>
        <v>510</v>
      </c>
      <c r="O374" t="s">
        <v>13</v>
      </c>
      <c r="P374" t="s">
        <v>1216</v>
      </c>
    </row>
    <row r="375" spans="1:16" x14ac:dyDescent="0.4">
      <c r="A375">
        <f t="shared" si="5"/>
        <v>55</v>
      </c>
      <c r="B375" t="s">
        <v>1217</v>
      </c>
      <c r="C375" t="s">
        <v>1218</v>
      </c>
      <c r="D375" t="s">
        <v>533</v>
      </c>
      <c r="E375" t="s">
        <v>611</v>
      </c>
      <c r="F375" t="s">
        <v>714</v>
      </c>
      <c r="G375" t="s">
        <v>715</v>
      </c>
      <c r="H375" t="s">
        <v>543</v>
      </c>
      <c r="I375" t="s">
        <v>537</v>
      </c>
      <c r="J375" t="s">
        <v>537</v>
      </c>
      <c r="K375" s="30">
        <v>43059</v>
      </c>
      <c r="L375" s="8">
        <v>43060.622777777775</v>
      </c>
      <c r="M375" s="21">
        <f>LEN(ProjTextTable[[#This Row],[text]])</f>
        <v>1408</v>
      </c>
      <c r="N375" s="21">
        <f>LEN(TRIM(CLEAN(SUBSTITUTE(ProjTextTable[[#This Row],[text]],CHAR(10)," "))))+1 - LEN(SUBSTITUTE(CLEAN(SUBSTITUTE(ProjTextTable[[#This Row],[text]],CHAR(10)," "))," ",""))</f>
        <v>207</v>
      </c>
      <c r="O375" t="s">
        <v>544</v>
      </c>
      <c r="P375" t="s">
        <v>1219</v>
      </c>
    </row>
    <row r="376" spans="1:16" x14ac:dyDescent="0.4">
      <c r="A376">
        <f t="shared" si="5"/>
        <v>55</v>
      </c>
      <c r="B376" t="s">
        <v>1217</v>
      </c>
      <c r="C376" t="s">
        <v>1218</v>
      </c>
      <c r="D376" t="s">
        <v>192</v>
      </c>
      <c r="E376" t="s">
        <v>611</v>
      </c>
      <c r="F376" t="s">
        <v>725</v>
      </c>
      <c r="G376" t="s">
        <v>726</v>
      </c>
      <c r="H376" t="s">
        <v>727</v>
      </c>
      <c r="I376" t="s">
        <v>201</v>
      </c>
      <c r="J376" t="s">
        <v>175</v>
      </c>
      <c r="K376" s="30">
        <v>43060</v>
      </c>
      <c r="L376" s="8">
        <v>43060.396203703705</v>
      </c>
      <c r="M376" s="21">
        <f>LEN(ProjTextTable[[#This Row],[text]])</f>
        <v>1508</v>
      </c>
      <c r="N376" s="21">
        <f>LEN(TRIM(CLEAN(SUBSTITUTE(ProjTextTable[[#This Row],[text]],CHAR(10)," "))))+1 - LEN(SUBSTITUTE(CLEAN(SUBSTITUTE(ProjTextTable[[#This Row],[text]],CHAR(10)," "))," ",""))</f>
        <v>224</v>
      </c>
      <c r="O376" t="s">
        <v>229</v>
      </c>
      <c r="P376" t="s">
        <v>1220</v>
      </c>
    </row>
    <row r="377" spans="1:16" x14ac:dyDescent="0.4">
      <c r="A377">
        <f t="shared" si="5"/>
        <v>55</v>
      </c>
      <c r="B377" t="s">
        <v>1217</v>
      </c>
      <c r="C377" t="s">
        <v>1218</v>
      </c>
      <c r="D377" t="s">
        <v>192</v>
      </c>
      <c r="E377" t="s">
        <v>611</v>
      </c>
      <c r="F377" t="s">
        <v>776</v>
      </c>
      <c r="G377" t="s">
        <v>777</v>
      </c>
      <c r="H377" t="s">
        <v>778</v>
      </c>
      <c r="I377" t="s">
        <v>201</v>
      </c>
      <c r="J377" t="s">
        <v>175</v>
      </c>
      <c r="K377" s="30">
        <v>43060</v>
      </c>
      <c r="L377" s="8">
        <v>43058.906793981485</v>
      </c>
      <c r="M377" s="21">
        <f>LEN(ProjTextTable[[#This Row],[text]])</f>
        <v>1783</v>
      </c>
      <c r="N377" s="21">
        <f>LEN(TRIM(CLEAN(SUBSTITUTE(ProjTextTable[[#This Row],[text]],CHAR(10)," "))))+1 - LEN(SUBSTITUTE(CLEAN(SUBSTITUTE(ProjTextTable[[#This Row],[text]],CHAR(10)," "))," ",""))</f>
        <v>248</v>
      </c>
      <c r="O377" t="s">
        <v>229</v>
      </c>
      <c r="P377" t="s">
        <v>1221</v>
      </c>
    </row>
    <row r="378" spans="1:16" x14ac:dyDescent="0.4">
      <c r="A378">
        <f t="shared" si="5"/>
        <v>55</v>
      </c>
      <c r="B378" t="s">
        <v>1217</v>
      </c>
      <c r="C378" t="s">
        <v>1218</v>
      </c>
      <c r="D378" t="s">
        <v>192</v>
      </c>
      <c r="E378" t="s">
        <v>611</v>
      </c>
      <c r="F378" t="s">
        <v>729</v>
      </c>
      <c r="G378" t="s">
        <v>730</v>
      </c>
      <c r="H378" t="s">
        <v>731</v>
      </c>
      <c r="I378" t="s">
        <v>201</v>
      </c>
      <c r="J378" t="s">
        <v>175</v>
      </c>
      <c r="K378" s="30">
        <v>43060</v>
      </c>
      <c r="L378" s="8">
        <v>43057.490289351852</v>
      </c>
      <c r="M378" s="21">
        <f>LEN(ProjTextTable[[#This Row],[text]])</f>
        <v>1538</v>
      </c>
      <c r="N378" s="21">
        <f>LEN(TRIM(CLEAN(SUBSTITUTE(ProjTextTable[[#This Row],[text]],CHAR(10)," "))))+1 - LEN(SUBSTITUTE(CLEAN(SUBSTITUTE(ProjTextTable[[#This Row],[text]],CHAR(10)," "))," ",""))</f>
        <v>224</v>
      </c>
      <c r="O378" t="s">
        <v>195</v>
      </c>
      <c r="P378" t="s">
        <v>1222</v>
      </c>
    </row>
    <row r="379" spans="1:16" x14ac:dyDescent="0.4">
      <c r="A379">
        <f t="shared" si="5"/>
        <v>55</v>
      </c>
      <c r="B379" t="s">
        <v>1217</v>
      </c>
      <c r="C379" t="s">
        <v>1218</v>
      </c>
      <c r="D379" t="s">
        <v>194</v>
      </c>
      <c r="E379" t="s">
        <v>611</v>
      </c>
      <c r="F379" t="s">
        <v>13</v>
      </c>
      <c r="G379" t="s">
        <v>13</v>
      </c>
      <c r="H379" t="s">
        <v>13</v>
      </c>
      <c r="K379" s="30"/>
      <c r="L379" s="8">
        <v>42957.042951388888</v>
      </c>
      <c r="M379" s="21">
        <f>LEN(ProjTextTable[[#This Row],[text]])</f>
        <v>3667</v>
      </c>
      <c r="N379" s="21">
        <f>LEN(TRIM(CLEAN(SUBSTITUTE(ProjTextTable[[#This Row],[text]],CHAR(10)," "))))+1 - LEN(SUBSTITUTE(CLEAN(SUBSTITUTE(ProjTextTable[[#This Row],[text]],CHAR(10)," "))," ",""))</f>
        <v>501</v>
      </c>
      <c r="O379" t="s">
        <v>13</v>
      </c>
      <c r="P379" t="s">
        <v>1223</v>
      </c>
    </row>
    <row r="380" spans="1:16" x14ac:dyDescent="0.4">
      <c r="A380">
        <f t="shared" si="5"/>
        <v>56</v>
      </c>
      <c r="B380" t="s">
        <v>1224</v>
      </c>
      <c r="C380" t="s">
        <v>1225</v>
      </c>
      <c r="D380" t="s">
        <v>533</v>
      </c>
      <c r="E380" t="s">
        <v>611</v>
      </c>
      <c r="F380" t="s">
        <v>714</v>
      </c>
      <c r="G380" t="s">
        <v>715</v>
      </c>
      <c r="H380" t="s">
        <v>541</v>
      </c>
      <c r="I380" t="s">
        <v>536</v>
      </c>
      <c r="J380" t="s">
        <v>534</v>
      </c>
      <c r="K380" s="30">
        <v>43059</v>
      </c>
      <c r="L380" s="8">
        <v>43060.662372685183</v>
      </c>
      <c r="M380" s="21">
        <f>LEN(ProjTextTable[[#This Row],[text]])</f>
        <v>3012</v>
      </c>
      <c r="N380" s="21">
        <f>LEN(TRIM(CLEAN(SUBSTITUTE(ProjTextTable[[#This Row],[text]],CHAR(10)," "))))+1 - LEN(SUBSTITUTE(CLEAN(SUBSTITUTE(ProjTextTable[[#This Row],[text]],CHAR(10)," "))," ",""))</f>
        <v>439</v>
      </c>
      <c r="O380" t="s">
        <v>542</v>
      </c>
      <c r="P380" t="s">
        <v>1226</v>
      </c>
    </row>
    <row r="381" spans="1:16" x14ac:dyDescent="0.4">
      <c r="A381">
        <f t="shared" si="5"/>
        <v>56</v>
      </c>
      <c r="B381" t="s">
        <v>1224</v>
      </c>
      <c r="C381" t="s">
        <v>1225</v>
      </c>
      <c r="D381" t="s">
        <v>2</v>
      </c>
      <c r="E381" t="s">
        <v>611</v>
      </c>
      <c r="F381" t="s">
        <v>13</v>
      </c>
      <c r="G381" t="s">
        <v>609</v>
      </c>
      <c r="H381" t="s">
        <v>13</v>
      </c>
      <c r="I381" t="s">
        <v>13</v>
      </c>
      <c r="K381" s="30"/>
      <c r="L381" s="8">
        <v>43082.66300925926</v>
      </c>
      <c r="M381" s="21">
        <f>LEN(ProjTextTable[[#This Row],[text]])</f>
        <v>2011</v>
      </c>
      <c r="N381" s="21">
        <f>LEN(TRIM(CLEAN(SUBSTITUTE(ProjTextTable[[#This Row],[text]],CHAR(10)," "))))+1 - LEN(SUBSTITUTE(CLEAN(SUBSTITUTE(ProjTextTable[[#This Row],[text]],CHAR(10)," "))," ",""))</f>
        <v>295</v>
      </c>
      <c r="O381" t="s">
        <v>13</v>
      </c>
      <c r="P381" t="s">
        <v>1227</v>
      </c>
    </row>
    <row r="382" spans="1:16" x14ac:dyDescent="0.4">
      <c r="A382">
        <f t="shared" si="5"/>
        <v>56</v>
      </c>
      <c r="B382" t="s">
        <v>1224</v>
      </c>
      <c r="C382" t="s">
        <v>1225</v>
      </c>
      <c r="D382" t="s">
        <v>192</v>
      </c>
      <c r="E382" t="s">
        <v>611</v>
      </c>
      <c r="F382" t="s">
        <v>964</v>
      </c>
      <c r="G382" t="s">
        <v>965</v>
      </c>
      <c r="H382" t="s">
        <v>966</v>
      </c>
      <c r="I382" t="s">
        <v>201</v>
      </c>
      <c r="J382" t="s">
        <v>175</v>
      </c>
      <c r="K382" s="30">
        <v>43060</v>
      </c>
      <c r="L382" s="8">
        <v>43054.490324074075</v>
      </c>
      <c r="M382" s="21">
        <f>LEN(ProjTextTable[[#This Row],[text]])</f>
        <v>1664</v>
      </c>
      <c r="N382" s="21">
        <f>LEN(TRIM(CLEAN(SUBSTITUTE(ProjTextTable[[#This Row],[text]],CHAR(10)," "))))+1 - LEN(SUBSTITUTE(CLEAN(SUBSTITUTE(ProjTextTable[[#This Row],[text]],CHAR(10)," "))," ",""))</f>
        <v>250</v>
      </c>
      <c r="O382" t="s">
        <v>199</v>
      </c>
      <c r="P382" t="s">
        <v>1228</v>
      </c>
    </row>
    <row r="383" spans="1:16" x14ac:dyDescent="0.4">
      <c r="A383">
        <f t="shared" si="5"/>
        <v>56</v>
      </c>
      <c r="B383" t="s">
        <v>1224</v>
      </c>
      <c r="C383" t="s">
        <v>1225</v>
      </c>
      <c r="D383" t="s">
        <v>192</v>
      </c>
      <c r="E383" t="s">
        <v>611</v>
      </c>
      <c r="F383" t="s">
        <v>757</v>
      </c>
      <c r="G383" t="s">
        <v>758</v>
      </c>
      <c r="H383" t="s">
        <v>759</v>
      </c>
      <c r="I383" t="s">
        <v>201</v>
      </c>
      <c r="J383" t="s">
        <v>175</v>
      </c>
      <c r="K383" s="30">
        <v>43060</v>
      </c>
      <c r="L383" s="8">
        <v>43057.351238425923</v>
      </c>
      <c r="M383" s="21">
        <f>LEN(ProjTextTable[[#This Row],[text]])</f>
        <v>4714</v>
      </c>
      <c r="N383" s="21">
        <f>LEN(TRIM(CLEAN(SUBSTITUTE(ProjTextTable[[#This Row],[text]],CHAR(10)," "))))+1 - LEN(SUBSTITUTE(CLEAN(SUBSTITUTE(ProjTextTable[[#This Row],[text]],CHAR(10)," "))," ",""))</f>
        <v>704</v>
      </c>
      <c r="O383" t="s">
        <v>193</v>
      </c>
      <c r="P383" t="s">
        <v>1229</v>
      </c>
    </row>
    <row r="384" spans="1:16" x14ac:dyDescent="0.4">
      <c r="A384">
        <f t="shared" si="5"/>
        <v>56</v>
      </c>
      <c r="B384" t="s">
        <v>1224</v>
      </c>
      <c r="C384" t="s">
        <v>1225</v>
      </c>
      <c r="D384" t="s">
        <v>192</v>
      </c>
      <c r="E384" t="s">
        <v>611</v>
      </c>
      <c r="F384" t="s">
        <v>891</v>
      </c>
      <c r="G384" t="s">
        <v>892</v>
      </c>
      <c r="H384" t="s">
        <v>893</v>
      </c>
      <c r="I384" t="s">
        <v>201</v>
      </c>
      <c r="J384" t="s">
        <v>175</v>
      </c>
      <c r="K384" s="30">
        <v>43060</v>
      </c>
      <c r="L384" s="8">
        <v>43058.973240740743</v>
      </c>
      <c r="M384" s="21">
        <f>LEN(ProjTextTable[[#This Row],[text]])</f>
        <v>3655</v>
      </c>
      <c r="N384" s="21">
        <f>LEN(TRIM(CLEAN(SUBSTITUTE(ProjTextTable[[#This Row],[text]],CHAR(10)," "))))+1 - LEN(SUBSTITUTE(CLEAN(SUBSTITUTE(ProjTextTable[[#This Row],[text]],CHAR(10)," "))," ",""))</f>
        <v>581</v>
      </c>
      <c r="O384" t="s">
        <v>198</v>
      </c>
      <c r="P384" t="s">
        <v>1230</v>
      </c>
    </row>
    <row r="385" spans="1:16" x14ac:dyDescent="0.4">
      <c r="A385">
        <f t="shared" si="5"/>
        <v>56</v>
      </c>
      <c r="B385" t="s">
        <v>1224</v>
      </c>
      <c r="C385" t="s">
        <v>1225</v>
      </c>
      <c r="D385" t="s">
        <v>194</v>
      </c>
      <c r="E385" t="s">
        <v>611</v>
      </c>
      <c r="F385" t="s">
        <v>13</v>
      </c>
      <c r="G385" t="s">
        <v>13</v>
      </c>
      <c r="H385" t="s">
        <v>13</v>
      </c>
      <c r="K385" s="30"/>
      <c r="L385" s="8">
        <v>42957.043009259258</v>
      </c>
      <c r="M385" s="21">
        <f>LEN(ProjTextTable[[#This Row],[text]])</f>
        <v>4616</v>
      </c>
      <c r="N385" s="21">
        <f>LEN(TRIM(CLEAN(SUBSTITUTE(ProjTextTable[[#This Row],[text]],CHAR(10)," "))))+1 - LEN(SUBSTITUTE(CLEAN(SUBSTITUTE(ProjTextTable[[#This Row],[text]],CHAR(10)," "))," ",""))</f>
        <v>624</v>
      </c>
      <c r="O385" t="s">
        <v>13</v>
      </c>
      <c r="P385" t="s">
        <v>1231</v>
      </c>
    </row>
    <row r="386" spans="1:16" x14ac:dyDescent="0.4">
      <c r="A386">
        <f t="shared" ref="A386:A449" si="6">A385+(B386&lt;&gt;B385)</f>
        <v>57</v>
      </c>
      <c r="B386" t="s">
        <v>1232</v>
      </c>
      <c r="C386" t="s">
        <v>1233</v>
      </c>
      <c r="D386" t="s">
        <v>533</v>
      </c>
      <c r="E386" t="s">
        <v>604</v>
      </c>
      <c r="F386" t="s">
        <v>1234</v>
      </c>
      <c r="G386" t="s">
        <v>606</v>
      </c>
      <c r="H386" t="s">
        <v>546</v>
      </c>
      <c r="I386" t="s">
        <v>538</v>
      </c>
      <c r="J386" t="s">
        <v>534</v>
      </c>
      <c r="K386" s="30">
        <v>43031</v>
      </c>
      <c r="L386" s="8">
        <v>43032.683645833335</v>
      </c>
      <c r="M386" s="21">
        <f>LEN(ProjTextTable[[#This Row],[text]])</f>
        <v>1785</v>
      </c>
      <c r="N386" s="21">
        <f>LEN(TRIM(CLEAN(SUBSTITUTE(ProjTextTable[[#This Row],[text]],CHAR(10)," "))))+1 - LEN(SUBSTITUTE(CLEAN(SUBSTITUTE(ProjTextTable[[#This Row],[text]],CHAR(10)," "))," ",""))</f>
        <v>268</v>
      </c>
      <c r="O386" t="s">
        <v>309</v>
      </c>
      <c r="P386" t="s">
        <v>1235</v>
      </c>
    </row>
    <row r="387" spans="1:16" x14ac:dyDescent="0.4">
      <c r="A387">
        <f t="shared" si="6"/>
        <v>57</v>
      </c>
      <c r="B387" t="s">
        <v>1232</v>
      </c>
      <c r="C387" t="s">
        <v>1233</v>
      </c>
      <c r="D387" t="s">
        <v>2</v>
      </c>
      <c r="E387" t="s">
        <v>604</v>
      </c>
      <c r="F387" t="s">
        <v>13</v>
      </c>
      <c r="G387" t="s">
        <v>609</v>
      </c>
      <c r="H387" t="s">
        <v>13</v>
      </c>
      <c r="I387" t="s">
        <v>13</v>
      </c>
      <c r="K387" s="30"/>
      <c r="L387" s="8">
        <v>43076.608877314815</v>
      </c>
      <c r="M387" s="21">
        <f>LEN(ProjTextTable[[#This Row],[text]])</f>
        <v>2093</v>
      </c>
      <c r="N387" s="21">
        <f>LEN(TRIM(CLEAN(SUBSTITUTE(ProjTextTable[[#This Row],[text]],CHAR(10)," "))))+1 - LEN(SUBSTITUTE(CLEAN(SUBSTITUTE(ProjTextTable[[#This Row],[text]],CHAR(10)," "))," ",""))</f>
        <v>304</v>
      </c>
      <c r="O387" t="s">
        <v>13</v>
      </c>
      <c r="P387" t="s">
        <v>1236</v>
      </c>
    </row>
    <row r="388" spans="1:16" x14ac:dyDescent="0.4">
      <c r="A388">
        <f t="shared" si="6"/>
        <v>57</v>
      </c>
      <c r="B388" t="s">
        <v>1232</v>
      </c>
      <c r="C388" t="s">
        <v>1233</v>
      </c>
      <c r="D388" t="s">
        <v>192</v>
      </c>
      <c r="E388" t="s">
        <v>611</v>
      </c>
      <c r="F388" t="s">
        <v>617</v>
      </c>
      <c r="G388" t="s">
        <v>618</v>
      </c>
      <c r="H388" t="s">
        <v>619</v>
      </c>
      <c r="I388" t="s">
        <v>201</v>
      </c>
      <c r="J388" t="s">
        <v>175</v>
      </c>
      <c r="K388" s="30">
        <v>43032</v>
      </c>
      <c r="L388" s="8">
        <v>43030.825844907406</v>
      </c>
      <c r="M388" s="21">
        <f>LEN(ProjTextTable[[#This Row],[text]])</f>
        <v>1433</v>
      </c>
      <c r="N388" s="21">
        <f>LEN(TRIM(CLEAN(SUBSTITUTE(ProjTextTable[[#This Row],[text]],CHAR(10)," "))))+1 - LEN(SUBSTITUTE(CLEAN(SUBSTITUTE(ProjTextTable[[#This Row],[text]],CHAR(10)," "))," ",""))</f>
        <v>209</v>
      </c>
      <c r="O388" t="s">
        <v>193</v>
      </c>
      <c r="P388" t="s">
        <v>1237</v>
      </c>
    </row>
    <row r="389" spans="1:16" x14ac:dyDescent="0.4">
      <c r="A389">
        <f t="shared" si="6"/>
        <v>57</v>
      </c>
      <c r="B389" t="s">
        <v>1232</v>
      </c>
      <c r="C389" t="s">
        <v>1233</v>
      </c>
      <c r="D389" t="s">
        <v>192</v>
      </c>
      <c r="E389" t="s">
        <v>604</v>
      </c>
      <c r="F389" t="s">
        <v>625</v>
      </c>
      <c r="G389" t="s">
        <v>626</v>
      </c>
      <c r="H389" t="s">
        <v>627</v>
      </c>
      <c r="I389" t="s">
        <v>201</v>
      </c>
      <c r="J389" t="s">
        <v>175</v>
      </c>
      <c r="K389" s="30">
        <v>43032</v>
      </c>
      <c r="L389" s="8">
        <v>43032.675833333335</v>
      </c>
      <c r="M389" s="21">
        <f>LEN(ProjTextTable[[#This Row],[text]])</f>
        <v>2823</v>
      </c>
      <c r="N389" s="21">
        <f>LEN(TRIM(CLEAN(SUBSTITUTE(ProjTextTable[[#This Row],[text]],CHAR(10)," "))))+1 - LEN(SUBSTITUTE(CLEAN(SUBSTITUTE(ProjTextTable[[#This Row],[text]],CHAR(10)," "))," ",""))</f>
        <v>475</v>
      </c>
      <c r="O389" t="s">
        <v>199</v>
      </c>
      <c r="P389" t="s">
        <v>1238</v>
      </c>
    </row>
    <row r="390" spans="1:16" x14ac:dyDescent="0.4">
      <c r="A390">
        <f t="shared" si="6"/>
        <v>57</v>
      </c>
      <c r="B390" t="s">
        <v>1232</v>
      </c>
      <c r="C390" t="s">
        <v>1233</v>
      </c>
      <c r="D390" t="s">
        <v>192</v>
      </c>
      <c r="E390" t="s">
        <v>611</v>
      </c>
      <c r="F390" t="s">
        <v>659</v>
      </c>
      <c r="G390" t="s">
        <v>660</v>
      </c>
      <c r="H390" t="s">
        <v>661</v>
      </c>
      <c r="I390" t="s">
        <v>201</v>
      </c>
      <c r="J390" t="s">
        <v>175</v>
      </c>
      <c r="K390" s="30">
        <v>43032</v>
      </c>
      <c r="L390" s="8">
        <v>43032.53087962963</v>
      </c>
      <c r="M390" s="21">
        <f>LEN(ProjTextTable[[#This Row],[text]])</f>
        <v>5656</v>
      </c>
      <c r="N390" s="21">
        <f>LEN(TRIM(CLEAN(SUBSTITUTE(ProjTextTable[[#This Row],[text]],CHAR(10)," "))))+1 - LEN(SUBSTITUTE(CLEAN(SUBSTITUTE(ProjTextTable[[#This Row],[text]],CHAR(10)," "))," ",""))</f>
        <v>946</v>
      </c>
      <c r="O390" t="s">
        <v>196</v>
      </c>
      <c r="P390" t="s">
        <v>1239</v>
      </c>
    </row>
    <row r="391" spans="1:16" x14ac:dyDescent="0.4">
      <c r="A391">
        <f t="shared" si="6"/>
        <v>57</v>
      </c>
      <c r="B391" t="s">
        <v>1232</v>
      </c>
      <c r="C391" t="s">
        <v>1233</v>
      </c>
      <c r="D391" t="s">
        <v>194</v>
      </c>
      <c r="E391" t="s">
        <v>604</v>
      </c>
      <c r="F391" t="s">
        <v>13</v>
      </c>
      <c r="G391" t="s">
        <v>13</v>
      </c>
      <c r="H391" t="s">
        <v>13</v>
      </c>
      <c r="K391" s="30"/>
      <c r="L391" s="8">
        <v>42957.043009259258</v>
      </c>
      <c r="M391" s="21">
        <f>LEN(ProjTextTable[[#This Row],[text]])</f>
        <v>4368</v>
      </c>
      <c r="N391" s="21">
        <f>LEN(TRIM(CLEAN(SUBSTITUTE(ProjTextTable[[#This Row],[text]],CHAR(10)," "))))+1 - LEN(SUBSTITUTE(CLEAN(SUBSTITUTE(ProjTextTable[[#This Row],[text]],CHAR(10)," "))," ",""))</f>
        <v>604</v>
      </c>
      <c r="O391" t="s">
        <v>13</v>
      </c>
      <c r="P391" t="s">
        <v>1240</v>
      </c>
    </row>
    <row r="392" spans="1:16" x14ac:dyDescent="0.4">
      <c r="A392">
        <f t="shared" si="6"/>
        <v>58</v>
      </c>
      <c r="B392" t="s">
        <v>1241</v>
      </c>
      <c r="C392" t="s">
        <v>1031</v>
      </c>
      <c r="D392" t="s">
        <v>533</v>
      </c>
      <c r="E392" t="s">
        <v>611</v>
      </c>
      <c r="F392" t="s">
        <v>714</v>
      </c>
      <c r="G392" t="s">
        <v>715</v>
      </c>
      <c r="H392" t="s">
        <v>539</v>
      </c>
      <c r="I392" t="s">
        <v>535</v>
      </c>
      <c r="J392" t="s">
        <v>536</v>
      </c>
      <c r="K392" s="30">
        <v>43059</v>
      </c>
      <c r="L392" s="8">
        <v>43060.66642361111</v>
      </c>
      <c r="M392" s="21">
        <f>LEN(ProjTextTable[[#This Row],[text]])</f>
        <v>3676</v>
      </c>
      <c r="N392" s="21">
        <f>LEN(TRIM(CLEAN(SUBSTITUTE(ProjTextTable[[#This Row],[text]],CHAR(10)," "))))+1 - LEN(SUBSTITUTE(CLEAN(SUBSTITUTE(ProjTextTable[[#This Row],[text]],CHAR(10)," "))," ",""))</f>
        <v>552</v>
      </c>
      <c r="O392" t="s">
        <v>540</v>
      </c>
      <c r="P392" t="s">
        <v>1242</v>
      </c>
    </row>
    <row r="393" spans="1:16" x14ac:dyDescent="0.4">
      <c r="A393">
        <f t="shared" si="6"/>
        <v>58</v>
      </c>
      <c r="B393" t="s">
        <v>1241</v>
      </c>
      <c r="C393" t="s">
        <v>1031</v>
      </c>
      <c r="D393" t="s">
        <v>192</v>
      </c>
      <c r="E393" t="s">
        <v>611</v>
      </c>
      <c r="F393" t="s">
        <v>799</v>
      </c>
      <c r="G393" t="s">
        <v>800</v>
      </c>
      <c r="H393" t="s">
        <v>801</v>
      </c>
      <c r="I393" t="s">
        <v>201</v>
      </c>
      <c r="J393" t="s">
        <v>175</v>
      </c>
      <c r="K393" s="30">
        <v>43060</v>
      </c>
      <c r="L393" s="8">
        <v>43056.613564814812</v>
      </c>
      <c r="M393" s="21">
        <f>LEN(ProjTextTable[[#This Row],[text]])</f>
        <v>2469</v>
      </c>
      <c r="N393" s="21">
        <f>LEN(TRIM(CLEAN(SUBSTITUTE(ProjTextTable[[#This Row],[text]],CHAR(10)," "))))+1 - LEN(SUBSTITUTE(CLEAN(SUBSTITUTE(ProjTextTable[[#This Row],[text]],CHAR(10)," "))," ",""))</f>
        <v>386</v>
      </c>
      <c r="O393" t="s">
        <v>196</v>
      </c>
      <c r="P393" t="s">
        <v>1243</v>
      </c>
    </row>
    <row r="394" spans="1:16" x14ac:dyDescent="0.4">
      <c r="A394">
        <f t="shared" si="6"/>
        <v>58</v>
      </c>
      <c r="B394" t="s">
        <v>1241</v>
      </c>
      <c r="C394" t="s">
        <v>1031</v>
      </c>
      <c r="D394" t="s">
        <v>192</v>
      </c>
      <c r="E394" t="s">
        <v>611</v>
      </c>
      <c r="F394" t="s">
        <v>749</v>
      </c>
      <c r="G394" t="s">
        <v>750</v>
      </c>
      <c r="H394" t="s">
        <v>751</v>
      </c>
      <c r="I394" t="s">
        <v>201</v>
      </c>
      <c r="J394" t="s">
        <v>175</v>
      </c>
      <c r="K394" s="30">
        <v>43060</v>
      </c>
      <c r="L394" s="8">
        <v>43059.232060185182</v>
      </c>
      <c r="M394" s="21">
        <f>LEN(ProjTextTable[[#This Row],[text]])</f>
        <v>1235</v>
      </c>
      <c r="N394" s="21">
        <f>LEN(TRIM(CLEAN(SUBSTITUTE(ProjTextTable[[#This Row],[text]],CHAR(10)," "))))+1 - LEN(SUBSTITUTE(CLEAN(SUBSTITUTE(ProjTextTable[[#This Row],[text]],CHAR(10)," "))," ",""))</f>
        <v>175</v>
      </c>
      <c r="O394" t="s">
        <v>196</v>
      </c>
      <c r="P394" t="s">
        <v>1244</v>
      </c>
    </row>
    <row r="395" spans="1:16" x14ac:dyDescent="0.4">
      <c r="A395">
        <f t="shared" si="6"/>
        <v>58</v>
      </c>
      <c r="B395" t="s">
        <v>1241</v>
      </c>
      <c r="C395" t="s">
        <v>1031</v>
      </c>
      <c r="D395" t="s">
        <v>192</v>
      </c>
      <c r="E395" t="s">
        <v>611</v>
      </c>
      <c r="F395" t="s">
        <v>757</v>
      </c>
      <c r="G395" t="s">
        <v>758</v>
      </c>
      <c r="H395" t="s">
        <v>759</v>
      </c>
      <c r="I395" t="s">
        <v>201</v>
      </c>
      <c r="J395" t="s">
        <v>175</v>
      </c>
      <c r="K395" s="30">
        <v>43060</v>
      </c>
      <c r="L395" s="8">
        <v>43060.398576388892</v>
      </c>
      <c r="M395" s="21">
        <f>LEN(ProjTextTable[[#This Row],[text]])</f>
        <v>4632</v>
      </c>
      <c r="N395" s="21">
        <f>LEN(TRIM(CLEAN(SUBSTITUTE(ProjTextTable[[#This Row],[text]],CHAR(10)," "))))+1 - LEN(SUBSTITUTE(CLEAN(SUBSTITUTE(ProjTextTable[[#This Row],[text]],CHAR(10)," "))," ",""))</f>
        <v>693</v>
      </c>
      <c r="O395" t="s">
        <v>196</v>
      </c>
      <c r="P395" t="s">
        <v>1245</v>
      </c>
    </row>
    <row r="396" spans="1:16" x14ac:dyDescent="0.4">
      <c r="A396">
        <f t="shared" si="6"/>
        <v>58</v>
      </c>
      <c r="B396" t="s">
        <v>1241</v>
      </c>
      <c r="C396" t="s">
        <v>1031</v>
      </c>
      <c r="D396" t="s">
        <v>194</v>
      </c>
      <c r="E396" t="s">
        <v>611</v>
      </c>
      <c r="F396" t="s">
        <v>13</v>
      </c>
      <c r="G396" t="s">
        <v>13</v>
      </c>
      <c r="H396" t="s">
        <v>13</v>
      </c>
      <c r="K396" s="30"/>
      <c r="L396" s="8">
        <v>42957.043020833335</v>
      </c>
      <c r="M396" s="21">
        <f>LEN(ProjTextTable[[#This Row],[text]])</f>
        <v>3793</v>
      </c>
      <c r="N396" s="21">
        <f>LEN(TRIM(CLEAN(SUBSTITUTE(ProjTextTable[[#This Row],[text]],CHAR(10)," "))))+1 - LEN(SUBSTITUTE(CLEAN(SUBSTITUTE(ProjTextTable[[#This Row],[text]],CHAR(10)," "))," ",""))</f>
        <v>556</v>
      </c>
      <c r="O396" t="s">
        <v>13</v>
      </c>
      <c r="P396" t="s">
        <v>1246</v>
      </c>
    </row>
    <row r="397" spans="1:16" x14ac:dyDescent="0.4">
      <c r="A397">
        <f t="shared" si="6"/>
        <v>59</v>
      </c>
      <c r="B397" t="s">
        <v>1247</v>
      </c>
      <c r="C397" t="s">
        <v>1248</v>
      </c>
      <c r="D397" t="s">
        <v>533</v>
      </c>
      <c r="E397" t="s">
        <v>604</v>
      </c>
      <c r="F397" t="s">
        <v>605</v>
      </c>
      <c r="G397" t="s">
        <v>606</v>
      </c>
      <c r="H397" t="s">
        <v>546</v>
      </c>
      <c r="I397" t="s">
        <v>538</v>
      </c>
      <c r="J397" t="s">
        <v>534</v>
      </c>
      <c r="K397" s="30">
        <v>43031</v>
      </c>
      <c r="L397" s="8">
        <v>43032.684108796297</v>
      </c>
      <c r="M397" s="21">
        <f>LEN(ProjTextTable[[#This Row],[text]])</f>
        <v>2340</v>
      </c>
      <c r="N397" s="21">
        <f>LEN(TRIM(CLEAN(SUBSTITUTE(ProjTextTable[[#This Row],[text]],CHAR(10)," "))))+1 - LEN(SUBSTITUTE(CLEAN(SUBSTITUTE(ProjTextTable[[#This Row],[text]],CHAR(10)," "))," ",""))</f>
        <v>356</v>
      </c>
      <c r="O397" t="s">
        <v>309</v>
      </c>
      <c r="P397" t="s">
        <v>1249</v>
      </c>
    </row>
    <row r="398" spans="1:16" x14ac:dyDescent="0.4">
      <c r="A398">
        <f t="shared" si="6"/>
        <v>59</v>
      </c>
      <c r="B398" t="s">
        <v>1247</v>
      </c>
      <c r="C398" t="s">
        <v>1248</v>
      </c>
      <c r="D398" t="s">
        <v>2</v>
      </c>
      <c r="E398" t="s">
        <v>604</v>
      </c>
      <c r="F398" t="s">
        <v>13</v>
      </c>
      <c r="G398" t="s">
        <v>609</v>
      </c>
      <c r="H398" t="s">
        <v>13</v>
      </c>
      <c r="I398" t="s">
        <v>13</v>
      </c>
      <c r="K398" s="30"/>
      <c r="L398" s="8">
        <v>43076.608923611115</v>
      </c>
      <c r="M398" s="21">
        <f>LEN(ProjTextTable[[#This Row],[text]])</f>
        <v>2051</v>
      </c>
      <c r="N398" s="21">
        <f>LEN(TRIM(CLEAN(SUBSTITUTE(ProjTextTable[[#This Row],[text]],CHAR(10)," "))))+1 - LEN(SUBSTITUTE(CLEAN(SUBSTITUTE(ProjTextTable[[#This Row],[text]],CHAR(10)," "))," ",""))</f>
        <v>295</v>
      </c>
      <c r="O398" t="s">
        <v>13</v>
      </c>
      <c r="P398" t="s">
        <v>1250</v>
      </c>
    </row>
    <row r="399" spans="1:16" x14ac:dyDescent="0.4">
      <c r="A399">
        <f t="shared" si="6"/>
        <v>59</v>
      </c>
      <c r="B399" t="s">
        <v>1247</v>
      </c>
      <c r="C399" t="s">
        <v>1248</v>
      </c>
      <c r="D399" t="s">
        <v>192</v>
      </c>
      <c r="E399" t="s">
        <v>611</v>
      </c>
      <c r="F399" t="s">
        <v>612</v>
      </c>
      <c r="G399" t="s">
        <v>613</v>
      </c>
      <c r="H399" t="s">
        <v>614</v>
      </c>
      <c r="I399" t="s">
        <v>201</v>
      </c>
      <c r="J399" t="s">
        <v>175</v>
      </c>
      <c r="K399" s="30">
        <v>43032</v>
      </c>
      <c r="L399" s="8">
        <v>43031.750081018516</v>
      </c>
      <c r="M399" s="21">
        <f>LEN(ProjTextTable[[#This Row],[text]])</f>
        <v>3285</v>
      </c>
      <c r="N399" s="21">
        <f>LEN(TRIM(CLEAN(SUBSTITUTE(ProjTextTable[[#This Row],[text]],CHAR(10)," "))))+1 - LEN(SUBSTITUTE(CLEAN(SUBSTITUTE(ProjTextTable[[#This Row],[text]],CHAR(10)," "))," ",""))</f>
        <v>514</v>
      </c>
      <c r="O399" t="s">
        <v>198</v>
      </c>
      <c r="P399" t="s">
        <v>1251</v>
      </c>
    </row>
    <row r="400" spans="1:16" x14ac:dyDescent="0.4">
      <c r="A400">
        <f t="shared" si="6"/>
        <v>59</v>
      </c>
      <c r="B400" t="s">
        <v>1247</v>
      </c>
      <c r="C400" t="s">
        <v>1248</v>
      </c>
      <c r="D400" t="s">
        <v>192</v>
      </c>
      <c r="E400" t="s">
        <v>611</v>
      </c>
      <c r="F400" t="s">
        <v>692</v>
      </c>
      <c r="G400" t="s">
        <v>693</v>
      </c>
      <c r="H400" t="s">
        <v>694</v>
      </c>
      <c r="I400" t="s">
        <v>201</v>
      </c>
      <c r="J400" t="s">
        <v>175</v>
      </c>
      <c r="K400" s="30">
        <v>43032</v>
      </c>
      <c r="L400" s="8">
        <v>43027.933842592596</v>
      </c>
      <c r="M400" s="21">
        <f>LEN(ProjTextTable[[#This Row],[text]])</f>
        <v>2177</v>
      </c>
      <c r="N400" s="21">
        <f>LEN(TRIM(CLEAN(SUBSTITUTE(ProjTextTable[[#This Row],[text]],CHAR(10)," "))))+1 - LEN(SUBSTITUTE(CLEAN(SUBSTITUTE(ProjTextTable[[#This Row],[text]],CHAR(10)," "))," ",""))</f>
        <v>316</v>
      </c>
      <c r="O400" t="s">
        <v>193</v>
      </c>
      <c r="P400" t="s">
        <v>1252</v>
      </c>
    </row>
    <row r="401" spans="1:16" x14ac:dyDescent="0.4">
      <c r="A401">
        <f t="shared" si="6"/>
        <v>59</v>
      </c>
      <c r="B401" t="s">
        <v>1247</v>
      </c>
      <c r="C401" t="s">
        <v>1248</v>
      </c>
      <c r="D401" t="s">
        <v>192</v>
      </c>
      <c r="E401" t="s">
        <v>604</v>
      </c>
      <c r="F401" t="s">
        <v>625</v>
      </c>
      <c r="G401" t="s">
        <v>626</v>
      </c>
      <c r="H401" t="s">
        <v>627</v>
      </c>
      <c r="I401" t="s">
        <v>201</v>
      </c>
      <c r="J401" t="s">
        <v>175</v>
      </c>
      <c r="K401" s="30">
        <v>43032</v>
      </c>
      <c r="L401" s="8">
        <v>43030.934814814813</v>
      </c>
      <c r="M401" s="21">
        <f>LEN(ProjTextTable[[#This Row],[text]])</f>
        <v>1966</v>
      </c>
      <c r="N401" s="21">
        <f>LEN(TRIM(CLEAN(SUBSTITUTE(ProjTextTable[[#This Row],[text]],CHAR(10)," "))))+1 - LEN(SUBSTITUTE(CLEAN(SUBSTITUTE(ProjTextTable[[#This Row],[text]],CHAR(10)," "))," ",""))</f>
        <v>299</v>
      </c>
      <c r="O401" t="s">
        <v>197</v>
      </c>
      <c r="P401" t="s">
        <v>1253</v>
      </c>
    </row>
    <row r="402" spans="1:16" x14ac:dyDescent="0.4">
      <c r="A402">
        <f t="shared" si="6"/>
        <v>59</v>
      </c>
      <c r="B402" t="s">
        <v>1247</v>
      </c>
      <c r="C402" t="s">
        <v>1248</v>
      </c>
      <c r="D402" t="s">
        <v>194</v>
      </c>
      <c r="E402" t="s">
        <v>604</v>
      </c>
      <c r="F402" t="s">
        <v>13</v>
      </c>
      <c r="G402" t="s">
        <v>13</v>
      </c>
      <c r="H402" t="s">
        <v>13</v>
      </c>
      <c r="K402" s="30"/>
      <c r="L402" s="8">
        <v>42957.043055555558</v>
      </c>
      <c r="M402" s="21">
        <f>LEN(ProjTextTable[[#This Row],[text]])</f>
        <v>3067</v>
      </c>
      <c r="N402" s="21">
        <f>LEN(TRIM(CLEAN(SUBSTITUTE(ProjTextTable[[#This Row],[text]],CHAR(10)," "))))+1 - LEN(SUBSTITUTE(CLEAN(SUBSTITUTE(ProjTextTable[[#This Row],[text]],CHAR(10)," "))," ",""))</f>
        <v>414</v>
      </c>
      <c r="O402" t="s">
        <v>13</v>
      </c>
      <c r="P402" t="s">
        <v>1254</v>
      </c>
    </row>
    <row r="403" spans="1:16" x14ac:dyDescent="0.4">
      <c r="A403">
        <f t="shared" si="6"/>
        <v>60</v>
      </c>
      <c r="B403" t="s">
        <v>1255</v>
      </c>
      <c r="C403" t="s">
        <v>750</v>
      </c>
      <c r="D403" t="s">
        <v>533</v>
      </c>
      <c r="E403" t="s">
        <v>654</v>
      </c>
      <c r="F403" t="s">
        <v>605</v>
      </c>
      <c r="G403" t="s">
        <v>606</v>
      </c>
      <c r="H403" t="s">
        <v>539</v>
      </c>
      <c r="I403" t="s">
        <v>535</v>
      </c>
      <c r="J403" t="s">
        <v>536</v>
      </c>
      <c r="K403" s="30">
        <v>43031</v>
      </c>
      <c r="L403" s="8">
        <v>43032.68074074074</v>
      </c>
      <c r="M403" s="21">
        <f>LEN(ProjTextTable[[#This Row],[text]])</f>
        <v>3360</v>
      </c>
      <c r="N403" s="21">
        <f>LEN(TRIM(CLEAN(SUBSTITUTE(ProjTextTable[[#This Row],[text]],CHAR(10)," "))))+1 - LEN(SUBSTITUTE(CLEAN(SUBSTITUTE(ProjTextTable[[#This Row],[text]],CHAR(10)," "))," ",""))</f>
        <v>522</v>
      </c>
      <c r="O403" t="s">
        <v>540</v>
      </c>
      <c r="P403" t="s">
        <v>1256</v>
      </c>
    </row>
    <row r="404" spans="1:16" x14ac:dyDescent="0.4">
      <c r="A404">
        <f t="shared" si="6"/>
        <v>60</v>
      </c>
      <c r="B404" t="s">
        <v>1255</v>
      </c>
      <c r="C404" t="s">
        <v>750</v>
      </c>
      <c r="D404" t="s">
        <v>192</v>
      </c>
      <c r="E404" t="s">
        <v>611</v>
      </c>
      <c r="F404" t="s">
        <v>639</v>
      </c>
      <c r="G404" t="s">
        <v>640</v>
      </c>
      <c r="H404" t="s">
        <v>641</v>
      </c>
      <c r="I404" t="s">
        <v>201</v>
      </c>
      <c r="J404" t="s">
        <v>175</v>
      </c>
      <c r="K404" s="30">
        <v>43032</v>
      </c>
      <c r="L404" s="8">
        <v>43030.166759259257</v>
      </c>
      <c r="M404" s="21">
        <f>LEN(ProjTextTable[[#This Row],[text]])</f>
        <v>1615</v>
      </c>
      <c r="N404" s="21">
        <f>LEN(TRIM(CLEAN(SUBSTITUTE(ProjTextTable[[#This Row],[text]],CHAR(10)," "))))+1 - LEN(SUBSTITUTE(CLEAN(SUBSTITUTE(ProjTextTable[[#This Row],[text]],CHAR(10)," "))," ",""))</f>
        <v>241</v>
      </c>
      <c r="O404" t="s">
        <v>193</v>
      </c>
      <c r="P404" t="s">
        <v>1257</v>
      </c>
    </row>
    <row r="405" spans="1:16" x14ac:dyDescent="0.4">
      <c r="A405">
        <f t="shared" si="6"/>
        <v>60</v>
      </c>
      <c r="B405" t="s">
        <v>1255</v>
      </c>
      <c r="C405" t="s">
        <v>750</v>
      </c>
      <c r="D405" t="s">
        <v>192</v>
      </c>
      <c r="E405" t="s">
        <v>611</v>
      </c>
      <c r="F405" t="s">
        <v>643</v>
      </c>
      <c r="G405" t="s">
        <v>644</v>
      </c>
      <c r="H405" t="s">
        <v>645</v>
      </c>
      <c r="I405" t="s">
        <v>201</v>
      </c>
      <c r="J405" t="s">
        <v>175</v>
      </c>
      <c r="K405" s="30">
        <v>43032</v>
      </c>
      <c r="L405" s="8">
        <v>43031.734490740739</v>
      </c>
      <c r="M405" s="21">
        <f>LEN(ProjTextTable[[#This Row],[text]])</f>
        <v>2978</v>
      </c>
      <c r="N405" s="21">
        <f>LEN(TRIM(CLEAN(SUBSTITUTE(ProjTextTable[[#This Row],[text]],CHAR(10)," "))))+1 - LEN(SUBSTITUTE(CLEAN(SUBSTITUTE(ProjTextTable[[#This Row],[text]],CHAR(10)," "))," ",""))</f>
        <v>447</v>
      </c>
      <c r="O405" t="s">
        <v>198</v>
      </c>
      <c r="P405" t="s">
        <v>1258</v>
      </c>
    </row>
    <row r="406" spans="1:16" x14ac:dyDescent="0.4">
      <c r="A406">
        <f t="shared" si="6"/>
        <v>60</v>
      </c>
      <c r="B406" t="s">
        <v>1255</v>
      </c>
      <c r="C406" t="s">
        <v>750</v>
      </c>
      <c r="D406" t="s">
        <v>192</v>
      </c>
      <c r="E406" t="s">
        <v>611</v>
      </c>
      <c r="F406" t="s">
        <v>664</v>
      </c>
      <c r="G406" t="s">
        <v>665</v>
      </c>
      <c r="H406" t="s">
        <v>666</v>
      </c>
      <c r="I406" t="s">
        <v>201</v>
      </c>
      <c r="J406" t="s">
        <v>175</v>
      </c>
      <c r="K406" s="30">
        <v>43032</v>
      </c>
      <c r="L406" s="8">
        <v>43028.558368055557</v>
      </c>
      <c r="M406" s="21">
        <f>LEN(ProjTextTable[[#This Row],[text]])</f>
        <v>1434</v>
      </c>
      <c r="N406" s="21">
        <f>LEN(TRIM(CLEAN(SUBSTITUTE(ProjTextTable[[#This Row],[text]],CHAR(10)," "))))+1 - LEN(SUBSTITUTE(CLEAN(SUBSTITUTE(ProjTextTable[[#This Row],[text]],CHAR(10)," "))," ",""))</f>
        <v>212</v>
      </c>
      <c r="O406" t="s">
        <v>196</v>
      </c>
      <c r="P406" t="s">
        <v>1259</v>
      </c>
    </row>
    <row r="407" spans="1:16" x14ac:dyDescent="0.4">
      <c r="A407">
        <f t="shared" si="6"/>
        <v>61</v>
      </c>
      <c r="B407" t="s">
        <v>1260</v>
      </c>
      <c r="C407" t="s">
        <v>1261</v>
      </c>
      <c r="D407" t="s">
        <v>533</v>
      </c>
      <c r="E407" t="s">
        <v>611</v>
      </c>
      <c r="F407" t="s">
        <v>1262</v>
      </c>
      <c r="G407" t="s">
        <v>1263</v>
      </c>
      <c r="H407" t="s">
        <v>539</v>
      </c>
      <c r="I407" t="s">
        <v>535</v>
      </c>
      <c r="J407" t="s">
        <v>735</v>
      </c>
      <c r="K407" s="30">
        <v>43080</v>
      </c>
      <c r="L407" s="8">
        <v>43081.558055555557</v>
      </c>
      <c r="M407" s="21">
        <f>LEN(ProjTextTable[[#This Row],[text]])</f>
        <v>4819</v>
      </c>
      <c r="N407" s="21">
        <f>LEN(TRIM(CLEAN(SUBSTITUTE(ProjTextTable[[#This Row],[text]],CHAR(10)," "))))+1 - LEN(SUBSTITUTE(CLEAN(SUBSTITUTE(ProjTextTable[[#This Row],[text]],CHAR(10)," "))," ",""))</f>
        <v>731</v>
      </c>
      <c r="O407" t="s">
        <v>540</v>
      </c>
      <c r="P407" t="s">
        <v>1264</v>
      </c>
    </row>
    <row r="408" spans="1:16" x14ac:dyDescent="0.4">
      <c r="A408">
        <f t="shared" si="6"/>
        <v>61</v>
      </c>
      <c r="B408" t="s">
        <v>1260</v>
      </c>
      <c r="C408" t="s">
        <v>1261</v>
      </c>
      <c r="D408" t="s">
        <v>192</v>
      </c>
      <c r="E408" t="s">
        <v>611</v>
      </c>
      <c r="F408" t="s">
        <v>521</v>
      </c>
      <c r="G408" t="s">
        <v>522</v>
      </c>
      <c r="H408" t="s">
        <v>523</v>
      </c>
      <c r="I408" t="s">
        <v>201</v>
      </c>
      <c r="J408" t="s">
        <v>175</v>
      </c>
      <c r="K408" s="30">
        <v>43081</v>
      </c>
      <c r="L408" s="8">
        <v>43080.081053240741</v>
      </c>
      <c r="M408" s="21">
        <f>LEN(ProjTextTable[[#This Row],[text]])</f>
        <v>2791</v>
      </c>
      <c r="N408" s="21">
        <f>LEN(TRIM(CLEAN(SUBSTITUTE(ProjTextTable[[#This Row],[text]],CHAR(10)," "))))+1 - LEN(SUBSTITUTE(CLEAN(SUBSTITUTE(ProjTextTable[[#This Row],[text]],CHAR(10)," "))," ",""))</f>
        <v>429</v>
      </c>
      <c r="O408" t="s">
        <v>195</v>
      </c>
      <c r="P408" t="s">
        <v>1265</v>
      </c>
    </row>
    <row r="409" spans="1:16" x14ac:dyDescent="0.4">
      <c r="A409">
        <f t="shared" si="6"/>
        <v>61</v>
      </c>
      <c r="B409" t="s">
        <v>1260</v>
      </c>
      <c r="C409" t="s">
        <v>1261</v>
      </c>
      <c r="D409" t="s">
        <v>192</v>
      </c>
      <c r="E409" t="s">
        <v>611</v>
      </c>
      <c r="F409" t="s">
        <v>1266</v>
      </c>
      <c r="G409" t="s">
        <v>1267</v>
      </c>
      <c r="H409" t="s">
        <v>1268</v>
      </c>
      <c r="I409" t="s">
        <v>201</v>
      </c>
      <c r="J409" t="s">
        <v>175</v>
      </c>
      <c r="K409" s="30">
        <v>43081</v>
      </c>
      <c r="L409" s="8">
        <v>43078.941793981481</v>
      </c>
      <c r="M409" s="21">
        <f>LEN(ProjTextTable[[#This Row],[text]])</f>
        <v>6921</v>
      </c>
      <c r="N409" s="21">
        <f>LEN(TRIM(CLEAN(SUBSTITUTE(ProjTextTable[[#This Row],[text]],CHAR(10)," "))))+1 - LEN(SUBSTITUTE(CLEAN(SUBSTITUTE(ProjTextTable[[#This Row],[text]],CHAR(10)," "))," ",""))</f>
        <v>1095</v>
      </c>
      <c r="O409" t="s">
        <v>197</v>
      </c>
      <c r="P409" t="s">
        <v>1269</v>
      </c>
    </row>
    <row r="410" spans="1:16" x14ac:dyDescent="0.4">
      <c r="A410">
        <f t="shared" si="6"/>
        <v>61</v>
      </c>
      <c r="B410" t="s">
        <v>1260</v>
      </c>
      <c r="C410" t="s">
        <v>1261</v>
      </c>
      <c r="D410" t="s">
        <v>192</v>
      </c>
      <c r="E410" t="s">
        <v>611</v>
      </c>
      <c r="F410" t="s">
        <v>1270</v>
      </c>
      <c r="G410" t="s">
        <v>1271</v>
      </c>
      <c r="H410" t="s">
        <v>1272</v>
      </c>
      <c r="I410" t="s">
        <v>201</v>
      </c>
      <c r="J410" t="s">
        <v>175</v>
      </c>
      <c r="K410" s="30">
        <v>43081</v>
      </c>
      <c r="L410" s="8">
        <v>43078.636458333334</v>
      </c>
      <c r="M410" s="21">
        <f>LEN(ProjTextTable[[#This Row],[text]])</f>
        <v>3597</v>
      </c>
      <c r="N410" s="21">
        <f>LEN(TRIM(CLEAN(SUBSTITUTE(ProjTextTable[[#This Row],[text]],CHAR(10)," "))))+1 - LEN(SUBSTITUTE(CLEAN(SUBSTITUTE(ProjTextTable[[#This Row],[text]],CHAR(10)," "))," ",""))</f>
        <v>559</v>
      </c>
      <c r="O410" t="s">
        <v>196</v>
      </c>
      <c r="P410" t="s">
        <v>1273</v>
      </c>
    </row>
    <row r="411" spans="1:16" x14ac:dyDescent="0.4">
      <c r="A411">
        <f t="shared" si="6"/>
        <v>61</v>
      </c>
      <c r="B411" t="s">
        <v>1260</v>
      </c>
      <c r="C411" t="s">
        <v>1261</v>
      </c>
      <c r="D411" t="s">
        <v>192</v>
      </c>
      <c r="E411" t="s">
        <v>611</v>
      </c>
      <c r="F411" t="s">
        <v>1274</v>
      </c>
      <c r="G411" t="s">
        <v>1275</v>
      </c>
      <c r="H411" t="s">
        <v>1276</v>
      </c>
      <c r="I411" t="s">
        <v>201</v>
      </c>
      <c r="J411" t="s">
        <v>175</v>
      </c>
      <c r="K411" s="30">
        <v>43081</v>
      </c>
      <c r="L411" s="8">
        <v>43077.422488425924</v>
      </c>
      <c r="M411" s="21">
        <f>LEN(ProjTextTable[[#This Row],[text]])</f>
        <v>2195</v>
      </c>
      <c r="N411" s="21">
        <f>LEN(TRIM(CLEAN(SUBSTITUTE(ProjTextTable[[#This Row],[text]],CHAR(10)," "))))+1 - LEN(SUBSTITUTE(CLEAN(SUBSTITUTE(ProjTextTable[[#This Row],[text]],CHAR(10)," "))," ",""))</f>
        <v>317</v>
      </c>
      <c r="O411" t="s">
        <v>196</v>
      </c>
      <c r="P411" t="s">
        <v>1277</v>
      </c>
    </row>
    <row r="412" spans="1:16" x14ac:dyDescent="0.4">
      <c r="A412">
        <f t="shared" si="6"/>
        <v>61</v>
      </c>
      <c r="B412" t="s">
        <v>1260</v>
      </c>
      <c r="C412" t="s">
        <v>1261</v>
      </c>
      <c r="D412" t="s">
        <v>194</v>
      </c>
      <c r="E412" t="s">
        <v>611</v>
      </c>
      <c r="F412" t="s">
        <v>13</v>
      </c>
      <c r="G412" t="s">
        <v>13</v>
      </c>
      <c r="H412" t="s">
        <v>13</v>
      </c>
      <c r="K412" s="30"/>
      <c r="L412" s="8">
        <v>43005.042511574073</v>
      </c>
      <c r="M412" s="21">
        <f>LEN(ProjTextTable[[#This Row],[text]])</f>
        <v>3441</v>
      </c>
      <c r="N412" s="21">
        <f>LEN(TRIM(CLEAN(SUBSTITUTE(ProjTextTable[[#This Row],[text]],CHAR(10)," "))))+1 - LEN(SUBSTITUTE(CLEAN(SUBSTITUTE(ProjTextTable[[#This Row],[text]],CHAR(10)," "))," ",""))</f>
        <v>480</v>
      </c>
      <c r="O412" t="s">
        <v>13</v>
      </c>
      <c r="P412" t="s">
        <v>1278</v>
      </c>
    </row>
    <row r="413" spans="1:16" x14ac:dyDescent="0.4">
      <c r="A413">
        <f t="shared" si="6"/>
        <v>62</v>
      </c>
      <c r="B413" t="s">
        <v>1279</v>
      </c>
      <c r="C413" t="s">
        <v>1280</v>
      </c>
      <c r="D413" t="s">
        <v>533</v>
      </c>
      <c r="E413" t="s">
        <v>654</v>
      </c>
      <c r="F413" t="s">
        <v>1262</v>
      </c>
      <c r="G413" t="s">
        <v>1263</v>
      </c>
      <c r="H413" t="s">
        <v>541</v>
      </c>
      <c r="I413" t="s">
        <v>536</v>
      </c>
      <c r="J413" t="s">
        <v>1075</v>
      </c>
      <c r="K413" s="30">
        <v>43080</v>
      </c>
      <c r="L413" s="8">
        <v>43081.558148148149</v>
      </c>
      <c r="M413" s="21">
        <f>LEN(ProjTextTable[[#This Row],[text]])</f>
        <v>2638</v>
      </c>
      <c r="N413" s="21">
        <f>LEN(TRIM(CLEAN(SUBSTITUTE(ProjTextTable[[#This Row],[text]],CHAR(10)," "))))+1 - LEN(SUBSTITUTE(CLEAN(SUBSTITUTE(ProjTextTable[[#This Row],[text]],CHAR(10)," "))," ",""))</f>
        <v>377</v>
      </c>
      <c r="O413" t="s">
        <v>542</v>
      </c>
      <c r="P413" t="s">
        <v>1281</v>
      </c>
    </row>
    <row r="414" spans="1:16" x14ac:dyDescent="0.4">
      <c r="A414">
        <f t="shared" si="6"/>
        <v>62</v>
      </c>
      <c r="B414" t="s">
        <v>1279</v>
      </c>
      <c r="C414" t="s">
        <v>1280</v>
      </c>
      <c r="D414" t="s">
        <v>2</v>
      </c>
      <c r="E414" t="s">
        <v>654</v>
      </c>
      <c r="F414" t="s">
        <v>13</v>
      </c>
      <c r="G414" t="s">
        <v>609</v>
      </c>
      <c r="H414" t="s">
        <v>13</v>
      </c>
      <c r="I414" t="s">
        <v>13</v>
      </c>
      <c r="K414" s="30"/>
      <c r="L414" s="8">
        <v>43082.529826388891</v>
      </c>
      <c r="M414" s="21">
        <f>LEN(ProjTextTable[[#This Row],[text]])</f>
        <v>1919</v>
      </c>
      <c r="N414" s="21">
        <f>LEN(TRIM(CLEAN(SUBSTITUTE(ProjTextTable[[#This Row],[text]],CHAR(10)," "))))+1 - LEN(SUBSTITUTE(CLEAN(SUBSTITUTE(ProjTextTable[[#This Row],[text]],CHAR(10)," "))," ",""))</f>
        <v>285</v>
      </c>
      <c r="O414" t="s">
        <v>13</v>
      </c>
      <c r="P414" t="s">
        <v>1282</v>
      </c>
    </row>
    <row r="415" spans="1:16" x14ac:dyDescent="0.4">
      <c r="A415">
        <f t="shared" si="6"/>
        <v>62</v>
      </c>
      <c r="B415" t="s">
        <v>1279</v>
      </c>
      <c r="C415" t="s">
        <v>1280</v>
      </c>
      <c r="D415" t="s">
        <v>192</v>
      </c>
      <c r="E415" t="s">
        <v>654</v>
      </c>
      <c r="F415" t="s">
        <v>1283</v>
      </c>
      <c r="G415" t="s">
        <v>1284</v>
      </c>
      <c r="H415" t="s">
        <v>1285</v>
      </c>
      <c r="I415" t="s">
        <v>201</v>
      </c>
      <c r="J415" t="s">
        <v>175</v>
      </c>
      <c r="K415" s="30">
        <v>43081</v>
      </c>
      <c r="L415" s="8">
        <v>43080.424861111111</v>
      </c>
      <c r="M415" s="21">
        <f>LEN(ProjTextTable[[#This Row],[text]])</f>
        <v>4324</v>
      </c>
      <c r="N415" s="21">
        <f>LEN(TRIM(CLEAN(SUBSTITUTE(ProjTextTable[[#This Row],[text]],CHAR(10)," "))))+1 - LEN(SUBSTITUTE(CLEAN(SUBSTITUTE(ProjTextTable[[#This Row],[text]],CHAR(10)," "))," ",""))</f>
        <v>654</v>
      </c>
      <c r="O415" t="s">
        <v>198</v>
      </c>
      <c r="P415" t="s">
        <v>1286</v>
      </c>
    </row>
    <row r="416" spans="1:16" x14ac:dyDescent="0.4">
      <c r="A416">
        <f t="shared" si="6"/>
        <v>62</v>
      </c>
      <c r="B416" t="s">
        <v>1279</v>
      </c>
      <c r="C416" t="s">
        <v>1280</v>
      </c>
      <c r="D416" t="s">
        <v>192</v>
      </c>
      <c r="E416" t="s">
        <v>654</v>
      </c>
      <c r="F416" t="s">
        <v>1287</v>
      </c>
      <c r="G416" t="s">
        <v>1031</v>
      </c>
      <c r="H416" t="s">
        <v>1288</v>
      </c>
      <c r="I416" t="s">
        <v>201</v>
      </c>
      <c r="J416" t="s">
        <v>175</v>
      </c>
      <c r="K416" s="30">
        <v>43081</v>
      </c>
      <c r="L416" s="8">
        <v>43080.038368055553</v>
      </c>
      <c r="M416" s="21">
        <f>LEN(ProjTextTable[[#This Row],[text]])</f>
        <v>2729</v>
      </c>
      <c r="N416" s="21">
        <f>LEN(TRIM(CLEAN(SUBSTITUTE(ProjTextTable[[#This Row],[text]],CHAR(10)," "))))+1 - LEN(SUBSTITUTE(CLEAN(SUBSTITUTE(ProjTextTable[[#This Row],[text]],CHAR(10)," "))," ",""))</f>
        <v>423</v>
      </c>
      <c r="O416" t="s">
        <v>193</v>
      </c>
      <c r="P416" t="s">
        <v>1289</v>
      </c>
    </row>
    <row r="417" spans="1:16" x14ac:dyDescent="0.4">
      <c r="A417">
        <f t="shared" si="6"/>
        <v>62</v>
      </c>
      <c r="B417" t="s">
        <v>1279</v>
      </c>
      <c r="C417" t="s">
        <v>1280</v>
      </c>
      <c r="D417" t="s">
        <v>192</v>
      </c>
      <c r="E417" t="s">
        <v>654</v>
      </c>
      <c r="F417" t="s">
        <v>1290</v>
      </c>
      <c r="G417" t="s">
        <v>1291</v>
      </c>
      <c r="H417" t="s">
        <v>1292</v>
      </c>
      <c r="I417" t="s">
        <v>201</v>
      </c>
      <c r="J417" t="s">
        <v>175</v>
      </c>
      <c r="K417" s="30">
        <v>43081</v>
      </c>
      <c r="L417" s="8">
        <v>43081.234895833331</v>
      </c>
      <c r="M417" s="21">
        <f>LEN(ProjTextTable[[#This Row],[text]])</f>
        <v>2835</v>
      </c>
      <c r="N417" s="21">
        <f>LEN(TRIM(CLEAN(SUBSTITUTE(ProjTextTable[[#This Row],[text]],CHAR(10)," "))))+1 - LEN(SUBSTITUTE(CLEAN(SUBSTITUTE(ProjTextTable[[#This Row],[text]],CHAR(10)," "))," ",""))</f>
        <v>390</v>
      </c>
      <c r="O417" t="s">
        <v>196</v>
      </c>
      <c r="P417" t="s">
        <v>1293</v>
      </c>
    </row>
    <row r="418" spans="1:16" x14ac:dyDescent="0.4">
      <c r="A418">
        <f t="shared" si="6"/>
        <v>62</v>
      </c>
      <c r="B418" t="s">
        <v>1279</v>
      </c>
      <c r="C418" t="s">
        <v>1280</v>
      </c>
      <c r="D418" t="s">
        <v>192</v>
      </c>
      <c r="E418" t="s">
        <v>654</v>
      </c>
      <c r="F418" t="s">
        <v>1270</v>
      </c>
      <c r="G418" t="s">
        <v>1271</v>
      </c>
      <c r="H418" t="s">
        <v>1272</v>
      </c>
      <c r="I418" t="s">
        <v>201</v>
      </c>
      <c r="J418" t="s">
        <v>175</v>
      </c>
      <c r="K418" s="30">
        <v>43081</v>
      </c>
      <c r="L418" s="8">
        <v>43078.639791666668</v>
      </c>
      <c r="M418" s="21">
        <f>LEN(ProjTextTable[[#This Row],[text]])</f>
        <v>3320</v>
      </c>
      <c r="N418" s="21">
        <f>LEN(TRIM(CLEAN(SUBSTITUTE(ProjTextTable[[#This Row],[text]],CHAR(10)," "))))+1 - LEN(SUBSTITUTE(CLEAN(SUBSTITUTE(ProjTextTable[[#This Row],[text]],CHAR(10)," "))," ",""))</f>
        <v>525</v>
      </c>
      <c r="O418" t="s">
        <v>193</v>
      </c>
      <c r="P418" t="s">
        <v>1294</v>
      </c>
    </row>
    <row r="419" spans="1:16" x14ac:dyDescent="0.4">
      <c r="A419">
        <f t="shared" si="6"/>
        <v>63</v>
      </c>
      <c r="B419" t="s">
        <v>1295</v>
      </c>
      <c r="C419" t="s">
        <v>1296</v>
      </c>
      <c r="D419" t="s">
        <v>533</v>
      </c>
      <c r="E419" t="s">
        <v>611</v>
      </c>
      <c r="F419" t="s">
        <v>1262</v>
      </c>
      <c r="G419" t="s">
        <v>1263</v>
      </c>
      <c r="H419" t="s">
        <v>539</v>
      </c>
      <c r="I419" t="s">
        <v>535</v>
      </c>
      <c r="J419" t="s">
        <v>534</v>
      </c>
      <c r="K419" s="30">
        <v>43080</v>
      </c>
      <c r="L419" s="8">
        <v>43081.560532407406</v>
      </c>
      <c r="M419" s="21">
        <f>LEN(ProjTextTable[[#This Row],[text]])</f>
        <v>6051</v>
      </c>
      <c r="N419" s="21">
        <f>LEN(TRIM(CLEAN(SUBSTITUTE(ProjTextTable[[#This Row],[text]],CHAR(10)," "))))+1 - LEN(SUBSTITUTE(CLEAN(SUBSTITUTE(ProjTextTable[[#This Row],[text]],CHAR(10)," "))," ",""))</f>
        <v>961</v>
      </c>
      <c r="O419" t="s">
        <v>540</v>
      </c>
      <c r="P419" t="s">
        <v>1297</v>
      </c>
    </row>
    <row r="420" spans="1:16" x14ac:dyDescent="0.4">
      <c r="A420">
        <f t="shared" si="6"/>
        <v>63</v>
      </c>
      <c r="B420" t="s">
        <v>1295</v>
      </c>
      <c r="C420" t="s">
        <v>1296</v>
      </c>
      <c r="D420" t="s">
        <v>192</v>
      </c>
      <c r="E420" t="s">
        <v>611</v>
      </c>
      <c r="F420" t="s">
        <v>1287</v>
      </c>
      <c r="G420" t="s">
        <v>1031</v>
      </c>
      <c r="H420" t="s">
        <v>1288</v>
      </c>
      <c r="I420" t="s">
        <v>201</v>
      </c>
      <c r="J420" t="s">
        <v>175</v>
      </c>
      <c r="K420" s="30">
        <v>43081</v>
      </c>
      <c r="L420" s="8">
        <v>43080.71298611111</v>
      </c>
      <c r="M420" s="21">
        <f>LEN(ProjTextTable[[#This Row],[text]])</f>
        <v>3772</v>
      </c>
      <c r="N420" s="21">
        <f>LEN(TRIM(CLEAN(SUBSTITUTE(ProjTextTable[[#This Row],[text]],CHAR(10)," "))))+1 - LEN(SUBSTITUTE(CLEAN(SUBSTITUTE(ProjTextTable[[#This Row],[text]],CHAR(10)," "))," ",""))</f>
        <v>593</v>
      </c>
      <c r="O420" t="s">
        <v>196</v>
      </c>
      <c r="P420" t="s">
        <v>1298</v>
      </c>
    </row>
    <row r="421" spans="1:16" x14ac:dyDescent="0.4">
      <c r="A421">
        <f t="shared" si="6"/>
        <v>63</v>
      </c>
      <c r="B421" t="s">
        <v>1295</v>
      </c>
      <c r="C421" t="s">
        <v>1296</v>
      </c>
      <c r="D421" t="s">
        <v>192</v>
      </c>
      <c r="E421" t="s">
        <v>611</v>
      </c>
      <c r="F421" t="s">
        <v>1290</v>
      </c>
      <c r="G421" t="s">
        <v>1291</v>
      </c>
      <c r="H421" t="s">
        <v>1292</v>
      </c>
      <c r="I421" t="s">
        <v>201</v>
      </c>
      <c r="J421" t="s">
        <v>175</v>
      </c>
      <c r="K421" s="30">
        <v>43081</v>
      </c>
      <c r="L421" s="8">
        <v>43079.23</v>
      </c>
      <c r="M421" s="21">
        <f>LEN(ProjTextTable[[#This Row],[text]])</f>
        <v>1636</v>
      </c>
      <c r="N421" s="21">
        <f>LEN(TRIM(CLEAN(SUBSTITUTE(ProjTextTable[[#This Row],[text]],CHAR(10)," "))))+1 - LEN(SUBSTITUTE(CLEAN(SUBSTITUTE(ProjTextTable[[#This Row],[text]],CHAR(10)," "))," ",""))</f>
        <v>235</v>
      </c>
      <c r="O421" t="s">
        <v>195</v>
      </c>
      <c r="P421" t="s">
        <v>1299</v>
      </c>
    </row>
    <row r="422" spans="1:16" x14ac:dyDescent="0.4">
      <c r="A422">
        <f t="shared" si="6"/>
        <v>63</v>
      </c>
      <c r="B422" t="s">
        <v>1295</v>
      </c>
      <c r="C422" t="s">
        <v>1296</v>
      </c>
      <c r="D422" t="s">
        <v>192</v>
      </c>
      <c r="E422" t="s">
        <v>611</v>
      </c>
      <c r="F422" t="s">
        <v>1300</v>
      </c>
      <c r="G422" t="s">
        <v>1022</v>
      </c>
      <c r="H422" t="s">
        <v>1301</v>
      </c>
      <c r="I422" t="s">
        <v>201</v>
      </c>
      <c r="J422" t="s">
        <v>175</v>
      </c>
      <c r="K422" s="30">
        <v>43081</v>
      </c>
      <c r="L422" s="8">
        <v>43080.355497685188</v>
      </c>
      <c r="M422" s="21">
        <f>LEN(ProjTextTable[[#This Row],[text]])</f>
        <v>1221</v>
      </c>
      <c r="N422" s="21">
        <f>LEN(TRIM(CLEAN(SUBSTITUTE(ProjTextTable[[#This Row],[text]],CHAR(10)," "))))+1 - LEN(SUBSTITUTE(CLEAN(SUBSTITUTE(ProjTextTable[[#This Row],[text]],CHAR(10)," "))," ",""))</f>
        <v>184</v>
      </c>
      <c r="O422" t="s">
        <v>193</v>
      </c>
      <c r="P422" t="s">
        <v>1302</v>
      </c>
    </row>
    <row r="423" spans="1:16" x14ac:dyDescent="0.4">
      <c r="A423">
        <f t="shared" si="6"/>
        <v>63</v>
      </c>
      <c r="B423" t="s">
        <v>1295</v>
      </c>
      <c r="C423" t="s">
        <v>1296</v>
      </c>
      <c r="D423" t="s">
        <v>192</v>
      </c>
      <c r="E423" t="s">
        <v>611</v>
      </c>
      <c r="F423" t="s">
        <v>1270</v>
      </c>
      <c r="G423" t="s">
        <v>1271</v>
      </c>
      <c r="H423" t="s">
        <v>1272</v>
      </c>
      <c r="I423" t="s">
        <v>201</v>
      </c>
      <c r="J423" t="s">
        <v>175</v>
      </c>
      <c r="K423" s="30">
        <v>43081</v>
      </c>
      <c r="L423" s="8">
        <v>43078.79173611111</v>
      </c>
      <c r="M423" s="21">
        <f>LEN(ProjTextTable[[#This Row],[text]])</f>
        <v>2408</v>
      </c>
      <c r="N423" s="21">
        <f>LEN(TRIM(CLEAN(SUBSTITUTE(ProjTextTable[[#This Row],[text]],CHAR(10)," "))))+1 - LEN(SUBSTITUTE(CLEAN(SUBSTITUTE(ProjTextTable[[#This Row],[text]],CHAR(10)," "))," ",""))</f>
        <v>354</v>
      </c>
      <c r="O423" t="s">
        <v>195</v>
      </c>
      <c r="P423" t="s">
        <v>1303</v>
      </c>
    </row>
    <row r="424" spans="1:16" x14ac:dyDescent="0.4">
      <c r="A424">
        <f t="shared" si="6"/>
        <v>63</v>
      </c>
      <c r="B424" t="s">
        <v>1295</v>
      </c>
      <c r="C424" t="s">
        <v>1296</v>
      </c>
      <c r="D424" t="s">
        <v>194</v>
      </c>
      <c r="E424" t="s">
        <v>611</v>
      </c>
      <c r="F424" t="s">
        <v>13</v>
      </c>
      <c r="G424" t="s">
        <v>13</v>
      </c>
      <c r="H424" t="s">
        <v>13</v>
      </c>
      <c r="K424" s="30"/>
      <c r="L424" s="8">
        <v>43005.042592592596</v>
      </c>
      <c r="M424" s="21">
        <f>LEN(ProjTextTable[[#This Row],[text]])</f>
        <v>3881</v>
      </c>
      <c r="N424" s="21">
        <f>LEN(TRIM(CLEAN(SUBSTITUTE(ProjTextTable[[#This Row],[text]],CHAR(10)," "))))+1 - LEN(SUBSTITUTE(CLEAN(SUBSTITUTE(ProjTextTable[[#This Row],[text]],CHAR(10)," "))," ",""))</f>
        <v>553</v>
      </c>
      <c r="O424" t="s">
        <v>13</v>
      </c>
      <c r="P424" t="s">
        <v>1304</v>
      </c>
    </row>
    <row r="425" spans="1:16" x14ac:dyDescent="0.4">
      <c r="A425">
        <f t="shared" si="6"/>
        <v>64</v>
      </c>
      <c r="B425" t="s">
        <v>1305</v>
      </c>
      <c r="C425" t="s">
        <v>1306</v>
      </c>
      <c r="D425" t="s">
        <v>533</v>
      </c>
      <c r="E425" t="s">
        <v>611</v>
      </c>
      <c r="F425" t="s">
        <v>1262</v>
      </c>
      <c r="G425" t="s">
        <v>1263</v>
      </c>
      <c r="H425" t="s">
        <v>543</v>
      </c>
      <c r="I425" t="s">
        <v>537</v>
      </c>
      <c r="J425" t="s">
        <v>535</v>
      </c>
      <c r="K425" s="30">
        <v>43080</v>
      </c>
      <c r="L425" s="8">
        <v>43081.561307870368</v>
      </c>
      <c r="M425" s="21">
        <f>LEN(ProjTextTable[[#This Row],[text]])</f>
        <v>3502</v>
      </c>
      <c r="N425" s="21">
        <f>LEN(TRIM(CLEAN(SUBSTITUTE(ProjTextTable[[#This Row],[text]],CHAR(10)," "))))+1 - LEN(SUBSTITUTE(CLEAN(SUBSTITUTE(ProjTextTable[[#This Row],[text]],CHAR(10)," "))," ",""))</f>
        <v>494</v>
      </c>
      <c r="O425" t="s">
        <v>544</v>
      </c>
      <c r="P425" t="s">
        <v>1307</v>
      </c>
    </row>
    <row r="426" spans="1:16" x14ac:dyDescent="0.4">
      <c r="A426">
        <f t="shared" si="6"/>
        <v>64</v>
      </c>
      <c r="B426" t="s">
        <v>1305</v>
      </c>
      <c r="C426" t="s">
        <v>1306</v>
      </c>
      <c r="D426" t="s">
        <v>192</v>
      </c>
      <c r="E426" t="s">
        <v>611</v>
      </c>
      <c r="F426" t="s">
        <v>1308</v>
      </c>
      <c r="G426" t="s">
        <v>1065</v>
      </c>
      <c r="H426" t="s">
        <v>1309</v>
      </c>
      <c r="I426" t="s">
        <v>201</v>
      </c>
      <c r="J426" t="s">
        <v>175</v>
      </c>
      <c r="K426" s="30">
        <v>43081</v>
      </c>
      <c r="L426" s="8">
        <v>43080.346261574072</v>
      </c>
      <c r="M426" s="21">
        <f>LEN(ProjTextTable[[#This Row],[text]])</f>
        <v>3453</v>
      </c>
      <c r="N426" s="21">
        <f>LEN(TRIM(CLEAN(SUBSTITUTE(ProjTextTable[[#This Row],[text]],CHAR(10)," "))))+1 - LEN(SUBSTITUTE(CLEAN(SUBSTITUTE(ProjTextTable[[#This Row],[text]],CHAR(10)," "))," ",""))</f>
        <v>503</v>
      </c>
      <c r="O426" t="s">
        <v>196</v>
      </c>
      <c r="P426" t="s">
        <v>1310</v>
      </c>
    </row>
    <row r="427" spans="1:16" x14ac:dyDescent="0.4">
      <c r="A427">
        <f t="shared" si="6"/>
        <v>64</v>
      </c>
      <c r="B427" t="s">
        <v>1305</v>
      </c>
      <c r="C427" t="s">
        <v>1306</v>
      </c>
      <c r="D427" t="s">
        <v>192</v>
      </c>
      <c r="E427" t="s">
        <v>611</v>
      </c>
      <c r="F427" t="s">
        <v>521</v>
      </c>
      <c r="G427" t="s">
        <v>522</v>
      </c>
      <c r="H427" t="s">
        <v>523</v>
      </c>
      <c r="I427" t="s">
        <v>201</v>
      </c>
      <c r="J427" t="s">
        <v>175</v>
      </c>
      <c r="K427" s="30">
        <v>43081</v>
      </c>
      <c r="L427" s="8">
        <v>43080.471909722219</v>
      </c>
      <c r="M427" s="21">
        <f>LEN(ProjTextTable[[#This Row],[text]])</f>
        <v>3160</v>
      </c>
      <c r="N427" s="21">
        <f>LEN(TRIM(CLEAN(SUBSTITUTE(ProjTextTable[[#This Row],[text]],CHAR(10)," "))))+1 - LEN(SUBSTITUTE(CLEAN(SUBSTITUTE(ProjTextTable[[#This Row],[text]],CHAR(10)," "))," ",""))</f>
        <v>470</v>
      </c>
      <c r="O427" t="s">
        <v>229</v>
      </c>
      <c r="P427" t="s">
        <v>1311</v>
      </c>
    </row>
    <row r="428" spans="1:16" x14ac:dyDescent="0.4">
      <c r="A428">
        <f t="shared" si="6"/>
        <v>64</v>
      </c>
      <c r="B428" t="s">
        <v>1305</v>
      </c>
      <c r="C428" t="s">
        <v>1306</v>
      </c>
      <c r="D428" t="s">
        <v>192</v>
      </c>
      <c r="E428" t="s">
        <v>611</v>
      </c>
      <c r="F428" t="s">
        <v>1300</v>
      </c>
      <c r="G428" t="s">
        <v>1022</v>
      </c>
      <c r="H428" t="s">
        <v>1301</v>
      </c>
      <c r="I428" t="s">
        <v>201</v>
      </c>
      <c r="J428" t="s">
        <v>175</v>
      </c>
      <c r="K428" s="30">
        <v>43081</v>
      </c>
      <c r="L428" s="8">
        <v>43080.329062500001</v>
      </c>
      <c r="M428" s="21">
        <f>LEN(ProjTextTable[[#This Row],[text]])</f>
        <v>2928</v>
      </c>
      <c r="N428" s="21">
        <f>LEN(TRIM(CLEAN(SUBSTITUTE(ProjTextTable[[#This Row],[text]],CHAR(10)," "))))+1 - LEN(SUBSTITUTE(CLEAN(SUBSTITUTE(ProjTextTable[[#This Row],[text]],CHAR(10)," "))," ",""))</f>
        <v>435</v>
      </c>
      <c r="O428" t="s">
        <v>229</v>
      </c>
      <c r="P428" t="s">
        <v>1312</v>
      </c>
    </row>
    <row r="429" spans="1:16" x14ac:dyDescent="0.4">
      <c r="A429">
        <f t="shared" si="6"/>
        <v>64</v>
      </c>
      <c r="B429" t="s">
        <v>1305</v>
      </c>
      <c r="C429" t="s">
        <v>1306</v>
      </c>
      <c r="D429" t="s">
        <v>192</v>
      </c>
      <c r="E429" t="s">
        <v>611</v>
      </c>
      <c r="F429" t="s">
        <v>1274</v>
      </c>
      <c r="G429" t="s">
        <v>1275</v>
      </c>
      <c r="H429" t="s">
        <v>1276</v>
      </c>
      <c r="I429" t="s">
        <v>201</v>
      </c>
      <c r="J429" t="s">
        <v>175</v>
      </c>
      <c r="K429" s="30">
        <v>43081</v>
      </c>
      <c r="L429" s="8">
        <v>43079.833495370367</v>
      </c>
      <c r="M429" s="21">
        <f>LEN(ProjTextTable[[#This Row],[text]])</f>
        <v>2330</v>
      </c>
      <c r="N429" s="21">
        <f>LEN(TRIM(CLEAN(SUBSTITUTE(ProjTextTable[[#This Row],[text]],CHAR(10)," "))))+1 - LEN(SUBSTITUTE(CLEAN(SUBSTITUTE(ProjTextTable[[#This Row],[text]],CHAR(10)," "))," ",""))</f>
        <v>352</v>
      </c>
      <c r="O429" t="s">
        <v>196</v>
      </c>
      <c r="P429" t="s">
        <v>1313</v>
      </c>
    </row>
    <row r="430" spans="1:16" x14ac:dyDescent="0.4">
      <c r="A430">
        <f t="shared" si="6"/>
        <v>64</v>
      </c>
      <c r="B430" t="s">
        <v>1305</v>
      </c>
      <c r="C430" t="s">
        <v>1306</v>
      </c>
      <c r="D430" t="s">
        <v>194</v>
      </c>
      <c r="E430" t="s">
        <v>611</v>
      </c>
      <c r="F430" t="s">
        <v>13</v>
      </c>
      <c r="G430" t="s">
        <v>13</v>
      </c>
      <c r="H430" t="s">
        <v>13</v>
      </c>
      <c r="K430" s="30"/>
      <c r="L430" s="8">
        <v>43005.042604166665</v>
      </c>
      <c r="M430" s="21">
        <f>LEN(ProjTextTable[[#This Row],[text]])</f>
        <v>3299</v>
      </c>
      <c r="N430" s="21">
        <f>LEN(TRIM(CLEAN(SUBSTITUTE(ProjTextTable[[#This Row],[text]],CHAR(10)," "))))+1 - LEN(SUBSTITUTE(CLEAN(SUBSTITUTE(ProjTextTable[[#This Row],[text]],CHAR(10)," "))," ",""))</f>
        <v>460</v>
      </c>
      <c r="O430" t="s">
        <v>13</v>
      </c>
      <c r="P430" t="s">
        <v>1314</v>
      </c>
    </row>
    <row r="431" spans="1:16" x14ac:dyDescent="0.4">
      <c r="A431">
        <f t="shared" si="6"/>
        <v>65</v>
      </c>
      <c r="B431" t="s">
        <v>1315</v>
      </c>
      <c r="C431" t="s">
        <v>1296</v>
      </c>
      <c r="D431" t="s">
        <v>533</v>
      </c>
      <c r="E431" t="s">
        <v>611</v>
      </c>
      <c r="F431" t="s">
        <v>1262</v>
      </c>
      <c r="G431" t="s">
        <v>1263</v>
      </c>
      <c r="H431" t="s">
        <v>539</v>
      </c>
      <c r="I431" t="s">
        <v>535</v>
      </c>
      <c r="J431" t="s">
        <v>536</v>
      </c>
      <c r="K431" s="30">
        <v>43080</v>
      </c>
      <c r="L431" s="8">
        <v>43081.577418981484</v>
      </c>
      <c r="M431" s="21">
        <f>LEN(ProjTextTable[[#This Row],[text]])</f>
        <v>3984</v>
      </c>
      <c r="N431" s="21">
        <f>LEN(TRIM(CLEAN(SUBSTITUTE(ProjTextTable[[#This Row],[text]],CHAR(10)," "))))+1 - LEN(SUBSTITUTE(CLEAN(SUBSTITUTE(ProjTextTable[[#This Row],[text]],CHAR(10)," "))," ",""))</f>
        <v>584</v>
      </c>
      <c r="O431" t="s">
        <v>540</v>
      </c>
      <c r="P431" t="s">
        <v>1316</v>
      </c>
    </row>
    <row r="432" spans="1:16" x14ac:dyDescent="0.4">
      <c r="A432">
        <f t="shared" si="6"/>
        <v>65</v>
      </c>
      <c r="B432" t="s">
        <v>1315</v>
      </c>
      <c r="C432" t="s">
        <v>1296</v>
      </c>
      <c r="D432" t="s">
        <v>192</v>
      </c>
      <c r="E432" t="s">
        <v>611</v>
      </c>
      <c r="F432" t="s">
        <v>1283</v>
      </c>
      <c r="G432" t="s">
        <v>1284</v>
      </c>
      <c r="H432" t="s">
        <v>1285</v>
      </c>
      <c r="I432" t="s">
        <v>201</v>
      </c>
      <c r="J432" t="s">
        <v>175</v>
      </c>
      <c r="K432" s="30">
        <v>43081</v>
      </c>
      <c r="L432" s="8">
        <v>43080.493645833332</v>
      </c>
      <c r="M432" s="21">
        <f>LEN(ProjTextTable[[#This Row],[text]])</f>
        <v>2589</v>
      </c>
      <c r="N432" s="21">
        <f>LEN(TRIM(CLEAN(SUBSTITUTE(ProjTextTable[[#This Row],[text]],CHAR(10)," "))))+1 - LEN(SUBSTITUTE(CLEAN(SUBSTITUTE(ProjTextTable[[#This Row],[text]],CHAR(10)," "))," ",""))</f>
        <v>389</v>
      </c>
      <c r="O432" t="s">
        <v>196</v>
      </c>
      <c r="P432" t="s">
        <v>1317</v>
      </c>
    </row>
    <row r="433" spans="1:16" x14ac:dyDescent="0.4">
      <c r="A433">
        <f t="shared" si="6"/>
        <v>65</v>
      </c>
      <c r="B433" t="s">
        <v>1315</v>
      </c>
      <c r="C433" t="s">
        <v>1296</v>
      </c>
      <c r="D433" t="s">
        <v>192</v>
      </c>
      <c r="E433" t="s">
        <v>611</v>
      </c>
      <c r="F433" t="s">
        <v>1308</v>
      </c>
      <c r="G433" t="s">
        <v>1065</v>
      </c>
      <c r="H433" t="s">
        <v>1309</v>
      </c>
      <c r="I433" t="s">
        <v>201</v>
      </c>
      <c r="J433" t="s">
        <v>175</v>
      </c>
      <c r="K433" s="30">
        <v>43081</v>
      </c>
      <c r="L433" s="8">
        <v>43081.366064814814</v>
      </c>
      <c r="M433" s="21">
        <f>LEN(ProjTextTable[[#This Row],[text]])</f>
        <v>2550</v>
      </c>
      <c r="N433" s="21">
        <f>LEN(TRIM(CLEAN(SUBSTITUTE(ProjTextTable[[#This Row],[text]],CHAR(10)," "))))+1 - LEN(SUBSTITUTE(CLEAN(SUBSTITUTE(ProjTextTable[[#This Row],[text]],CHAR(10)," "))," ",""))</f>
        <v>399</v>
      </c>
      <c r="O433" t="s">
        <v>195</v>
      </c>
      <c r="P433" t="s">
        <v>1318</v>
      </c>
    </row>
    <row r="434" spans="1:16" x14ac:dyDescent="0.4">
      <c r="A434">
        <f t="shared" si="6"/>
        <v>65</v>
      </c>
      <c r="B434" t="s">
        <v>1315</v>
      </c>
      <c r="C434" t="s">
        <v>1296</v>
      </c>
      <c r="D434" t="s">
        <v>192</v>
      </c>
      <c r="E434" t="s">
        <v>611</v>
      </c>
      <c r="F434" t="s">
        <v>1290</v>
      </c>
      <c r="G434" t="s">
        <v>1291</v>
      </c>
      <c r="H434" t="s">
        <v>1292</v>
      </c>
      <c r="I434" t="s">
        <v>201</v>
      </c>
      <c r="J434" t="s">
        <v>175</v>
      </c>
      <c r="K434" s="30">
        <v>43081</v>
      </c>
      <c r="L434" s="8">
        <v>43081.235844907409</v>
      </c>
      <c r="M434" s="21">
        <f>LEN(ProjTextTable[[#This Row],[text]])</f>
        <v>2882</v>
      </c>
      <c r="N434" s="21">
        <f>LEN(TRIM(CLEAN(SUBSTITUTE(ProjTextTable[[#This Row],[text]],CHAR(10)," "))))+1 - LEN(SUBSTITUTE(CLEAN(SUBSTITUTE(ProjTextTable[[#This Row],[text]],CHAR(10)," "))," ",""))</f>
        <v>422</v>
      </c>
      <c r="O434" t="s">
        <v>195</v>
      </c>
      <c r="P434" t="s">
        <v>1319</v>
      </c>
    </row>
    <row r="435" spans="1:16" x14ac:dyDescent="0.4">
      <c r="A435">
        <f t="shared" si="6"/>
        <v>65</v>
      </c>
      <c r="B435" t="s">
        <v>1315</v>
      </c>
      <c r="C435" t="s">
        <v>1296</v>
      </c>
      <c r="D435" t="s">
        <v>192</v>
      </c>
      <c r="E435" t="s">
        <v>611</v>
      </c>
      <c r="F435" t="s">
        <v>1300</v>
      </c>
      <c r="G435" t="s">
        <v>1022</v>
      </c>
      <c r="H435" t="s">
        <v>1301</v>
      </c>
      <c r="I435" t="s">
        <v>201</v>
      </c>
      <c r="J435" t="s">
        <v>175</v>
      </c>
      <c r="K435" s="30">
        <v>43081</v>
      </c>
      <c r="L435" s="8">
        <v>43080.35015046296</v>
      </c>
      <c r="M435" s="21">
        <f>LEN(ProjTextTable[[#This Row],[text]])</f>
        <v>1377</v>
      </c>
      <c r="N435" s="21">
        <f>LEN(TRIM(CLEAN(SUBSTITUTE(ProjTextTable[[#This Row],[text]],CHAR(10)," "))))+1 - LEN(SUBSTITUTE(CLEAN(SUBSTITUTE(ProjTextTable[[#This Row],[text]],CHAR(10)," "))," ",""))</f>
        <v>198</v>
      </c>
      <c r="O435" t="s">
        <v>229</v>
      </c>
      <c r="P435" t="s">
        <v>1320</v>
      </c>
    </row>
    <row r="436" spans="1:16" x14ac:dyDescent="0.4">
      <c r="A436">
        <f t="shared" si="6"/>
        <v>65</v>
      </c>
      <c r="B436" t="s">
        <v>1315</v>
      </c>
      <c r="C436" t="s">
        <v>1296</v>
      </c>
      <c r="D436" t="s">
        <v>194</v>
      </c>
      <c r="E436" t="s">
        <v>611</v>
      </c>
      <c r="F436" t="s">
        <v>13</v>
      </c>
      <c r="G436" t="s">
        <v>13</v>
      </c>
      <c r="H436" t="s">
        <v>13</v>
      </c>
      <c r="K436" s="30"/>
      <c r="L436" s="8">
        <v>43006.042500000003</v>
      </c>
      <c r="M436" s="21">
        <f>LEN(ProjTextTable[[#This Row],[text]])</f>
        <v>4189</v>
      </c>
      <c r="N436" s="21">
        <f>LEN(TRIM(CLEAN(SUBSTITUTE(ProjTextTable[[#This Row],[text]],CHAR(10)," "))))+1 - LEN(SUBSTITUTE(CLEAN(SUBSTITUTE(ProjTextTable[[#This Row],[text]],CHAR(10)," "))," ",""))</f>
        <v>610</v>
      </c>
      <c r="O436" t="s">
        <v>13</v>
      </c>
      <c r="P436" t="s">
        <v>1321</v>
      </c>
    </row>
    <row r="437" spans="1:16" x14ac:dyDescent="0.4">
      <c r="A437">
        <f t="shared" si="6"/>
        <v>66</v>
      </c>
      <c r="B437" t="s">
        <v>1322</v>
      </c>
      <c r="C437" t="s">
        <v>1323</v>
      </c>
      <c r="D437" t="s">
        <v>533</v>
      </c>
      <c r="E437" t="s">
        <v>611</v>
      </c>
      <c r="F437" t="s">
        <v>1262</v>
      </c>
      <c r="G437" t="s">
        <v>1263</v>
      </c>
      <c r="H437" t="s">
        <v>541</v>
      </c>
      <c r="I437" t="s">
        <v>536</v>
      </c>
      <c r="J437" t="s">
        <v>1075</v>
      </c>
      <c r="K437" s="30">
        <v>43080</v>
      </c>
      <c r="L437" s="8">
        <v>43081.596516203703</v>
      </c>
      <c r="M437" s="21">
        <f>LEN(ProjTextTable[[#This Row],[text]])</f>
        <v>2923</v>
      </c>
      <c r="N437" s="21">
        <f>LEN(TRIM(CLEAN(SUBSTITUTE(ProjTextTable[[#This Row],[text]],CHAR(10)," "))))+1 - LEN(SUBSTITUTE(CLEAN(SUBSTITUTE(ProjTextTable[[#This Row],[text]],CHAR(10)," "))," ",""))</f>
        <v>429</v>
      </c>
      <c r="O437" t="s">
        <v>542</v>
      </c>
      <c r="P437" t="s">
        <v>1324</v>
      </c>
    </row>
    <row r="438" spans="1:16" x14ac:dyDescent="0.4">
      <c r="A438">
        <f t="shared" si="6"/>
        <v>66</v>
      </c>
      <c r="B438" t="s">
        <v>1322</v>
      </c>
      <c r="C438" t="s">
        <v>1323</v>
      </c>
      <c r="D438" t="s">
        <v>2</v>
      </c>
      <c r="E438" t="s">
        <v>611</v>
      </c>
      <c r="F438" t="s">
        <v>13</v>
      </c>
      <c r="G438" t="s">
        <v>609</v>
      </c>
      <c r="H438" t="s">
        <v>13</v>
      </c>
      <c r="I438" t="s">
        <v>13</v>
      </c>
      <c r="K438" s="30"/>
      <c r="L438" s="8">
        <v>43082.529895833337</v>
      </c>
      <c r="M438" s="21">
        <f>LEN(ProjTextTable[[#This Row],[text]])</f>
        <v>2100</v>
      </c>
      <c r="N438" s="21">
        <f>LEN(TRIM(CLEAN(SUBSTITUTE(ProjTextTable[[#This Row],[text]],CHAR(10)," "))))+1 - LEN(SUBSTITUTE(CLEAN(SUBSTITUTE(ProjTextTable[[#This Row],[text]],CHAR(10)," "))," ",""))</f>
        <v>309</v>
      </c>
      <c r="O438" t="s">
        <v>13</v>
      </c>
      <c r="P438" t="s">
        <v>1325</v>
      </c>
    </row>
    <row r="439" spans="1:16" x14ac:dyDescent="0.4">
      <c r="A439">
        <f t="shared" si="6"/>
        <v>66</v>
      </c>
      <c r="B439" t="s">
        <v>1322</v>
      </c>
      <c r="C439" t="s">
        <v>1323</v>
      </c>
      <c r="D439" t="s">
        <v>192</v>
      </c>
      <c r="E439" t="s">
        <v>611</v>
      </c>
      <c r="F439" t="s">
        <v>521</v>
      </c>
      <c r="G439" t="s">
        <v>522</v>
      </c>
      <c r="H439" t="s">
        <v>523</v>
      </c>
      <c r="I439" t="s">
        <v>201</v>
      </c>
      <c r="J439" t="s">
        <v>175</v>
      </c>
      <c r="K439" s="30">
        <v>43081</v>
      </c>
      <c r="L439" s="8">
        <v>43079.053113425929</v>
      </c>
      <c r="M439" s="21">
        <f>LEN(ProjTextTable[[#This Row],[text]])</f>
        <v>3955</v>
      </c>
      <c r="N439" s="21">
        <f>LEN(TRIM(CLEAN(SUBSTITUTE(ProjTextTable[[#This Row],[text]],CHAR(10)," "))))+1 - LEN(SUBSTITUTE(CLEAN(SUBSTITUTE(ProjTextTable[[#This Row],[text]],CHAR(10)," "))," ",""))</f>
        <v>621</v>
      </c>
      <c r="O439" t="s">
        <v>196</v>
      </c>
      <c r="P439" t="s">
        <v>1326</v>
      </c>
    </row>
    <row r="440" spans="1:16" x14ac:dyDescent="0.4">
      <c r="A440">
        <f t="shared" si="6"/>
        <v>66</v>
      </c>
      <c r="B440" t="s">
        <v>1322</v>
      </c>
      <c r="C440" t="s">
        <v>1323</v>
      </c>
      <c r="D440" t="s">
        <v>192</v>
      </c>
      <c r="E440" t="s">
        <v>611</v>
      </c>
      <c r="F440" t="s">
        <v>1287</v>
      </c>
      <c r="G440" t="s">
        <v>1031</v>
      </c>
      <c r="H440" t="s">
        <v>1288</v>
      </c>
      <c r="I440" t="s">
        <v>201</v>
      </c>
      <c r="J440" t="s">
        <v>175</v>
      </c>
      <c r="K440" s="30">
        <v>43081</v>
      </c>
      <c r="L440" s="8">
        <v>43077.867951388886</v>
      </c>
      <c r="M440" s="21">
        <f>LEN(ProjTextTable[[#This Row],[text]])</f>
        <v>4023</v>
      </c>
      <c r="N440" s="21">
        <f>LEN(TRIM(CLEAN(SUBSTITUTE(ProjTextTable[[#This Row],[text]],CHAR(10)," "))))+1 - LEN(SUBSTITUTE(CLEAN(SUBSTITUTE(ProjTextTable[[#This Row],[text]],CHAR(10)," "))," ",""))</f>
        <v>634</v>
      </c>
      <c r="O440" t="s">
        <v>198</v>
      </c>
      <c r="P440" t="s">
        <v>1327</v>
      </c>
    </row>
    <row r="441" spans="1:16" x14ac:dyDescent="0.4">
      <c r="A441">
        <f t="shared" si="6"/>
        <v>66</v>
      </c>
      <c r="B441" t="s">
        <v>1322</v>
      </c>
      <c r="C441" t="s">
        <v>1323</v>
      </c>
      <c r="D441" t="s">
        <v>192</v>
      </c>
      <c r="E441" t="s">
        <v>611</v>
      </c>
      <c r="F441" t="s">
        <v>1274</v>
      </c>
      <c r="G441" t="s">
        <v>1275</v>
      </c>
      <c r="H441" t="s">
        <v>1276</v>
      </c>
      <c r="I441" t="s">
        <v>201</v>
      </c>
      <c r="J441" t="s">
        <v>175</v>
      </c>
      <c r="K441" s="30">
        <v>43081</v>
      </c>
      <c r="L441" s="8">
        <v>43081.282500000001</v>
      </c>
      <c r="M441" s="21">
        <f>LEN(ProjTextTable[[#This Row],[text]])</f>
        <v>2069</v>
      </c>
      <c r="N441" s="21">
        <f>LEN(TRIM(CLEAN(SUBSTITUTE(ProjTextTable[[#This Row],[text]],CHAR(10)," "))))+1 - LEN(SUBSTITUTE(CLEAN(SUBSTITUTE(ProjTextTable[[#This Row],[text]],CHAR(10)," "))," ",""))</f>
        <v>327</v>
      </c>
      <c r="O441" t="s">
        <v>197</v>
      </c>
      <c r="P441" t="s">
        <v>1328</v>
      </c>
    </row>
    <row r="442" spans="1:16" x14ac:dyDescent="0.4">
      <c r="A442">
        <f t="shared" si="6"/>
        <v>66</v>
      </c>
      <c r="B442" t="s">
        <v>1322</v>
      </c>
      <c r="C442" t="s">
        <v>1323</v>
      </c>
      <c r="D442" t="s">
        <v>192</v>
      </c>
      <c r="E442" t="s">
        <v>611</v>
      </c>
      <c r="F442" t="s">
        <v>1329</v>
      </c>
      <c r="G442" t="s">
        <v>1330</v>
      </c>
      <c r="H442" t="s">
        <v>1331</v>
      </c>
      <c r="I442" t="s">
        <v>175</v>
      </c>
      <c r="J442" t="s">
        <v>175</v>
      </c>
      <c r="K442" s="30">
        <v>43075</v>
      </c>
      <c r="L442" s="8">
        <v>43075.669409722221</v>
      </c>
      <c r="M442" s="21">
        <f>LEN(ProjTextTable[[#This Row],[text]])</f>
        <v>2331</v>
      </c>
      <c r="N442" s="21">
        <f>LEN(TRIM(CLEAN(SUBSTITUTE(ProjTextTable[[#This Row],[text]],CHAR(10)," "))))+1 - LEN(SUBSTITUTE(CLEAN(SUBSTITUTE(ProjTextTable[[#This Row],[text]],CHAR(10)," "))," ",""))</f>
        <v>367</v>
      </c>
      <c r="O442" t="s">
        <v>199</v>
      </c>
      <c r="P442" t="s">
        <v>1332</v>
      </c>
    </row>
    <row r="443" spans="1:16" x14ac:dyDescent="0.4">
      <c r="A443">
        <f t="shared" si="6"/>
        <v>66</v>
      </c>
      <c r="B443" t="s">
        <v>1322</v>
      </c>
      <c r="C443" t="s">
        <v>1323</v>
      </c>
      <c r="D443" t="s">
        <v>194</v>
      </c>
      <c r="E443" t="s">
        <v>611</v>
      </c>
      <c r="F443" t="s">
        <v>13</v>
      </c>
      <c r="G443" t="s">
        <v>13</v>
      </c>
      <c r="H443" t="s">
        <v>13</v>
      </c>
      <c r="K443" s="30"/>
      <c r="L443" s="8">
        <v>43005.042615740742</v>
      </c>
      <c r="M443" s="21">
        <f>LEN(ProjTextTable[[#This Row],[text]])</f>
        <v>3294</v>
      </c>
      <c r="N443" s="21">
        <f>LEN(TRIM(CLEAN(SUBSTITUTE(ProjTextTable[[#This Row],[text]],CHAR(10)," "))))+1 - LEN(SUBSTITUTE(CLEAN(SUBSTITUTE(ProjTextTable[[#This Row],[text]],CHAR(10)," "))," ",""))</f>
        <v>470</v>
      </c>
      <c r="O443" t="s">
        <v>13</v>
      </c>
      <c r="P443" t="s">
        <v>1333</v>
      </c>
    </row>
    <row r="444" spans="1:16" x14ac:dyDescent="0.4">
      <c r="A444">
        <f t="shared" si="6"/>
        <v>67</v>
      </c>
      <c r="B444" t="s">
        <v>1334</v>
      </c>
      <c r="C444" t="s">
        <v>1335</v>
      </c>
      <c r="D444" t="s">
        <v>533</v>
      </c>
      <c r="E444" t="s">
        <v>654</v>
      </c>
      <c r="F444" t="s">
        <v>1262</v>
      </c>
      <c r="G444" t="s">
        <v>1263</v>
      </c>
      <c r="H444" t="s">
        <v>541</v>
      </c>
      <c r="I444" t="s">
        <v>536</v>
      </c>
      <c r="J444" t="s">
        <v>1075</v>
      </c>
      <c r="K444" s="30">
        <v>43080</v>
      </c>
      <c r="L444" s="8">
        <v>43081.589942129627</v>
      </c>
      <c r="M444" s="21">
        <f>LEN(ProjTextTable[[#This Row],[text]])</f>
        <v>3911</v>
      </c>
      <c r="N444" s="21">
        <f>LEN(TRIM(CLEAN(SUBSTITUTE(ProjTextTable[[#This Row],[text]],CHAR(10)," "))))+1 - LEN(SUBSTITUTE(CLEAN(SUBSTITUTE(ProjTextTable[[#This Row],[text]],CHAR(10)," "))," ",""))</f>
        <v>589</v>
      </c>
      <c r="O444" t="s">
        <v>542</v>
      </c>
      <c r="P444" t="s">
        <v>1336</v>
      </c>
    </row>
    <row r="445" spans="1:16" x14ac:dyDescent="0.4">
      <c r="A445">
        <f t="shared" si="6"/>
        <v>67</v>
      </c>
      <c r="B445" t="s">
        <v>1334</v>
      </c>
      <c r="C445" t="s">
        <v>1335</v>
      </c>
      <c r="D445" t="s">
        <v>2</v>
      </c>
      <c r="E445" t="s">
        <v>654</v>
      </c>
      <c r="F445" t="s">
        <v>13</v>
      </c>
      <c r="G445" t="s">
        <v>609</v>
      </c>
      <c r="H445" t="s">
        <v>13</v>
      </c>
      <c r="I445" t="s">
        <v>13</v>
      </c>
      <c r="K445" s="30"/>
      <c r="L445" s="8">
        <v>43082.529965277776</v>
      </c>
      <c r="M445" s="21">
        <f>LEN(ProjTextTable[[#This Row],[text]])</f>
        <v>2022</v>
      </c>
      <c r="N445" s="21">
        <f>LEN(TRIM(CLEAN(SUBSTITUTE(ProjTextTable[[#This Row],[text]],CHAR(10)," "))))+1 - LEN(SUBSTITUTE(CLEAN(SUBSTITUTE(ProjTextTable[[#This Row],[text]],CHAR(10)," "))," ",""))</f>
        <v>298</v>
      </c>
      <c r="O445" t="s">
        <v>13</v>
      </c>
      <c r="P445" t="s">
        <v>1337</v>
      </c>
    </row>
    <row r="446" spans="1:16" x14ac:dyDescent="0.4">
      <c r="A446">
        <f t="shared" si="6"/>
        <v>67</v>
      </c>
      <c r="B446" t="s">
        <v>1334</v>
      </c>
      <c r="C446" t="s">
        <v>1335</v>
      </c>
      <c r="D446" t="s">
        <v>192</v>
      </c>
      <c r="E446" t="s">
        <v>654</v>
      </c>
      <c r="F446" t="s">
        <v>1308</v>
      </c>
      <c r="G446" t="s">
        <v>1065</v>
      </c>
      <c r="H446" t="s">
        <v>1309</v>
      </c>
      <c r="I446" t="s">
        <v>201</v>
      </c>
      <c r="J446" t="s">
        <v>175</v>
      </c>
      <c r="K446" s="30">
        <v>43081</v>
      </c>
      <c r="L446" s="8">
        <v>43080.349953703706</v>
      </c>
      <c r="M446" s="21">
        <f>LEN(ProjTextTable[[#This Row],[text]])</f>
        <v>3384</v>
      </c>
      <c r="N446" s="21">
        <f>LEN(TRIM(CLEAN(SUBSTITUTE(ProjTextTable[[#This Row],[text]],CHAR(10)," "))))+1 - LEN(SUBSTITUTE(CLEAN(SUBSTITUTE(ProjTextTable[[#This Row],[text]],CHAR(10)," "))," ",""))</f>
        <v>525</v>
      </c>
      <c r="O446" t="s">
        <v>193</v>
      </c>
      <c r="P446" t="s">
        <v>1338</v>
      </c>
    </row>
    <row r="447" spans="1:16" x14ac:dyDescent="0.4">
      <c r="A447">
        <f t="shared" si="6"/>
        <v>67</v>
      </c>
      <c r="B447" t="s">
        <v>1334</v>
      </c>
      <c r="C447" t="s">
        <v>1335</v>
      </c>
      <c r="D447" t="s">
        <v>192</v>
      </c>
      <c r="E447" t="s">
        <v>654</v>
      </c>
      <c r="F447" t="s">
        <v>521</v>
      </c>
      <c r="G447" t="s">
        <v>522</v>
      </c>
      <c r="H447" t="s">
        <v>523</v>
      </c>
      <c r="I447" t="s">
        <v>201</v>
      </c>
      <c r="J447" t="s">
        <v>175</v>
      </c>
      <c r="K447" s="30">
        <v>43081</v>
      </c>
      <c r="L447" s="8">
        <v>43080.001446759263</v>
      </c>
      <c r="M447" s="21">
        <f>LEN(ProjTextTable[[#This Row],[text]])</f>
        <v>3125</v>
      </c>
      <c r="N447" s="21">
        <f>LEN(TRIM(CLEAN(SUBSTITUTE(ProjTextTable[[#This Row],[text]],CHAR(10)," "))))+1 - LEN(SUBSTITUTE(CLEAN(SUBSTITUTE(ProjTextTable[[#This Row],[text]],CHAR(10)," "))," ",""))</f>
        <v>479</v>
      </c>
      <c r="O447" t="s">
        <v>193</v>
      </c>
      <c r="P447" t="s">
        <v>1339</v>
      </c>
    </row>
    <row r="448" spans="1:16" x14ac:dyDescent="0.4">
      <c r="A448">
        <f t="shared" si="6"/>
        <v>67</v>
      </c>
      <c r="B448" t="s">
        <v>1334</v>
      </c>
      <c r="C448" t="s">
        <v>1335</v>
      </c>
      <c r="D448" t="s">
        <v>192</v>
      </c>
      <c r="E448" t="s">
        <v>654</v>
      </c>
      <c r="F448" t="s">
        <v>1300</v>
      </c>
      <c r="G448" t="s">
        <v>1022</v>
      </c>
      <c r="H448" t="s">
        <v>1301</v>
      </c>
      <c r="I448" t="s">
        <v>201</v>
      </c>
      <c r="J448" t="s">
        <v>175</v>
      </c>
      <c r="K448" s="30">
        <v>43081</v>
      </c>
      <c r="L448" s="8">
        <v>43081.478263888886</v>
      </c>
      <c r="M448" s="21">
        <f>LEN(ProjTextTable[[#This Row],[text]])</f>
        <v>2479</v>
      </c>
      <c r="N448" s="21">
        <f>LEN(TRIM(CLEAN(SUBSTITUTE(ProjTextTable[[#This Row],[text]],CHAR(10)," "))))+1 - LEN(SUBSTITUTE(CLEAN(SUBSTITUTE(ProjTextTable[[#This Row],[text]],CHAR(10)," "))," ",""))</f>
        <v>386</v>
      </c>
      <c r="O448" t="s">
        <v>197</v>
      </c>
      <c r="P448" t="s">
        <v>1340</v>
      </c>
    </row>
    <row r="449" spans="1:16" x14ac:dyDescent="0.4">
      <c r="A449">
        <f t="shared" si="6"/>
        <v>67</v>
      </c>
      <c r="B449" t="s">
        <v>1334</v>
      </c>
      <c r="C449" t="s">
        <v>1335</v>
      </c>
      <c r="D449" t="s">
        <v>192</v>
      </c>
      <c r="E449" t="s">
        <v>654</v>
      </c>
      <c r="F449" t="s">
        <v>1266</v>
      </c>
      <c r="G449" t="s">
        <v>1267</v>
      </c>
      <c r="H449" t="s">
        <v>1268</v>
      </c>
      <c r="I449" t="s">
        <v>201</v>
      </c>
      <c r="J449" t="s">
        <v>175</v>
      </c>
      <c r="K449" s="30">
        <v>43081</v>
      </c>
      <c r="L449" s="8">
        <v>43079.99015046296</v>
      </c>
      <c r="M449" s="21">
        <f>LEN(ProjTextTable[[#This Row],[text]])</f>
        <v>6737</v>
      </c>
      <c r="N449" s="21">
        <f>LEN(TRIM(CLEAN(SUBSTITUTE(ProjTextTable[[#This Row],[text]],CHAR(10)," "))))+1 - LEN(SUBSTITUTE(CLEAN(SUBSTITUTE(ProjTextTable[[#This Row],[text]],CHAR(10)," "))," ",""))</f>
        <v>1034</v>
      </c>
      <c r="O449" t="s">
        <v>196</v>
      </c>
      <c r="P449" t="s">
        <v>1341</v>
      </c>
    </row>
    <row r="450" spans="1:16" x14ac:dyDescent="0.4">
      <c r="A450">
        <f t="shared" ref="A450:A513" si="7">A449+(B450&lt;&gt;B449)</f>
        <v>67</v>
      </c>
      <c r="B450" t="s">
        <v>1334</v>
      </c>
      <c r="C450" t="s">
        <v>1335</v>
      </c>
      <c r="D450" t="s">
        <v>194</v>
      </c>
      <c r="E450" t="s">
        <v>654</v>
      </c>
      <c r="F450" t="s">
        <v>13</v>
      </c>
      <c r="G450" t="s">
        <v>13</v>
      </c>
      <c r="H450" t="s">
        <v>13</v>
      </c>
      <c r="K450" s="30"/>
      <c r="L450" s="8">
        <v>43006.042719907404</v>
      </c>
      <c r="M450" s="21">
        <f>LEN(ProjTextTable[[#This Row],[text]])</f>
        <v>3066</v>
      </c>
      <c r="N450" s="21">
        <f>LEN(TRIM(CLEAN(SUBSTITUTE(ProjTextTable[[#This Row],[text]],CHAR(10)," "))))+1 - LEN(SUBSTITUTE(CLEAN(SUBSTITUTE(ProjTextTable[[#This Row],[text]],CHAR(10)," "))," ",""))</f>
        <v>442</v>
      </c>
      <c r="O450" t="s">
        <v>13</v>
      </c>
      <c r="P450" t="s">
        <v>1342</v>
      </c>
    </row>
    <row r="451" spans="1:16" x14ac:dyDescent="0.4">
      <c r="A451">
        <f t="shared" si="7"/>
        <v>68</v>
      </c>
      <c r="B451" t="s">
        <v>1343</v>
      </c>
      <c r="C451" t="s">
        <v>489</v>
      </c>
      <c r="D451" t="s">
        <v>533</v>
      </c>
      <c r="E451" t="s">
        <v>654</v>
      </c>
      <c r="F451" t="s">
        <v>1262</v>
      </c>
      <c r="G451" t="s">
        <v>1263</v>
      </c>
      <c r="H451" t="s">
        <v>541</v>
      </c>
      <c r="I451" t="s">
        <v>536</v>
      </c>
      <c r="J451" t="s">
        <v>1075</v>
      </c>
      <c r="K451" s="30">
        <v>43080</v>
      </c>
      <c r="L451" s="8">
        <v>43081.611481481479</v>
      </c>
      <c r="M451" s="21">
        <f>LEN(ProjTextTable[[#This Row],[text]])</f>
        <v>5545</v>
      </c>
      <c r="N451" s="21">
        <f>LEN(TRIM(CLEAN(SUBSTITUTE(ProjTextTable[[#This Row],[text]],CHAR(10)," "))))+1 - LEN(SUBSTITUTE(CLEAN(SUBSTITUTE(ProjTextTable[[#This Row],[text]],CHAR(10)," "))," ",""))</f>
        <v>868</v>
      </c>
      <c r="O451" t="s">
        <v>542</v>
      </c>
      <c r="P451" t="s">
        <v>1344</v>
      </c>
    </row>
    <row r="452" spans="1:16" x14ac:dyDescent="0.4">
      <c r="A452">
        <f t="shared" si="7"/>
        <v>68</v>
      </c>
      <c r="B452" t="s">
        <v>1343</v>
      </c>
      <c r="C452" t="s">
        <v>489</v>
      </c>
      <c r="D452" t="s">
        <v>2</v>
      </c>
      <c r="E452" t="s">
        <v>654</v>
      </c>
      <c r="F452" t="s">
        <v>13</v>
      </c>
      <c r="G452" t="s">
        <v>609</v>
      </c>
      <c r="H452" t="s">
        <v>13</v>
      </c>
      <c r="I452" t="s">
        <v>13</v>
      </c>
      <c r="K452" s="30"/>
      <c r="L452" s="8">
        <v>43082.530034722222</v>
      </c>
      <c r="M452" s="21">
        <f>LEN(ProjTextTable[[#This Row],[text]])</f>
        <v>2031</v>
      </c>
      <c r="N452" s="21">
        <f>LEN(TRIM(CLEAN(SUBSTITUTE(ProjTextTable[[#This Row],[text]],CHAR(10)," "))))+1 - LEN(SUBSTITUTE(CLEAN(SUBSTITUTE(ProjTextTable[[#This Row],[text]],CHAR(10)," "))," ",""))</f>
        <v>299</v>
      </c>
      <c r="O452" t="s">
        <v>13</v>
      </c>
      <c r="P452" t="s">
        <v>1345</v>
      </c>
    </row>
    <row r="453" spans="1:16" x14ac:dyDescent="0.4">
      <c r="A453">
        <f t="shared" si="7"/>
        <v>68</v>
      </c>
      <c r="B453" t="s">
        <v>1343</v>
      </c>
      <c r="C453" t="s">
        <v>489</v>
      </c>
      <c r="D453" t="s">
        <v>192</v>
      </c>
      <c r="E453" t="s">
        <v>654</v>
      </c>
      <c r="F453" t="s">
        <v>521</v>
      </c>
      <c r="G453" t="s">
        <v>522</v>
      </c>
      <c r="H453" t="s">
        <v>523</v>
      </c>
      <c r="I453" t="s">
        <v>201</v>
      </c>
      <c r="J453" t="s">
        <v>175</v>
      </c>
      <c r="K453" s="30">
        <v>43081</v>
      </c>
      <c r="L453" s="8">
        <v>43079.054224537038</v>
      </c>
      <c r="M453" s="21">
        <f>LEN(ProjTextTable[[#This Row],[text]])</f>
        <v>3514</v>
      </c>
      <c r="N453" s="21">
        <f>LEN(TRIM(CLEAN(SUBSTITUTE(ProjTextTable[[#This Row],[text]],CHAR(10)," "))))+1 - LEN(SUBSTITUTE(CLEAN(SUBSTITUTE(ProjTextTable[[#This Row],[text]],CHAR(10)," "))," ",""))</f>
        <v>575</v>
      </c>
      <c r="O453" t="s">
        <v>193</v>
      </c>
      <c r="P453" t="s">
        <v>1346</v>
      </c>
    </row>
    <row r="454" spans="1:16" x14ac:dyDescent="0.4">
      <c r="A454">
        <f t="shared" si="7"/>
        <v>68</v>
      </c>
      <c r="B454" t="s">
        <v>1343</v>
      </c>
      <c r="C454" t="s">
        <v>489</v>
      </c>
      <c r="D454" t="s">
        <v>192</v>
      </c>
      <c r="E454" t="s">
        <v>654</v>
      </c>
      <c r="F454" t="s">
        <v>1287</v>
      </c>
      <c r="G454" t="s">
        <v>1031</v>
      </c>
      <c r="H454" t="s">
        <v>1288</v>
      </c>
      <c r="I454" t="s">
        <v>201</v>
      </c>
      <c r="J454" t="s">
        <v>175</v>
      </c>
      <c r="K454" s="30">
        <v>43081</v>
      </c>
      <c r="L454" s="8">
        <v>43079.452118055553</v>
      </c>
      <c r="M454" s="21">
        <f>LEN(ProjTextTable[[#This Row],[text]])</f>
        <v>2406</v>
      </c>
      <c r="N454" s="21">
        <f>LEN(TRIM(CLEAN(SUBSTITUTE(ProjTextTable[[#This Row],[text]],CHAR(10)," "))))+1 - LEN(SUBSTITUTE(CLEAN(SUBSTITUTE(ProjTextTable[[#This Row],[text]],CHAR(10)," "))," ",""))</f>
        <v>373</v>
      </c>
      <c r="O454" t="s">
        <v>196</v>
      </c>
      <c r="P454" t="s">
        <v>1347</v>
      </c>
    </row>
    <row r="455" spans="1:16" x14ac:dyDescent="0.4">
      <c r="A455">
        <f t="shared" si="7"/>
        <v>68</v>
      </c>
      <c r="B455" t="s">
        <v>1343</v>
      </c>
      <c r="C455" t="s">
        <v>489</v>
      </c>
      <c r="D455" t="s">
        <v>192</v>
      </c>
      <c r="E455" t="s">
        <v>654</v>
      </c>
      <c r="F455" t="s">
        <v>1290</v>
      </c>
      <c r="G455" t="s">
        <v>1291</v>
      </c>
      <c r="H455" t="s">
        <v>1292</v>
      </c>
      <c r="I455" t="s">
        <v>201</v>
      </c>
      <c r="J455" t="s">
        <v>175</v>
      </c>
      <c r="K455" s="30">
        <v>43081</v>
      </c>
      <c r="L455" s="8">
        <v>43080.611122685186</v>
      </c>
      <c r="M455" s="21">
        <f>LEN(ProjTextTable[[#This Row],[text]])</f>
        <v>2129</v>
      </c>
      <c r="N455" s="21">
        <f>LEN(TRIM(CLEAN(SUBSTITUTE(ProjTextTable[[#This Row],[text]],CHAR(10)," "))))+1 - LEN(SUBSTITUTE(CLEAN(SUBSTITUTE(ProjTextTable[[#This Row],[text]],CHAR(10)," "))," ",""))</f>
        <v>317</v>
      </c>
      <c r="O455" t="s">
        <v>193</v>
      </c>
      <c r="P455" t="s">
        <v>1348</v>
      </c>
    </row>
    <row r="456" spans="1:16" x14ac:dyDescent="0.4">
      <c r="A456">
        <f t="shared" si="7"/>
        <v>68</v>
      </c>
      <c r="B456" t="s">
        <v>1343</v>
      </c>
      <c r="C456" t="s">
        <v>489</v>
      </c>
      <c r="D456" t="s">
        <v>192</v>
      </c>
      <c r="E456" t="s">
        <v>654</v>
      </c>
      <c r="F456" t="s">
        <v>1274</v>
      </c>
      <c r="G456" t="s">
        <v>1275</v>
      </c>
      <c r="H456" t="s">
        <v>1276</v>
      </c>
      <c r="I456" t="s">
        <v>201</v>
      </c>
      <c r="J456" t="s">
        <v>175</v>
      </c>
      <c r="K456" s="30">
        <v>43081</v>
      </c>
      <c r="L456" s="8">
        <v>43081.395694444444</v>
      </c>
      <c r="M456" s="21">
        <f>LEN(ProjTextTable[[#This Row],[text]])</f>
        <v>2278</v>
      </c>
      <c r="N456" s="21">
        <f>LEN(TRIM(CLEAN(SUBSTITUTE(ProjTextTable[[#This Row],[text]],CHAR(10)," "))))+1 - LEN(SUBSTITUTE(CLEAN(SUBSTITUTE(ProjTextTable[[#This Row],[text]],CHAR(10)," "))," ",""))</f>
        <v>351</v>
      </c>
      <c r="O456" t="s">
        <v>193</v>
      </c>
      <c r="P456" t="s">
        <v>1349</v>
      </c>
    </row>
    <row r="457" spans="1:16" x14ac:dyDescent="0.4">
      <c r="A457">
        <f t="shared" si="7"/>
        <v>68</v>
      </c>
      <c r="B457" t="s">
        <v>1343</v>
      </c>
      <c r="C457" t="s">
        <v>489</v>
      </c>
      <c r="D457" t="s">
        <v>194</v>
      </c>
      <c r="E457" t="s">
        <v>654</v>
      </c>
      <c r="F457" t="s">
        <v>13</v>
      </c>
      <c r="G457" t="s">
        <v>13</v>
      </c>
      <c r="H457" t="s">
        <v>13</v>
      </c>
      <c r="K457" s="30"/>
      <c r="L457" s="8">
        <v>43006.042905092596</v>
      </c>
      <c r="M457" s="21">
        <f>LEN(ProjTextTable[[#This Row],[text]])</f>
        <v>4476</v>
      </c>
      <c r="N457" s="21">
        <f>LEN(TRIM(CLEAN(SUBSTITUTE(ProjTextTable[[#This Row],[text]],CHAR(10)," "))))+1 - LEN(SUBSTITUTE(CLEAN(SUBSTITUTE(ProjTextTable[[#This Row],[text]],CHAR(10)," "))," ",""))</f>
        <v>664</v>
      </c>
      <c r="O457" t="s">
        <v>13</v>
      </c>
      <c r="P457" t="s">
        <v>1350</v>
      </c>
    </row>
    <row r="458" spans="1:16" x14ac:dyDescent="0.4">
      <c r="A458">
        <f t="shared" si="7"/>
        <v>69</v>
      </c>
      <c r="B458" t="s">
        <v>1351</v>
      </c>
      <c r="C458" t="s">
        <v>1352</v>
      </c>
      <c r="D458" t="s">
        <v>533</v>
      </c>
      <c r="E458" t="s">
        <v>611</v>
      </c>
      <c r="F458" t="s">
        <v>1262</v>
      </c>
      <c r="G458" t="s">
        <v>1263</v>
      </c>
      <c r="H458" t="s">
        <v>541</v>
      </c>
      <c r="I458" t="s">
        <v>536</v>
      </c>
      <c r="J458" t="s">
        <v>1075</v>
      </c>
      <c r="K458" s="30">
        <v>43080</v>
      </c>
      <c r="L458" s="8">
        <v>43081.611643518518</v>
      </c>
      <c r="M458" s="21">
        <f>LEN(ProjTextTable[[#This Row],[text]])</f>
        <v>2502</v>
      </c>
      <c r="N458" s="21">
        <f>LEN(TRIM(CLEAN(SUBSTITUTE(ProjTextTable[[#This Row],[text]],CHAR(10)," "))))+1 - LEN(SUBSTITUTE(CLEAN(SUBSTITUTE(ProjTextTable[[#This Row],[text]],CHAR(10)," "))," ",""))</f>
        <v>395</v>
      </c>
      <c r="O458" t="s">
        <v>542</v>
      </c>
      <c r="P458" t="s">
        <v>1353</v>
      </c>
    </row>
    <row r="459" spans="1:16" x14ac:dyDescent="0.4">
      <c r="A459">
        <f t="shared" si="7"/>
        <v>69</v>
      </c>
      <c r="B459" t="s">
        <v>1351</v>
      </c>
      <c r="C459" t="s">
        <v>1352</v>
      </c>
      <c r="D459" t="s">
        <v>2</v>
      </c>
      <c r="E459" t="s">
        <v>611</v>
      </c>
      <c r="F459" t="s">
        <v>13</v>
      </c>
      <c r="G459" t="s">
        <v>609</v>
      </c>
      <c r="H459" t="s">
        <v>13</v>
      </c>
      <c r="I459" t="s">
        <v>13</v>
      </c>
      <c r="K459" s="30"/>
      <c r="L459" s="8">
        <v>43082.530104166668</v>
      </c>
      <c r="M459" s="21">
        <f>LEN(ProjTextTable[[#This Row],[text]])</f>
        <v>2116</v>
      </c>
      <c r="N459" s="21">
        <f>LEN(TRIM(CLEAN(SUBSTITUTE(ProjTextTable[[#This Row],[text]],CHAR(10)," "))))+1 - LEN(SUBSTITUTE(CLEAN(SUBSTITUTE(ProjTextTable[[#This Row],[text]],CHAR(10)," "))," ",""))</f>
        <v>316</v>
      </c>
      <c r="O459" t="s">
        <v>13</v>
      </c>
      <c r="P459" t="s">
        <v>1354</v>
      </c>
    </row>
    <row r="460" spans="1:16" x14ac:dyDescent="0.4">
      <c r="A460">
        <f t="shared" si="7"/>
        <v>69</v>
      </c>
      <c r="B460" t="s">
        <v>1351</v>
      </c>
      <c r="C460" t="s">
        <v>1352</v>
      </c>
      <c r="D460" t="s">
        <v>192</v>
      </c>
      <c r="E460" t="s">
        <v>611</v>
      </c>
      <c r="F460" t="s">
        <v>1283</v>
      </c>
      <c r="G460" t="s">
        <v>1284</v>
      </c>
      <c r="H460" t="s">
        <v>1285</v>
      </c>
      <c r="I460" t="s">
        <v>201</v>
      </c>
      <c r="J460" t="s">
        <v>175</v>
      </c>
      <c r="K460" s="30">
        <v>43081</v>
      </c>
      <c r="L460" s="8">
        <v>43079.96539351852</v>
      </c>
      <c r="M460" s="21">
        <f>LEN(ProjTextTable[[#This Row],[text]])</f>
        <v>1718</v>
      </c>
      <c r="N460" s="21">
        <f>LEN(TRIM(CLEAN(SUBSTITUTE(ProjTextTable[[#This Row],[text]],CHAR(10)," "))))+1 - LEN(SUBSTITUTE(CLEAN(SUBSTITUTE(ProjTextTable[[#This Row],[text]],CHAR(10)," "))," ",""))</f>
        <v>260</v>
      </c>
      <c r="O460" t="s">
        <v>196</v>
      </c>
      <c r="P460" t="s">
        <v>1355</v>
      </c>
    </row>
    <row r="461" spans="1:16" x14ac:dyDescent="0.4">
      <c r="A461">
        <f t="shared" si="7"/>
        <v>69</v>
      </c>
      <c r="B461" t="s">
        <v>1351</v>
      </c>
      <c r="C461" t="s">
        <v>1352</v>
      </c>
      <c r="D461" t="s">
        <v>192</v>
      </c>
      <c r="E461" t="s">
        <v>611</v>
      </c>
      <c r="F461" t="s">
        <v>521</v>
      </c>
      <c r="G461" t="s">
        <v>522</v>
      </c>
      <c r="H461" t="s">
        <v>523</v>
      </c>
      <c r="I461" t="s">
        <v>201</v>
      </c>
      <c r="J461" t="s">
        <v>175</v>
      </c>
      <c r="K461" s="30">
        <v>43081</v>
      </c>
      <c r="L461" s="8">
        <v>43081.003449074073</v>
      </c>
      <c r="M461" s="21">
        <f>LEN(ProjTextTable[[#This Row],[text]])</f>
        <v>2684</v>
      </c>
      <c r="N461" s="21">
        <f>LEN(TRIM(CLEAN(SUBSTITUTE(ProjTextTable[[#This Row],[text]],CHAR(10)," "))))+1 - LEN(SUBSTITUTE(CLEAN(SUBSTITUTE(ProjTextTable[[#This Row],[text]],CHAR(10)," "))," ",""))</f>
        <v>415</v>
      </c>
      <c r="O461" t="s">
        <v>197</v>
      </c>
      <c r="P461" t="s">
        <v>1356</v>
      </c>
    </row>
    <row r="462" spans="1:16" x14ac:dyDescent="0.4">
      <c r="A462">
        <f t="shared" si="7"/>
        <v>69</v>
      </c>
      <c r="B462" t="s">
        <v>1351</v>
      </c>
      <c r="C462" t="s">
        <v>1352</v>
      </c>
      <c r="D462" t="s">
        <v>192</v>
      </c>
      <c r="E462" t="s">
        <v>611</v>
      </c>
      <c r="F462" t="s">
        <v>1266</v>
      </c>
      <c r="G462" t="s">
        <v>1267</v>
      </c>
      <c r="H462" t="s">
        <v>1268</v>
      </c>
      <c r="I462" t="s">
        <v>201</v>
      </c>
      <c r="J462" t="s">
        <v>175</v>
      </c>
      <c r="K462" s="30">
        <v>43081</v>
      </c>
      <c r="L462" s="8">
        <v>43081.617881944447</v>
      </c>
      <c r="M462" s="21">
        <f>LEN(ProjTextTable[[#This Row],[text]])</f>
        <v>5660</v>
      </c>
      <c r="N462" s="21">
        <f>LEN(TRIM(CLEAN(SUBSTITUTE(ProjTextTable[[#This Row],[text]],CHAR(10)," "))))+1 - LEN(SUBSTITUTE(CLEAN(SUBSTITUTE(ProjTextTable[[#This Row],[text]],CHAR(10)," "))," ",""))</f>
        <v>901</v>
      </c>
      <c r="O462" t="s">
        <v>197</v>
      </c>
      <c r="P462" t="s">
        <v>1357</v>
      </c>
    </row>
    <row r="463" spans="1:16" x14ac:dyDescent="0.4">
      <c r="A463">
        <f t="shared" si="7"/>
        <v>69</v>
      </c>
      <c r="B463" t="s">
        <v>1351</v>
      </c>
      <c r="C463" t="s">
        <v>1352</v>
      </c>
      <c r="D463" t="s">
        <v>192</v>
      </c>
      <c r="E463" t="s">
        <v>611</v>
      </c>
      <c r="F463" t="s">
        <v>1274</v>
      </c>
      <c r="G463" t="s">
        <v>1275</v>
      </c>
      <c r="H463" t="s">
        <v>1276</v>
      </c>
      <c r="I463" t="s">
        <v>201</v>
      </c>
      <c r="J463" t="s">
        <v>175</v>
      </c>
      <c r="K463" s="30">
        <v>43081</v>
      </c>
      <c r="L463" s="8">
        <v>43078.819467592592</v>
      </c>
      <c r="M463" s="21">
        <f>LEN(ProjTextTable[[#This Row],[text]])</f>
        <v>1839</v>
      </c>
      <c r="N463" s="21">
        <f>LEN(TRIM(CLEAN(SUBSTITUTE(ProjTextTable[[#This Row],[text]],CHAR(10)," "))))+1 - LEN(SUBSTITUTE(CLEAN(SUBSTITUTE(ProjTextTable[[#This Row],[text]],CHAR(10)," "))," ",""))</f>
        <v>271</v>
      </c>
      <c r="O463" t="s">
        <v>196</v>
      </c>
      <c r="P463" t="s">
        <v>1358</v>
      </c>
    </row>
    <row r="464" spans="1:16" x14ac:dyDescent="0.4">
      <c r="A464">
        <f t="shared" si="7"/>
        <v>69</v>
      </c>
      <c r="B464" t="s">
        <v>1351</v>
      </c>
      <c r="C464" t="s">
        <v>1352</v>
      </c>
      <c r="D464" t="s">
        <v>194</v>
      </c>
      <c r="E464" t="s">
        <v>611</v>
      </c>
      <c r="F464" t="s">
        <v>13</v>
      </c>
      <c r="G464" t="s">
        <v>13</v>
      </c>
      <c r="H464" t="s">
        <v>13</v>
      </c>
      <c r="K464" s="30"/>
      <c r="L464" s="8">
        <v>43006.043298611112</v>
      </c>
      <c r="M464" s="21">
        <f>LEN(ProjTextTable[[#This Row],[text]])</f>
        <v>2864</v>
      </c>
      <c r="N464" s="21">
        <f>LEN(TRIM(CLEAN(SUBSTITUTE(ProjTextTable[[#This Row],[text]],CHAR(10)," "))))+1 - LEN(SUBSTITUTE(CLEAN(SUBSTITUTE(ProjTextTable[[#This Row],[text]],CHAR(10)," "))," ",""))</f>
        <v>402</v>
      </c>
      <c r="O464" t="s">
        <v>13</v>
      </c>
      <c r="P464" t="s">
        <v>1359</v>
      </c>
    </row>
    <row r="465" spans="1:16" x14ac:dyDescent="0.4">
      <c r="A465">
        <f t="shared" si="7"/>
        <v>70</v>
      </c>
      <c r="B465" t="s">
        <v>1360</v>
      </c>
      <c r="C465" t="s">
        <v>1361</v>
      </c>
      <c r="D465" t="s">
        <v>533</v>
      </c>
      <c r="E465" t="s">
        <v>611</v>
      </c>
      <c r="F465" t="s">
        <v>1262</v>
      </c>
      <c r="G465" t="s">
        <v>1263</v>
      </c>
      <c r="H465" t="s">
        <v>541</v>
      </c>
      <c r="I465" t="s">
        <v>536</v>
      </c>
      <c r="J465" t="s">
        <v>1075</v>
      </c>
      <c r="K465" s="30">
        <v>43080</v>
      </c>
      <c r="L465" s="8">
        <v>43081.610567129632</v>
      </c>
      <c r="M465" s="21">
        <f>LEN(ProjTextTable[[#This Row],[text]])</f>
        <v>3102</v>
      </c>
      <c r="N465" s="21">
        <f>LEN(TRIM(CLEAN(SUBSTITUTE(ProjTextTable[[#This Row],[text]],CHAR(10)," "))))+1 - LEN(SUBSTITUTE(CLEAN(SUBSTITUTE(ProjTextTable[[#This Row],[text]],CHAR(10)," "))," ",""))</f>
        <v>447</v>
      </c>
      <c r="O465" t="s">
        <v>542</v>
      </c>
      <c r="P465" t="s">
        <v>1362</v>
      </c>
    </row>
    <row r="466" spans="1:16" x14ac:dyDescent="0.4">
      <c r="A466">
        <f t="shared" si="7"/>
        <v>70</v>
      </c>
      <c r="B466" t="s">
        <v>1360</v>
      </c>
      <c r="C466" t="s">
        <v>1361</v>
      </c>
      <c r="D466" t="s">
        <v>2</v>
      </c>
      <c r="E466" t="s">
        <v>611</v>
      </c>
      <c r="F466" t="s">
        <v>13</v>
      </c>
      <c r="G466" t="s">
        <v>609</v>
      </c>
      <c r="H466" t="s">
        <v>13</v>
      </c>
      <c r="I466" t="s">
        <v>13</v>
      </c>
      <c r="K466" s="30"/>
      <c r="L466" s="8">
        <v>43082.530173611114</v>
      </c>
      <c r="M466" s="21">
        <f>LEN(ProjTextTable[[#This Row],[text]])</f>
        <v>2084</v>
      </c>
      <c r="N466" s="21">
        <f>LEN(TRIM(CLEAN(SUBSTITUTE(ProjTextTable[[#This Row],[text]],CHAR(10)," "))))+1 - LEN(SUBSTITUTE(CLEAN(SUBSTITUTE(ProjTextTable[[#This Row],[text]],CHAR(10)," "))," ",""))</f>
        <v>309</v>
      </c>
      <c r="O466" t="s">
        <v>13</v>
      </c>
      <c r="P466" t="s">
        <v>1363</v>
      </c>
    </row>
    <row r="467" spans="1:16" x14ac:dyDescent="0.4">
      <c r="A467">
        <f t="shared" si="7"/>
        <v>70</v>
      </c>
      <c r="B467" t="s">
        <v>1360</v>
      </c>
      <c r="C467" t="s">
        <v>1361</v>
      </c>
      <c r="D467" t="s">
        <v>192</v>
      </c>
      <c r="E467" t="s">
        <v>611</v>
      </c>
      <c r="F467" t="s">
        <v>1308</v>
      </c>
      <c r="G467" t="s">
        <v>1065</v>
      </c>
      <c r="H467" t="s">
        <v>1309</v>
      </c>
      <c r="I467" t="s">
        <v>201</v>
      </c>
      <c r="J467" t="s">
        <v>175</v>
      </c>
      <c r="K467" s="30">
        <v>43081</v>
      </c>
      <c r="L467" s="8">
        <v>43080.353252314817</v>
      </c>
      <c r="M467" s="21">
        <f>LEN(ProjTextTable[[#This Row],[text]])</f>
        <v>4144</v>
      </c>
      <c r="N467" s="21">
        <f>LEN(TRIM(CLEAN(SUBSTITUTE(ProjTextTable[[#This Row],[text]],CHAR(10)," "))))+1 - LEN(SUBSTITUTE(CLEAN(SUBSTITUTE(ProjTextTable[[#This Row],[text]],CHAR(10)," "))," ",""))</f>
        <v>624</v>
      </c>
      <c r="O467" t="s">
        <v>193</v>
      </c>
      <c r="P467" t="s">
        <v>1364</v>
      </c>
    </row>
    <row r="468" spans="1:16" x14ac:dyDescent="0.4">
      <c r="A468">
        <f t="shared" si="7"/>
        <v>70</v>
      </c>
      <c r="B468" t="s">
        <v>1360</v>
      </c>
      <c r="C468" t="s">
        <v>1361</v>
      </c>
      <c r="D468" t="s">
        <v>192</v>
      </c>
      <c r="E468" t="s">
        <v>611</v>
      </c>
      <c r="F468" t="s">
        <v>1287</v>
      </c>
      <c r="G468" t="s">
        <v>1031</v>
      </c>
      <c r="H468" t="s">
        <v>1288</v>
      </c>
      <c r="I468" t="s">
        <v>201</v>
      </c>
      <c r="J468" t="s">
        <v>175</v>
      </c>
      <c r="K468" s="30">
        <v>43081</v>
      </c>
      <c r="L468" s="8">
        <v>43079.475127314814</v>
      </c>
      <c r="M468" s="21">
        <f>LEN(ProjTextTable[[#This Row],[text]])</f>
        <v>2161</v>
      </c>
      <c r="N468" s="21">
        <f>LEN(TRIM(CLEAN(SUBSTITUTE(ProjTextTable[[#This Row],[text]],CHAR(10)," "))))+1 - LEN(SUBSTITUTE(CLEAN(SUBSTITUTE(ProjTextTable[[#This Row],[text]],CHAR(10)," "))," ",""))</f>
        <v>330</v>
      </c>
      <c r="O468" t="s">
        <v>198</v>
      </c>
      <c r="P468" t="s">
        <v>1365</v>
      </c>
    </row>
    <row r="469" spans="1:16" x14ac:dyDescent="0.4">
      <c r="A469">
        <f t="shared" si="7"/>
        <v>70</v>
      </c>
      <c r="B469" t="s">
        <v>1360</v>
      </c>
      <c r="C469" t="s">
        <v>1361</v>
      </c>
      <c r="D469" t="s">
        <v>192</v>
      </c>
      <c r="E469" t="s">
        <v>611</v>
      </c>
      <c r="F469" t="s">
        <v>1366</v>
      </c>
      <c r="G469" t="s">
        <v>1367</v>
      </c>
      <c r="H469" t="s">
        <v>1368</v>
      </c>
      <c r="I469" t="s">
        <v>175</v>
      </c>
      <c r="J469" t="s">
        <v>175</v>
      </c>
      <c r="K469" s="30">
        <v>43444</v>
      </c>
      <c r="L469" s="8">
        <v>43079.986666666664</v>
      </c>
      <c r="M469" s="21">
        <f>LEN(ProjTextTable[[#This Row],[text]])</f>
        <v>5677</v>
      </c>
      <c r="N469" s="21">
        <f>LEN(TRIM(CLEAN(SUBSTITUTE(ProjTextTable[[#This Row],[text]],CHAR(10)," "))))+1 - LEN(SUBSTITUTE(CLEAN(SUBSTITUTE(ProjTextTable[[#This Row],[text]],CHAR(10)," "))," ",""))</f>
        <v>852</v>
      </c>
      <c r="O469" t="s">
        <v>193</v>
      </c>
      <c r="P469" t="s">
        <v>1369</v>
      </c>
    </row>
    <row r="470" spans="1:16" x14ac:dyDescent="0.4">
      <c r="A470">
        <f t="shared" si="7"/>
        <v>70</v>
      </c>
      <c r="B470" t="s">
        <v>1360</v>
      </c>
      <c r="C470" t="s">
        <v>1361</v>
      </c>
      <c r="D470" t="s">
        <v>192</v>
      </c>
      <c r="E470" t="s">
        <v>611</v>
      </c>
      <c r="F470" t="s">
        <v>1266</v>
      </c>
      <c r="G470" t="s">
        <v>1267</v>
      </c>
      <c r="H470" t="s">
        <v>1268</v>
      </c>
      <c r="I470" t="s">
        <v>201</v>
      </c>
      <c r="J470" t="s">
        <v>175</v>
      </c>
      <c r="K470" s="30">
        <v>43081</v>
      </c>
      <c r="L470" s="8">
        <v>43078.944965277777</v>
      </c>
      <c r="M470" s="21">
        <f>LEN(ProjTextTable[[#This Row],[text]])</f>
        <v>6281</v>
      </c>
      <c r="N470" s="21">
        <f>LEN(TRIM(CLEAN(SUBSTITUTE(ProjTextTable[[#This Row],[text]],CHAR(10)," "))))+1 - LEN(SUBSTITUTE(CLEAN(SUBSTITUTE(ProjTextTable[[#This Row],[text]],CHAR(10)," "))," ",""))</f>
        <v>948</v>
      </c>
      <c r="O470" t="s">
        <v>196</v>
      </c>
      <c r="P470" t="s">
        <v>1370</v>
      </c>
    </row>
    <row r="471" spans="1:16" x14ac:dyDescent="0.4">
      <c r="A471">
        <f t="shared" si="7"/>
        <v>70</v>
      </c>
      <c r="B471" t="s">
        <v>1360</v>
      </c>
      <c r="C471" t="s">
        <v>1361</v>
      </c>
      <c r="D471" t="s">
        <v>194</v>
      </c>
      <c r="E471" t="s">
        <v>611</v>
      </c>
      <c r="F471" t="s">
        <v>13</v>
      </c>
      <c r="G471" t="s">
        <v>13</v>
      </c>
      <c r="H471" t="s">
        <v>13</v>
      </c>
      <c r="K471" s="30"/>
      <c r="L471" s="8">
        <v>43006.043333333335</v>
      </c>
      <c r="M471" s="21">
        <f>LEN(ProjTextTable[[#This Row],[text]])</f>
        <v>4420</v>
      </c>
      <c r="N471" s="21">
        <f>LEN(TRIM(CLEAN(SUBSTITUTE(ProjTextTable[[#This Row],[text]],CHAR(10)," "))))+1 - LEN(SUBSTITUTE(CLEAN(SUBSTITUTE(ProjTextTable[[#This Row],[text]],CHAR(10)," "))," ",""))</f>
        <v>619</v>
      </c>
      <c r="O471" t="s">
        <v>13</v>
      </c>
      <c r="P471" t="s">
        <v>1371</v>
      </c>
    </row>
    <row r="472" spans="1:16" x14ac:dyDescent="0.4">
      <c r="A472">
        <f t="shared" si="7"/>
        <v>71</v>
      </c>
      <c r="B472" t="s">
        <v>1372</v>
      </c>
      <c r="C472" t="s">
        <v>750</v>
      </c>
      <c r="D472" t="s">
        <v>533</v>
      </c>
      <c r="E472" t="s">
        <v>611</v>
      </c>
      <c r="F472" t="s">
        <v>1262</v>
      </c>
      <c r="G472" t="s">
        <v>1263</v>
      </c>
      <c r="H472" t="s">
        <v>541</v>
      </c>
      <c r="I472" t="s">
        <v>536</v>
      </c>
      <c r="J472" t="s">
        <v>1075</v>
      </c>
      <c r="K472" s="30">
        <v>43080</v>
      </c>
      <c r="L472" s="8">
        <v>43081.625219907408</v>
      </c>
      <c r="M472" s="21">
        <f>LEN(ProjTextTable[[#This Row],[text]])</f>
        <v>4823</v>
      </c>
      <c r="N472" s="21">
        <f>LEN(TRIM(CLEAN(SUBSTITUTE(ProjTextTable[[#This Row],[text]],CHAR(10)," "))))+1 - LEN(SUBSTITUTE(CLEAN(SUBSTITUTE(ProjTextTable[[#This Row],[text]],CHAR(10)," "))," ",""))</f>
        <v>691</v>
      </c>
      <c r="O472" t="s">
        <v>542</v>
      </c>
      <c r="P472" t="s">
        <v>1373</v>
      </c>
    </row>
    <row r="473" spans="1:16" x14ac:dyDescent="0.4">
      <c r="A473">
        <f t="shared" si="7"/>
        <v>71</v>
      </c>
      <c r="B473" t="s">
        <v>1372</v>
      </c>
      <c r="C473" t="s">
        <v>750</v>
      </c>
      <c r="D473" t="s">
        <v>2</v>
      </c>
      <c r="E473" t="s">
        <v>611</v>
      </c>
      <c r="F473" t="s">
        <v>13</v>
      </c>
      <c r="G473" t="s">
        <v>609</v>
      </c>
      <c r="H473" t="s">
        <v>13</v>
      </c>
      <c r="I473" t="s">
        <v>13</v>
      </c>
      <c r="K473" s="30"/>
      <c r="L473" s="8">
        <v>43082.530243055553</v>
      </c>
      <c r="M473" s="21">
        <f>LEN(ProjTextTable[[#This Row],[text]])</f>
        <v>2038</v>
      </c>
      <c r="N473" s="21">
        <f>LEN(TRIM(CLEAN(SUBSTITUTE(ProjTextTable[[#This Row],[text]],CHAR(10)," "))))+1 - LEN(SUBSTITUTE(CLEAN(SUBSTITUTE(ProjTextTable[[#This Row],[text]],CHAR(10)," "))," ",""))</f>
        <v>300</v>
      </c>
      <c r="O473" t="s">
        <v>13</v>
      </c>
      <c r="P473" t="s">
        <v>1374</v>
      </c>
    </row>
    <row r="474" spans="1:16" x14ac:dyDescent="0.4">
      <c r="A474">
        <f t="shared" si="7"/>
        <v>71</v>
      </c>
      <c r="B474" t="s">
        <v>1372</v>
      </c>
      <c r="C474" t="s">
        <v>750</v>
      </c>
      <c r="D474" t="s">
        <v>192</v>
      </c>
      <c r="E474" t="s">
        <v>611</v>
      </c>
      <c r="F474" t="s">
        <v>1283</v>
      </c>
      <c r="G474" t="s">
        <v>1284</v>
      </c>
      <c r="H474" t="s">
        <v>1285</v>
      </c>
      <c r="I474" t="s">
        <v>201</v>
      </c>
      <c r="J474" t="s">
        <v>175</v>
      </c>
      <c r="K474" s="30">
        <v>43081</v>
      </c>
      <c r="L474" s="8">
        <v>43080.400069444448</v>
      </c>
      <c r="M474" s="21">
        <f>LEN(ProjTextTable[[#This Row],[text]])</f>
        <v>2194</v>
      </c>
      <c r="N474" s="21">
        <f>LEN(TRIM(CLEAN(SUBSTITUTE(ProjTextTable[[#This Row],[text]],CHAR(10)," "))))+1 - LEN(SUBSTITUTE(CLEAN(SUBSTITUTE(ProjTextTable[[#This Row],[text]],CHAR(10)," "))," ",""))</f>
        <v>343</v>
      </c>
      <c r="O474" t="s">
        <v>193</v>
      </c>
      <c r="P474" t="s">
        <v>1375</v>
      </c>
    </row>
    <row r="475" spans="1:16" x14ac:dyDescent="0.4">
      <c r="A475">
        <f t="shared" si="7"/>
        <v>71</v>
      </c>
      <c r="B475" t="s">
        <v>1372</v>
      </c>
      <c r="C475" t="s">
        <v>750</v>
      </c>
      <c r="D475" t="s">
        <v>192</v>
      </c>
      <c r="E475" t="s">
        <v>611</v>
      </c>
      <c r="F475" t="s">
        <v>1287</v>
      </c>
      <c r="G475" t="s">
        <v>1031</v>
      </c>
      <c r="H475" t="s">
        <v>1288</v>
      </c>
      <c r="I475" t="s">
        <v>201</v>
      </c>
      <c r="J475" t="s">
        <v>175</v>
      </c>
      <c r="K475" s="30">
        <v>43081</v>
      </c>
      <c r="L475" s="8">
        <v>43079.989837962959</v>
      </c>
      <c r="M475" s="21">
        <f>LEN(ProjTextTable[[#This Row],[text]])</f>
        <v>2272</v>
      </c>
      <c r="N475" s="21">
        <f>LEN(TRIM(CLEAN(SUBSTITUTE(ProjTextTable[[#This Row],[text]],CHAR(10)," "))))+1 - LEN(SUBSTITUTE(CLEAN(SUBSTITUTE(ProjTextTable[[#This Row],[text]],CHAR(10)," "))," ",""))</f>
        <v>348</v>
      </c>
      <c r="O475" t="s">
        <v>197</v>
      </c>
      <c r="P475" t="s">
        <v>1376</v>
      </c>
    </row>
    <row r="476" spans="1:16" x14ac:dyDescent="0.4">
      <c r="A476">
        <f t="shared" si="7"/>
        <v>71</v>
      </c>
      <c r="B476" t="s">
        <v>1372</v>
      </c>
      <c r="C476" t="s">
        <v>750</v>
      </c>
      <c r="D476" t="s">
        <v>192</v>
      </c>
      <c r="E476" t="s">
        <v>611</v>
      </c>
      <c r="F476" t="s">
        <v>1300</v>
      </c>
      <c r="G476" t="s">
        <v>1022</v>
      </c>
      <c r="H476" t="s">
        <v>1301</v>
      </c>
      <c r="I476" t="s">
        <v>201</v>
      </c>
      <c r="J476" t="s">
        <v>175</v>
      </c>
      <c r="K476" s="30">
        <v>43081</v>
      </c>
      <c r="L476" s="8">
        <v>43081.454189814816</v>
      </c>
      <c r="M476" s="21">
        <f>LEN(ProjTextTable[[#This Row],[text]])</f>
        <v>1507</v>
      </c>
      <c r="N476" s="21">
        <f>LEN(TRIM(CLEAN(SUBSTITUTE(ProjTextTable[[#This Row],[text]],CHAR(10)," "))))+1 - LEN(SUBSTITUTE(CLEAN(SUBSTITUTE(ProjTextTable[[#This Row],[text]],CHAR(10)," "))," ",""))</f>
        <v>206</v>
      </c>
      <c r="O476" t="s">
        <v>199</v>
      </c>
      <c r="P476" t="s">
        <v>1377</v>
      </c>
    </row>
    <row r="477" spans="1:16" x14ac:dyDescent="0.4">
      <c r="A477">
        <f t="shared" si="7"/>
        <v>71</v>
      </c>
      <c r="B477" t="s">
        <v>1372</v>
      </c>
      <c r="C477" t="s">
        <v>750</v>
      </c>
      <c r="D477" t="s">
        <v>192</v>
      </c>
      <c r="E477" t="s">
        <v>611</v>
      </c>
      <c r="F477" t="s">
        <v>1266</v>
      </c>
      <c r="G477" t="s">
        <v>1267</v>
      </c>
      <c r="H477" t="s">
        <v>1268</v>
      </c>
      <c r="I477" t="s">
        <v>201</v>
      </c>
      <c r="J477" t="s">
        <v>175</v>
      </c>
      <c r="K477" s="30">
        <v>43081</v>
      </c>
      <c r="L477" s="8">
        <v>43080.030266203707</v>
      </c>
      <c r="M477" s="21">
        <f>LEN(ProjTextTable[[#This Row],[text]])</f>
        <v>8969</v>
      </c>
      <c r="N477" s="21">
        <f>LEN(TRIM(CLEAN(SUBSTITUTE(ProjTextTable[[#This Row],[text]],CHAR(10)," "))))+1 - LEN(SUBSTITUTE(CLEAN(SUBSTITUTE(ProjTextTable[[#This Row],[text]],CHAR(10)," "))," ",""))</f>
        <v>1438</v>
      </c>
      <c r="O477" t="s">
        <v>193</v>
      </c>
      <c r="P477" t="s">
        <v>1378</v>
      </c>
    </row>
    <row r="478" spans="1:16" x14ac:dyDescent="0.4">
      <c r="A478">
        <f t="shared" si="7"/>
        <v>72</v>
      </c>
      <c r="B478" t="s">
        <v>1379</v>
      </c>
      <c r="C478" t="s">
        <v>1380</v>
      </c>
      <c r="D478" t="s">
        <v>533</v>
      </c>
      <c r="E478" t="s">
        <v>654</v>
      </c>
      <c r="F478" t="s">
        <v>1262</v>
      </c>
      <c r="G478" t="s">
        <v>1263</v>
      </c>
      <c r="H478" t="s">
        <v>539</v>
      </c>
      <c r="I478" t="s">
        <v>535</v>
      </c>
      <c r="J478" t="s">
        <v>545</v>
      </c>
      <c r="K478" s="30">
        <v>43080</v>
      </c>
      <c r="L478" s="8">
        <v>43081.631805555553</v>
      </c>
      <c r="M478" s="21">
        <f>LEN(ProjTextTable[[#This Row],[text]])</f>
        <v>3595</v>
      </c>
      <c r="N478" s="21">
        <f>LEN(TRIM(CLEAN(SUBSTITUTE(ProjTextTable[[#This Row],[text]],CHAR(10)," "))))+1 - LEN(SUBSTITUTE(CLEAN(SUBSTITUTE(ProjTextTable[[#This Row],[text]],CHAR(10)," "))," ",""))</f>
        <v>537</v>
      </c>
      <c r="O478" t="s">
        <v>540</v>
      </c>
      <c r="P478" t="s">
        <v>1381</v>
      </c>
    </row>
    <row r="479" spans="1:16" x14ac:dyDescent="0.4">
      <c r="A479">
        <f t="shared" si="7"/>
        <v>72</v>
      </c>
      <c r="B479" t="s">
        <v>1379</v>
      </c>
      <c r="C479" t="s">
        <v>1380</v>
      </c>
      <c r="D479" t="s">
        <v>192</v>
      </c>
      <c r="E479" t="s">
        <v>654</v>
      </c>
      <c r="F479" t="s">
        <v>1308</v>
      </c>
      <c r="G479" t="s">
        <v>1065</v>
      </c>
      <c r="H479" t="s">
        <v>1309</v>
      </c>
      <c r="I479" t="s">
        <v>201</v>
      </c>
      <c r="J479" t="s">
        <v>175</v>
      </c>
      <c r="K479" s="30">
        <v>43081</v>
      </c>
      <c r="L479" s="8">
        <v>43081.394583333335</v>
      </c>
      <c r="M479" s="21">
        <f>LEN(ProjTextTable[[#This Row],[text]])</f>
        <v>3795</v>
      </c>
      <c r="N479" s="21">
        <f>LEN(TRIM(CLEAN(SUBSTITUTE(ProjTextTable[[#This Row],[text]],CHAR(10)," "))))+1 - LEN(SUBSTITUTE(CLEAN(SUBSTITUTE(ProjTextTable[[#This Row],[text]],CHAR(10)," "))," ",""))</f>
        <v>564</v>
      </c>
      <c r="O479" t="s">
        <v>196</v>
      </c>
      <c r="P479" t="s">
        <v>1382</v>
      </c>
    </row>
    <row r="480" spans="1:16" x14ac:dyDescent="0.4">
      <c r="A480">
        <f t="shared" si="7"/>
        <v>72</v>
      </c>
      <c r="B480" t="s">
        <v>1379</v>
      </c>
      <c r="C480" t="s">
        <v>1380</v>
      </c>
      <c r="D480" t="s">
        <v>192</v>
      </c>
      <c r="E480" t="s">
        <v>654</v>
      </c>
      <c r="F480" t="s">
        <v>1290</v>
      </c>
      <c r="G480" t="s">
        <v>1291</v>
      </c>
      <c r="H480" t="s">
        <v>1292</v>
      </c>
      <c r="I480" t="s">
        <v>201</v>
      </c>
      <c r="J480" t="s">
        <v>175</v>
      </c>
      <c r="K480" s="30">
        <v>43081</v>
      </c>
      <c r="L480" s="8">
        <v>43081.237442129626</v>
      </c>
      <c r="M480" s="21">
        <f>LEN(ProjTextTable[[#This Row],[text]])</f>
        <v>2299</v>
      </c>
      <c r="N480" s="21">
        <f>LEN(TRIM(CLEAN(SUBSTITUTE(ProjTextTable[[#This Row],[text]],CHAR(10)," "))))+1 - LEN(SUBSTITUTE(CLEAN(SUBSTITUTE(ProjTextTable[[#This Row],[text]],CHAR(10)," "))," ",""))</f>
        <v>317</v>
      </c>
      <c r="O480" t="s">
        <v>195</v>
      </c>
      <c r="P480" t="s">
        <v>1383</v>
      </c>
    </row>
    <row r="481" spans="1:16" x14ac:dyDescent="0.4">
      <c r="A481">
        <f t="shared" si="7"/>
        <v>72</v>
      </c>
      <c r="B481" t="s">
        <v>1379</v>
      </c>
      <c r="C481" t="s">
        <v>1380</v>
      </c>
      <c r="D481" t="s">
        <v>192</v>
      </c>
      <c r="E481" t="s">
        <v>654</v>
      </c>
      <c r="F481" t="s">
        <v>1266</v>
      </c>
      <c r="G481" t="s">
        <v>1267</v>
      </c>
      <c r="H481" t="s">
        <v>1268</v>
      </c>
      <c r="I481" t="s">
        <v>201</v>
      </c>
      <c r="J481" t="s">
        <v>175</v>
      </c>
      <c r="K481" s="30">
        <v>43081</v>
      </c>
      <c r="L481" s="8">
        <v>43081.438344907408</v>
      </c>
      <c r="M481" s="21">
        <f>LEN(ProjTextTable[[#This Row],[text]])</f>
        <v>2881</v>
      </c>
      <c r="N481" s="21">
        <f>LEN(TRIM(CLEAN(SUBSTITUTE(ProjTextTable[[#This Row],[text]],CHAR(10)," "))))+1 - LEN(SUBSTITUTE(CLEAN(SUBSTITUTE(ProjTextTable[[#This Row],[text]],CHAR(10)," "))," ",""))</f>
        <v>439</v>
      </c>
      <c r="O481" t="s">
        <v>198</v>
      </c>
      <c r="P481" t="s">
        <v>1384</v>
      </c>
    </row>
    <row r="482" spans="1:16" x14ac:dyDescent="0.4">
      <c r="A482">
        <f t="shared" si="7"/>
        <v>72</v>
      </c>
      <c r="B482" t="s">
        <v>1379</v>
      </c>
      <c r="C482" t="s">
        <v>1380</v>
      </c>
      <c r="D482" t="s">
        <v>192</v>
      </c>
      <c r="E482" t="s">
        <v>654</v>
      </c>
      <c r="F482" t="s">
        <v>1270</v>
      </c>
      <c r="G482" t="s">
        <v>1271</v>
      </c>
      <c r="H482" t="s">
        <v>1272</v>
      </c>
      <c r="I482" t="s">
        <v>201</v>
      </c>
      <c r="J482" t="s">
        <v>175</v>
      </c>
      <c r="K482" s="30">
        <v>43081</v>
      </c>
      <c r="L482" s="8">
        <v>43081.01494212963</v>
      </c>
      <c r="M482" s="21">
        <f>LEN(ProjTextTable[[#This Row],[text]])</f>
        <v>3500</v>
      </c>
      <c r="N482" s="21">
        <f>LEN(TRIM(CLEAN(SUBSTITUTE(ProjTextTable[[#This Row],[text]],CHAR(10)," "))))+1 - LEN(SUBSTITUTE(CLEAN(SUBSTITUTE(ProjTextTable[[#This Row],[text]],CHAR(10)," "))," ",""))</f>
        <v>536</v>
      </c>
      <c r="O482" t="s">
        <v>196</v>
      </c>
      <c r="P482" t="s">
        <v>1385</v>
      </c>
    </row>
    <row r="483" spans="1:16" x14ac:dyDescent="0.4">
      <c r="A483">
        <f t="shared" si="7"/>
        <v>72</v>
      </c>
      <c r="B483" t="s">
        <v>1379</v>
      </c>
      <c r="C483" t="s">
        <v>1380</v>
      </c>
      <c r="D483" t="s">
        <v>194</v>
      </c>
      <c r="E483" t="s">
        <v>654</v>
      </c>
      <c r="F483" t="s">
        <v>13</v>
      </c>
      <c r="G483" t="s">
        <v>13</v>
      </c>
      <c r="H483" t="s">
        <v>13</v>
      </c>
      <c r="K483" s="30"/>
      <c r="L483" s="8">
        <v>43006.043703703705</v>
      </c>
      <c r="M483" s="21">
        <f>LEN(ProjTextTable[[#This Row],[text]])</f>
        <v>4309</v>
      </c>
      <c r="N483" s="21">
        <f>LEN(TRIM(CLEAN(SUBSTITUTE(ProjTextTable[[#This Row],[text]],CHAR(10)," "))))+1 - LEN(SUBSTITUTE(CLEAN(SUBSTITUTE(ProjTextTable[[#This Row],[text]],CHAR(10)," "))," ",""))</f>
        <v>583</v>
      </c>
      <c r="O483" t="s">
        <v>13</v>
      </c>
      <c r="P483" t="s">
        <v>1386</v>
      </c>
    </row>
    <row r="484" spans="1:16" x14ac:dyDescent="0.4">
      <c r="A484">
        <f t="shared" si="7"/>
        <v>73</v>
      </c>
      <c r="B484" t="s">
        <v>1387</v>
      </c>
      <c r="C484" t="s">
        <v>1388</v>
      </c>
      <c r="D484" t="s">
        <v>533</v>
      </c>
      <c r="E484" t="s">
        <v>611</v>
      </c>
      <c r="F484" t="s">
        <v>1262</v>
      </c>
      <c r="G484" t="s">
        <v>1263</v>
      </c>
      <c r="H484" t="s">
        <v>539</v>
      </c>
      <c r="I484" t="s">
        <v>535</v>
      </c>
      <c r="J484" t="s">
        <v>545</v>
      </c>
      <c r="K484" s="30">
        <v>43080</v>
      </c>
      <c r="L484" s="8">
        <v>43081.631724537037</v>
      </c>
      <c r="M484" s="21">
        <f>LEN(ProjTextTable[[#This Row],[text]])</f>
        <v>5424</v>
      </c>
      <c r="N484" s="21">
        <f>LEN(TRIM(CLEAN(SUBSTITUTE(ProjTextTable[[#This Row],[text]],CHAR(10)," "))))+1 - LEN(SUBSTITUTE(CLEAN(SUBSTITUTE(ProjTextTable[[#This Row],[text]],CHAR(10)," "))," ",""))</f>
        <v>820</v>
      </c>
      <c r="O484" t="s">
        <v>540</v>
      </c>
      <c r="P484" t="s">
        <v>1389</v>
      </c>
    </row>
    <row r="485" spans="1:16" x14ac:dyDescent="0.4">
      <c r="A485">
        <f t="shared" si="7"/>
        <v>73</v>
      </c>
      <c r="B485" t="s">
        <v>1387</v>
      </c>
      <c r="C485" t="s">
        <v>1388</v>
      </c>
      <c r="D485" t="s">
        <v>192</v>
      </c>
      <c r="E485" t="s">
        <v>611</v>
      </c>
      <c r="F485" t="s">
        <v>1283</v>
      </c>
      <c r="G485" t="s">
        <v>1284</v>
      </c>
      <c r="H485" t="s">
        <v>1285</v>
      </c>
      <c r="I485" t="s">
        <v>201</v>
      </c>
      <c r="J485" t="s">
        <v>175</v>
      </c>
      <c r="K485" s="30">
        <v>43081</v>
      </c>
      <c r="L485" s="8">
        <v>43079.950520833336</v>
      </c>
      <c r="M485" s="21">
        <f>LEN(ProjTextTable[[#This Row],[text]])</f>
        <v>2152</v>
      </c>
      <c r="N485" s="21">
        <f>LEN(TRIM(CLEAN(SUBSTITUTE(ProjTextTable[[#This Row],[text]],CHAR(10)," "))))+1 - LEN(SUBSTITUTE(CLEAN(SUBSTITUTE(ProjTextTable[[#This Row],[text]],CHAR(10)," "))," ",""))</f>
        <v>313</v>
      </c>
      <c r="O485" t="s">
        <v>198</v>
      </c>
      <c r="P485" t="s">
        <v>1390</v>
      </c>
    </row>
    <row r="486" spans="1:16" x14ac:dyDescent="0.4">
      <c r="A486">
        <f t="shared" si="7"/>
        <v>73</v>
      </c>
      <c r="B486" t="s">
        <v>1387</v>
      </c>
      <c r="C486" t="s">
        <v>1388</v>
      </c>
      <c r="D486" t="s">
        <v>192</v>
      </c>
      <c r="E486" t="s">
        <v>611</v>
      </c>
      <c r="F486" t="s">
        <v>1287</v>
      </c>
      <c r="G486" t="s">
        <v>1031</v>
      </c>
      <c r="H486" t="s">
        <v>1288</v>
      </c>
      <c r="I486" t="s">
        <v>201</v>
      </c>
      <c r="J486" t="s">
        <v>175</v>
      </c>
      <c r="K486" s="30">
        <v>43081</v>
      </c>
      <c r="L486" s="8">
        <v>43080.119537037041</v>
      </c>
      <c r="M486" s="21">
        <f>LEN(ProjTextTable[[#This Row],[text]])</f>
        <v>3187</v>
      </c>
      <c r="N486" s="21">
        <f>LEN(TRIM(CLEAN(SUBSTITUTE(ProjTextTable[[#This Row],[text]],CHAR(10)," "))))+1 - LEN(SUBSTITUTE(CLEAN(SUBSTITUTE(ProjTextTable[[#This Row],[text]],CHAR(10)," "))," ",""))</f>
        <v>492</v>
      </c>
      <c r="O486" t="s">
        <v>196</v>
      </c>
      <c r="P486" t="s">
        <v>1391</v>
      </c>
    </row>
    <row r="487" spans="1:16" x14ac:dyDescent="0.4">
      <c r="A487">
        <f t="shared" si="7"/>
        <v>73</v>
      </c>
      <c r="B487" t="s">
        <v>1387</v>
      </c>
      <c r="C487" t="s">
        <v>1388</v>
      </c>
      <c r="D487" t="s">
        <v>192</v>
      </c>
      <c r="E487" t="s">
        <v>611</v>
      </c>
      <c r="F487" t="s">
        <v>1266</v>
      </c>
      <c r="G487" t="s">
        <v>1267</v>
      </c>
      <c r="H487" t="s">
        <v>1268</v>
      </c>
      <c r="I487" t="s">
        <v>201</v>
      </c>
      <c r="J487" t="s">
        <v>175</v>
      </c>
      <c r="K487" s="30">
        <v>43081</v>
      </c>
      <c r="L487" s="8">
        <v>43080.599953703706</v>
      </c>
      <c r="M487" s="21">
        <f>LEN(ProjTextTable[[#This Row],[text]])</f>
        <v>8340</v>
      </c>
      <c r="N487" s="21">
        <f>LEN(TRIM(CLEAN(SUBSTITUTE(ProjTextTable[[#This Row],[text]],CHAR(10)," "))))+1 - LEN(SUBSTITUTE(CLEAN(SUBSTITUTE(ProjTextTable[[#This Row],[text]],CHAR(10)," "))," ",""))</f>
        <v>1284</v>
      </c>
      <c r="O487" t="s">
        <v>196</v>
      </c>
      <c r="P487" t="s">
        <v>1392</v>
      </c>
    </row>
    <row r="488" spans="1:16" x14ac:dyDescent="0.4">
      <c r="A488">
        <f t="shared" si="7"/>
        <v>73</v>
      </c>
      <c r="B488" t="s">
        <v>1387</v>
      </c>
      <c r="C488" t="s">
        <v>1388</v>
      </c>
      <c r="D488" t="s">
        <v>192</v>
      </c>
      <c r="E488" t="s">
        <v>611</v>
      </c>
      <c r="F488" t="s">
        <v>1274</v>
      </c>
      <c r="G488" t="s">
        <v>1275</v>
      </c>
      <c r="H488" t="s">
        <v>1276</v>
      </c>
      <c r="I488" t="s">
        <v>201</v>
      </c>
      <c r="J488" t="s">
        <v>175</v>
      </c>
      <c r="K488" s="30">
        <v>43081</v>
      </c>
      <c r="L488" s="8">
        <v>43077.574918981481</v>
      </c>
      <c r="M488" s="21">
        <f>LEN(ProjTextTable[[#This Row],[text]])</f>
        <v>2423</v>
      </c>
      <c r="N488" s="21">
        <f>LEN(TRIM(CLEAN(SUBSTITUTE(ProjTextTable[[#This Row],[text]],CHAR(10)," "))))+1 - LEN(SUBSTITUTE(CLEAN(SUBSTITUTE(ProjTextTable[[#This Row],[text]],CHAR(10)," "))," ",""))</f>
        <v>374</v>
      </c>
      <c r="O488" t="s">
        <v>196</v>
      </c>
      <c r="P488" t="s">
        <v>1393</v>
      </c>
    </row>
    <row r="489" spans="1:16" x14ac:dyDescent="0.4">
      <c r="A489">
        <f t="shared" si="7"/>
        <v>73</v>
      </c>
      <c r="B489" t="s">
        <v>1387</v>
      </c>
      <c r="C489" t="s">
        <v>1388</v>
      </c>
      <c r="D489" t="s">
        <v>194</v>
      </c>
      <c r="E489" t="s">
        <v>611</v>
      </c>
      <c r="F489" t="s">
        <v>13</v>
      </c>
      <c r="G489" t="s">
        <v>13</v>
      </c>
      <c r="H489" t="s">
        <v>13</v>
      </c>
      <c r="K489" s="30"/>
      <c r="L489" s="8">
        <v>43006.043819444443</v>
      </c>
      <c r="M489" s="21">
        <f>LEN(ProjTextTable[[#This Row],[text]])</f>
        <v>4119</v>
      </c>
      <c r="N489" s="21">
        <f>LEN(TRIM(CLEAN(SUBSTITUTE(ProjTextTable[[#This Row],[text]],CHAR(10)," "))))+1 - LEN(SUBSTITUTE(CLEAN(SUBSTITUTE(ProjTextTable[[#This Row],[text]],CHAR(10)," "))," ",""))</f>
        <v>584</v>
      </c>
      <c r="O489" t="s">
        <v>13</v>
      </c>
      <c r="P489" t="s">
        <v>1394</v>
      </c>
    </row>
    <row r="490" spans="1:16" x14ac:dyDescent="0.4">
      <c r="A490">
        <f t="shared" si="7"/>
        <v>74</v>
      </c>
      <c r="B490" t="s">
        <v>1395</v>
      </c>
      <c r="C490" t="s">
        <v>1396</v>
      </c>
      <c r="D490" t="s">
        <v>533</v>
      </c>
      <c r="E490" t="s">
        <v>654</v>
      </c>
      <c r="F490" t="s">
        <v>1262</v>
      </c>
      <c r="G490" t="s">
        <v>1263</v>
      </c>
      <c r="H490" t="s">
        <v>543</v>
      </c>
      <c r="I490" t="s">
        <v>537</v>
      </c>
      <c r="J490" t="s">
        <v>537</v>
      </c>
      <c r="K490" s="30">
        <v>43080</v>
      </c>
      <c r="L490" s="8">
        <v>43081.623402777775</v>
      </c>
      <c r="M490" s="21">
        <f>LEN(ProjTextTable[[#This Row],[text]])</f>
        <v>4154</v>
      </c>
      <c r="N490" s="21">
        <f>LEN(TRIM(CLEAN(SUBSTITUTE(ProjTextTable[[#This Row],[text]],CHAR(10)," "))))+1 - LEN(SUBSTITUTE(CLEAN(SUBSTITUTE(ProjTextTable[[#This Row],[text]],CHAR(10)," "))," ",""))</f>
        <v>625</v>
      </c>
      <c r="O490" t="s">
        <v>544</v>
      </c>
      <c r="P490" t="s">
        <v>1397</v>
      </c>
    </row>
    <row r="491" spans="1:16" x14ac:dyDescent="0.4">
      <c r="A491">
        <f t="shared" si="7"/>
        <v>74</v>
      </c>
      <c r="B491" t="s">
        <v>1395</v>
      </c>
      <c r="C491" t="s">
        <v>1396</v>
      </c>
      <c r="D491" t="s">
        <v>192</v>
      </c>
      <c r="E491" t="s">
        <v>654</v>
      </c>
      <c r="F491" t="s">
        <v>521</v>
      </c>
      <c r="G491" t="s">
        <v>522</v>
      </c>
      <c r="H491" t="s">
        <v>523</v>
      </c>
      <c r="I491" t="s">
        <v>201</v>
      </c>
      <c r="J491" t="s">
        <v>175</v>
      </c>
      <c r="K491" s="30">
        <v>43081</v>
      </c>
      <c r="L491" s="8">
        <v>43080.080428240741</v>
      </c>
      <c r="M491" s="21">
        <f>LEN(ProjTextTable[[#This Row],[text]])</f>
        <v>3728</v>
      </c>
      <c r="N491" s="21">
        <f>LEN(TRIM(CLEAN(SUBSTITUTE(ProjTextTable[[#This Row],[text]],CHAR(10)," "))))+1 - LEN(SUBSTITUTE(CLEAN(SUBSTITUTE(ProjTextTable[[#This Row],[text]],CHAR(10)," "))," ",""))</f>
        <v>563</v>
      </c>
      <c r="O491" t="s">
        <v>196</v>
      </c>
      <c r="P491" t="s">
        <v>1398</v>
      </c>
    </row>
    <row r="492" spans="1:16" x14ac:dyDescent="0.4">
      <c r="A492">
        <f t="shared" si="7"/>
        <v>74</v>
      </c>
      <c r="B492" t="s">
        <v>1395</v>
      </c>
      <c r="C492" t="s">
        <v>1396</v>
      </c>
      <c r="D492" t="s">
        <v>192</v>
      </c>
      <c r="E492" t="s">
        <v>654</v>
      </c>
      <c r="F492" t="s">
        <v>1270</v>
      </c>
      <c r="G492" t="s">
        <v>1271</v>
      </c>
      <c r="H492" t="s">
        <v>1272</v>
      </c>
      <c r="I492" t="s">
        <v>201</v>
      </c>
      <c r="J492" t="s">
        <v>175</v>
      </c>
      <c r="K492" s="30">
        <v>43081</v>
      </c>
      <c r="L492" s="8">
        <v>43078.726284722223</v>
      </c>
      <c r="M492" s="21">
        <f>LEN(ProjTextTable[[#This Row],[text]])</f>
        <v>2293</v>
      </c>
      <c r="N492" s="21">
        <f>LEN(TRIM(CLEAN(SUBSTITUTE(ProjTextTable[[#This Row],[text]],CHAR(10)," "))))+1 - LEN(SUBSTITUTE(CLEAN(SUBSTITUTE(ProjTextTable[[#This Row],[text]],CHAR(10)," "))," ",""))</f>
        <v>364</v>
      </c>
      <c r="O492" t="s">
        <v>229</v>
      </c>
      <c r="P492" t="s">
        <v>1399</v>
      </c>
    </row>
    <row r="493" spans="1:16" x14ac:dyDescent="0.4">
      <c r="A493">
        <f t="shared" si="7"/>
        <v>74</v>
      </c>
      <c r="B493" t="s">
        <v>1395</v>
      </c>
      <c r="C493" t="s">
        <v>1396</v>
      </c>
      <c r="D493" t="s">
        <v>192</v>
      </c>
      <c r="E493" t="s">
        <v>654</v>
      </c>
      <c r="F493" t="s">
        <v>1274</v>
      </c>
      <c r="G493" t="s">
        <v>1275</v>
      </c>
      <c r="H493" t="s">
        <v>1276</v>
      </c>
      <c r="I493" t="s">
        <v>201</v>
      </c>
      <c r="J493" t="s">
        <v>175</v>
      </c>
      <c r="K493" s="30">
        <v>43081</v>
      </c>
      <c r="L493" s="8">
        <v>43077.405057870368</v>
      </c>
      <c r="M493" s="21">
        <f>LEN(ProjTextTable[[#This Row],[text]])</f>
        <v>2291</v>
      </c>
      <c r="N493" s="21">
        <f>LEN(TRIM(CLEAN(SUBSTITUTE(ProjTextTable[[#This Row],[text]],CHAR(10)," "))))+1 - LEN(SUBSTITUTE(CLEAN(SUBSTITUTE(ProjTextTable[[#This Row],[text]],CHAR(10)," "))," ",""))</f>
        <v>346</v>
      </c>
      <c r="O493" t="s">
        <v>229</v>
      </c>
      <c r="P493" t="s">
        <v>1400</v>
      </c>
    </row>
    <row r="494" spans="1:16" x14ac:dyDescent="0.4">
      <c r="A494">
        <f t="shared" si="7"/>
        <v>74</v>
      </c>
      <c r="B494" t="s">
        <v>1395</v>
      </c>
      <c r="C494" t="s">
        <v>1396</v>
      </c>
      <c r="D494" t="s">
        <v>192</v>
      </c>
      <c r="E494" t="s">
        <v>654</v>
      </c>
      <c r="F494" t="s">
        <v>1329</v>
      </c>
      <c r="G494" t="s">
        <v>1330</v>
      </c>
      <c r="H494" t="s">
        <v>1331</v>
      </c>
      <c r="I494" t="s">
        <v>175</v>
      </c>
      <c r="J494" t="s">
        <v>175</v>
      </c>
      <c r="K494" s="30">
        <v>43075</v>
      </c>
      <c r="L494" s="8">
        <v>43074.972592592596</v>
      </c>
      <c r="M494" s="21">
        <f>LEN(ProjTextTable[[#This Row],[text]])</f>
        <v>2556</v>
      </c>
      <c r="N494" s="21">
        <f>LEN(TRIM(CLEAN(SUBSTITUTE(ProjTextTable[[#This Row],[text]],CHAR(10)," "))))+1 - LEN(SUBSTITUTE(CLEAN(SUBSTITUTE(ProjTextTable[[#This Row],[text]],CHAR(10)," "))," ",""))</f>
        <v>399</v>
      </c>
      <c r="O494" t="s">
        <v>229</v>
      </c>
      <c r="P494" t="s">
        <v>1401</v>
      </c>
    </row>
    <row r="495" spans="1:16" x14ac:dyDescent="0.4">
      <c r="A495">
        <f t="shared" si="7"/>
        <v>74</v>
      </c>
      <c r="B495" t="s">
        <v>1395</v>
      </c>
      <c r="C495" t="s">
        <v>1396</v>
      </c>
      <c r="D495" t="s">
        <v>194</v>
      </c>
      <c r="E495" t="s">
        <v>654</v>
      </c>
      <c r="F495" t="s">
        <v>13</v>
      </c>
      <c r="G495" t="s">
        <v>13</v>
      </c>
      <c r="H495" t="s">
        <v>13</v>
      </c>
      <c r="K495" s="30"/>
      <c r="L495" s="8">
        <v>43006.043900462966</v>
      </c>
      <c r="M495" s="21">
        <f>LEN(ProjTextTable[[#This Row],[text]])</f>
        <v>3519</v>
      </c>
      <c r="N495" s="21">
        <f>LEN(TRIM(CLEAN(SUBSTITUTE(ProjTextTable[[#This Row],[text]],CHAR(10)," "))))+1 - LEN(SUBSTITUTE(CLEAN(SUBSTITUTE(ProjTextTable[[#This Row],[text]],CHAR(10)," "))," ",""))</f>
        <v>527</v>
      </c>
      <c r="O495" t="s">
        <v>13</v>
      </c>
      <c r="P495" t="s">
        <v>1402</v>
      </c>
    </row>
    <row r="496" spans="1:16" x14ac:dyDescent="0.4">
      <c r="A496">
        <f t="shared" si="7"/>
        <v>75</v>
      </c>
      <c r="B496" t="s">
        <v>1403</v>
      </c>
      <c r="C496" t="s">
        <v>1404</v>
      </c>
      <c r="D496" t="s">
        <v>533</v>
      </c>
      <c r="E496" t="s">
        <v>654</v>
      </c>
      <c r="F496" t="s">
        <v>1262</v>
      </c>
      <c r="G496" t="s">
        <v>1263</v>
      </c>
      <c r="H496" t="s">
        <v>539</v>
      </c>
      <c r="I496" t="s">
        <v>535</v>
      </c>
      <c r="J496" t="s">
        <v>538</v>
      </c>
      <c r="K496" s="30">
        <v>43080</v>
      </c>
      <c r="L496" s="8">
        <v>43081.623645833337</v>
      </c>
      <c r="M496" s="21">
        <f>LEN(ProjTextTable[[#This Row],[text]])</f>
        <v>3495</v>
      </c>
      <c r="N496" s="21">
        <f>LEN(TRIM(CLEAN(SUBSTITUTE(ProjTextTable[[#This Row],[text]],CHAR(10)," "))))+1 - LEN(SUBSTITUTE(CLEAN(SUBSTITUTE(ProjTextTable[[#This Row],[text]],CHAR(10)," "))," ",""))</f>
        <v>502</v>
      </c>
      <c r="O496" t="s">
        <v>540</v>
      </c>
      <c r="P496" t="s">
        <v>1405</v>
      </c>
    </row>
    <row r="497" spans="1:16" x14ac:dyDescent="0.4">
      <c r="A497">
        <f t="shared" si="7"/>
        <v>75</v>
      </c>
      <c r="B497" t="s">
        <v>1403</v>
      </c>
      <c r="C497" t="s">
        <v>1404</v>
      </c>
      <c r="D497" t="s">
        <v>192</v>
      </c>
      <c r="E497" t="s">
        <v>654</v>
      </c>
      <c r="F497" t="s">
        <v>1283</v>
      </c>
      <c r="G497" t="s">
        <v>1284</v>
      </c>
      <c r="H497" t="s">
        <v>1285</v>
      </c>
      <c r="I497" t="s">
        <v>201</v>
      </c>
      <c r="J497" t="s">
        <v>175</v>
      </c>
      <c r="K497" s="30">
        <v>43081</v>
      </c>
      <c r="L497" s="8">
        <v>43079.959131944444</v>
      </c>
      <c r="M497" s="21">
        <f>LEN(ProjTextTable[[#This Row],[text]])</f>
        <v>2935</v>
      </c>
      <c r="N497" s="21">
        <f>LEN(TRIM(CLEAN(SUBSTITUTE(ProjTextTable[[#This Row],[text]],CHAR(10)," "))))+1 - LEN(SUBSTITUTE(CLEAN(SUBSTITUTE(ProjTextTable[[#This Row],[text]],CHAR(10)," "))," ",""))</f>
        <v>442</v>
      </c>
      <c r="O497" t="s">
        <v>195</v>
      </c>
      <c r="P497" t="s">
        <v>1406</v>
      </c>
    </row>
    <row r="498" spans="1:16" x14ac:dyDescent="0.4">
      <c r="A498">
        <f t="shared" si="7"/>
        <v>75</v>
      </c>
      <c r="B498" t="s">
        <v>1403</v>
      </c>
      <c r="C498" t="s">
        <v>1404</v>
      </c>
      <c r="D498" t="s">
        <v>192</v>
      </c>
      <c r="E498" t="s">
        <v>654</v>
      </c>
      <c r="F498" t="s">
        <v>1308</v>
      </c>
      <c r="G498" t="s">
        <v>1065</v>
      </c>
      <c r="H498" t="s">
        <v>1309</v>
      </c>
      <c r="I498" t="s">
        <v>201</v>
      </c>
      <c r="J498" t="s">
        <v>175</v>
      </c>
      <c r="K498" s="30">
        <v>43081</v>
      </c>
      <c r="L498" s="8">
        <v>43080.380208333336</v>
      </c>
      <c r="M498" s="21">
        <f>LEN(ProjTextTable[[#This Row],[text]])</f>
        <v>4114</v>
      </c>
      <c r="N498" s="21">
        <f>LEN(TRIM(CLEAN(SUBSTITUTE(ProjTextTable[[#This Row],[text]],CHAR(10)," "))))+1 - LEN(SUBSTITUTE(CLEAN(SUBSTITUTE(ProjTextTable[[#This Row],[text]],CHAR(10)," "))," ",""))</f>
        <v>612</v>
      </c>
      <c r="O498" t="s">
        <v>195</v>
      </c>
      <c r="P498" t="s">
        <v>1407</v>
      </c>
    </row>
    <row r="499" spans="1:16" x14ac:dyDescent="0.4">
      <c r="A499">
        <f t="shared" si="7"/>
        <v>75</v>
      </c>
      <c r="B499" t="s">
        <v>1403</v>
      </c>
      <c r="C499" t="s">
        <v>1404</v>
      </c>
      <c r="D499" t="s">
        <v>192</v>
      </c>
      <c r="E499" t="s">
        <v>654</v>
      </c>
      <c r="F499" t="s">
        <v>1300</v>
      </c>
      <c r="G499" t="s">
        <v>1022</v>
      </c>
      <c r="H499" t="s">
        <v>1301</v>
      </c>
      <c r="I499" t="s">
        <v>201</v>
      </c>
      <c r="J499" t="s">
        <v>175</v>
      </c>
      <c r="K499" s="30">
        <v>43081</v>
      </c>
      <c r="L499" s="8">
        <v>43080.363333333335</v>
      </c>
      <c r="M499" s="21">
        <f>LEN(ProjTextTable[[#This Row],[text]])</f>
        <v>1574</v>
      </c>
      <c r="N499" s="21">
        <f>LEN(TRIM(CLEAN(SUBSTITUTE(ProjTextTable[[#This Row],[text]],CHAR(10)," "))))+1 - LEN(SUBSTITUTE(CLEAN(SUBSTITUTE(ProjTextTable[[#This Row],[text]],CHAR(10)," "))," ",""))</f>
        <v>232</v>
      </c>
      <c r="O499" t="s">
        <v>229</v>
      </c>
      <c r="P499" t="s">
        <v>1408</v>
      </c>
    </row>
    <row r="500" spans="1:16" x14ac:dyDescent="0.4">
      <c r="A500">
        <f t="shared" si="7"/>
        <v>75</v>
      </c>
      <c r="B500" t="s">
        <v>1403</v>
      </c>
      <c r="C500" t="s">
        <v>1404</v>
      </c>
      <c r="D500" t="s">
        <v>192</v>
      </c>
      <c r="E500" t="s">
        <v>654</v>
      </c>
      <c r="F500" t="s">
        <v>1270</v>
      </c>
      <c r="G500" t="s">
        <v>1271</v>
      </c>
      <c r="H500" t="s">
        <v>1272</v>
      </c>
      <c r="I500" t="s">
        <v>201</v>
      </c>
      <c r="J500" t="s">
        <v>175</v>
      </c>
      <c r="K500" s="30">
        <v>43081</v>
      </c>
      <c r="L500" s="8">
        <v>43078.907939814817</v>
      </c>
      <c r="M500" s="21">
        <f>LEN(ProjTextTable[[#This Row],[text]])</f>
        <v>2403</v>
      </c>
      <c r="N500" s="21">
        <f>LEN(TRIM(CLEAN(SUBSTITUTE(ProjTextTable[[#This Row],[text]],CHAR(10)," "))))+1 - LEN(SUBSTITUTE(CLEAN(SUBSTITUTE(ProjTextTable[[#This Row],[text]],CHAR(10)," "))," ",""))</f>
        <v>356</v>
      </c>
      <c r="O500" t="s">
        <v>196</v>
      </c>
      <c r="P500" t="s">
        <v>1409</v>
      </c>
    </row>
    <row r="501" spans="1:16" x14ac:dyDescent="0.4">
      <c r="A501">
        <f t="shared" si="7"/>
        <v>75</v>
      </c>
      <c r="B501" t="s">
        <v>1403</v>
      </c>
      <c r="C501" t="s">
        <v>1404</v>
      </c>
      <c r="D501" t="s">
        <v>194</v>
      </c>
      <c r="E501" t="s">
        <v>654</v>
      </c>
      <c r="F501" t="s">
        <v>13</v>
      </c>
      <c r="G501" t="s">
        <v>13</v>
      </c>
      <c r="H501" t="s">
        <v>13</v>
      </c>
      <c r="K501" s="30"/>
      <c r="L501" s="8">
        <v>43006.044039351851</v>
      </c>
      <c r="M501" s="21">
        <f>LEN(ProjTextTable[[#This Row],[text]])</f>
        <v>2916</v>
      </c>
      <c r="N501" s="21">
        <f>LEN(TRIM(CLEAN(SUBSTITUTE(ProjTextTable[[#This Row],[text]],CHAR(10)," "))))+1 - LEN(SUBSTITUTE(CLEAN(SUBSTITUTE(ProjTextTable[[#This Row],[text]],CHAR(10)," "))," ",""))</f>
        <v>397</v>
      </c>
      <c r="O501" t="s">
        <v>13</v>
      </c>
      <c r="P501" t="s">
        <v>1410</v>
      </c>
    </row>
    <row r="502" spans="1:16" x14ac:dyDescent="0.4">
      <c r="A502">
        <f t="shared" si="7"/>
        <v>76</v>
      </c>
      <c r="B502" t="s">
        <v>1411</v>
      </c>
      <c r="C502" t="s">
        <v>1412</v>
      </c>
      <c r="D502" t="s">
        <v>533</v>
      </c>
      <c r="E502" t="s">
        <v>1166</v>
      </c>
      <c r="F502" t="s">
        <v>1262</v>
      </c>
      <c r="G502" t="s">
        <v>1263</v>
      </c>
      <c r="H502" t="s">
        <v>541</v>
      </c>
      <c r="I502" t="s">
        <v>536</v>
      </c>
      <c r="J502" t="s">
        <v>1075</v>
      </c>
      <c r="K502" s="30">
        <v>43080</v>
      </c>
      <c r="L502" s="8">
        <v>43081.623854166668</v>
      </c>
      <c r="M502" s="21">
        <f>LEN(ProjTextTable[[#This Row],[text]])</f>
        <v>3488</v>
      </c>
      <c r="N502" s="21">
        <f>LEN(TRIM(CLEAN(SUBSTITUTE(ProjTextTable[[#This Row],[text]],CHAR(10)," "))))+1 - LEN(SUBSTITUTE(CLEAN(SUBSTITUTE(ProjTextTable[[#This Row],[text]],CHAR(10)," "))," ",""))</f>
        <v>515</v>
      </c>
      <c r="O502" t="s">
        <v>542</v>
      </c>
      <c r="P502" t="s">
        <v>1413</v>
      </c>
    </row>
    <row r="503" spans="1:16" x14ac:dyDescent="0.4">
      <c r="A503">
        <f t="shared" si="7"/>
        <v>76</v>
      </c>
      <c r="B503" t="s">
        <v>1411</v>
      </c>
      <c r="C503" t="s">
        <v>1412</v>
      </c>
      <c r="D503" t="s">
        <v>192</v>
      </c>
      <c r="E503" t="s">
        <v>1414</v>
      </c>
      <c r="F503" t="s">
        <v>1308</v>
      </c>
      <c r="G503" t="s">
        <v>1065</v>
      </c>
      <c r="H503" t="s">
        <v>1309</v>
      </c>
      <c r="I503" t="s">
        <v>201</v>
      </c>
      <c r="J503" t="s">
        <v>175</v>
      </c>
      <c r="K503" s="30">
        <v>43081</v>
      </c>
      <c r="L503" s="8">
        <v>43081.305254629631</v>
      </c>
      <c r="M503" s="21">
        <f>LEN(ProjTextTable[[#This Row],[text]])</f>
        <v>2935</v>
      </c>
      <c r="N503" s="21">
        <f>LEN(TRIM(CLEAN(SUBSTITUTE(ProjTextTable[[#This Row],[text]],CHAR(10)," "))))+1 - LEN(SUBSTITUTE(CLEAN(SUBSTITUTE(ProjTextTable[[#This Row],[text]],CHAR(10)," "))," ",""))</f>
        <v>469</v>
      </c>
      <c r="O503" t="s">
        <v>198</v>
      </c>
      <c r="P503" t="s">
        <v>1415</v>
      </c>
    </row>
    <row r="504" spans="1:16" x14ac:dyDescent="0.4">
      <c r="A504">
        <f t="shared" si="7"/>
        <v>76</v>
      </c>
      <c r="B504" t="s">
        <v>1411</v>
      </c>
      <c r="C504" t="s">
        <v>1412</v>
      </c>
      <c r="D504" t="s">
        <v>192</v>
      </c>
      <c r="E504" t="s">
        <v>1414</v>
      </c>
      <c r="F504" t="s">
        <v>1290</v>
      </c>
      <c r="G504" t="s">
        <v>1291</v>
      </c>
      <c r="H504" t="s">
        <v>1292</v>
      </c>
      <c r="I504" t="s">
        <v>201</v>
      </c>
      <c r="J504" t="s">
        <v>175</v>
      </c>
      <c r="K504" s="30">
        <v>43081</v>
      </c>
      <c r="L504" s="8">
        <v>43081.242893518516</v>
      </c>
      <c r="M504" s="21">
        <f>LEN(ProjTextTable[[#This Row],[text]])</f>
        <v>2021</v>
      </c>
      <c r="N504" s="21">
        <f>LEN(TRIM(CLEAN(SUBSTITUTE(ProjTextTable[[#This Row],[text]],CHAR(10)," "))))+1 - LEN(SUBSTITUTE(CLEAN(SUBSTITUTE(ProjTextTable[[#This Row],[text]],CHAR(10)," "))," ",""))</f>
        <v>294</v>
      </c>
      <c r="O504" t="s">
        <v>193</v>
      </c>
      <c r="P504" t="s">
        <v>1416</v>
      </c>
    </row>
    <row r="505" spans="1:16" x14ac:dyDescent="0.4">
      <c r="A505">
        <f t="shared" si="7"/>
        <v>76</v>
      </c>
      <c r="B505" t="s">
        <v>1411</v>
      </c>
      <c r="C505" t="s">
        <v>1412</v>
      </c>
      <c r="D505" t="s">
        <v>192</v>
      </c>
      <c r="E505" t="s">
        <v>1414</v>
      </c>
      <c r="F505" t="s">
        <v>1300</v>
      </c>
      <c r="G505" t="s">
        <v>1022</v>
      </c>
      <c r="H505" t="s">
        <v>1301</v>
      </c>
      <c r="I505" t="s">
        <v>201</v>
      </c>
      <c r="J505" t="s">
        <v>175</v>
      </c>
      <c r="K505" s="30">
        <v>43081</v>
      </c>
      <c r="L505" s="8">
        <v>43080.367199074077</v>
      </c>
      <c r="M505" s="21">
        <f>LEN(ProjTextTable[[#This Row],[text]])</f>
        <v>973</v>
      </c>
      <c r="N505" s="21">
        <f>LEN(TRIM(CLEAN(SUBSTITUTE(ProjTextTable[[#This Row],[text]],CHAR(10)," "))))+1 - LEN(SUBSTITUTE(CLEAN(SUBSTITUTE(ProjTextTable[[#This Row],[text]],CHAR(10)," "))," ",""))</f>
        <v>145</v>
      </c>
      <c r="O505" t="s">
        <v>193</v>
      </c>
      <c r="P505" t="s">
        <v>1417</v>
      </c>
    </row>
    <row r="506" spans="1:16" x14ac:dyDescent="0.4">
      <c r="A506">
        <f t="shared" si="7"/>
        <v>76</v>
      </c>
      <c r="B506" t="s">
        <v>1411</v>
      </c>
      <c r="C506" t="s">
        <v>1412</v>
      </c>
      <c r="D506" t="s">
        <v>192</v>
      </c>
      <c r="E506" t="s">
        <v>1414</v>
      </c>
      <c r="F506" t="s">
        <v>1270</v>
      </c>
      <c r="G506" t="s">
        <v>1271</v>
      </c>
      <c r="H506" t="s">
        <v>1272</v>
      </c>
      <c r="I506" t="s">
        <v>201</v>
      </c>
      <c r="J506" t="s">
        <v>175</v>
      </c>
      <c r="K506" s="30">
        <v>43081</v>
      </c>
      <c r="L506" s="8">
        <v>43078.867488425924</v>
      </c>
      <c r="M506" s="21">
        <f>LEN(ProjTextTable[[#This Row],[text]])</f>
        <v>2365</v>
      </c>
      <c r="N506" s="21">
        <f>LEN(TRIM(CLEAN(SUBSTITUTE(ProjTextTable[[#This Row],[text]],CHAR(10)," "))))+1 - LEN(SUBSTITUTE(CLEAN(SUBSTITUTE(ProjTextTable[[#This Row],[text]],CHAR(10)," "))," ",""))</f>
        <v>371</v>
      </c>
      <c r="O506" t="s">
        <v>193</v>
      </c>
      <c r="P506" t="s">
        <v>1418</v>
      </c>
    </row>
    <row r="507" spans="1:16" x14ac:dyDescent="0.4">
      <c r="A507">
        <f t="shared" si="7"/>
        <v>76</v>
      </c>
      <c r="B507" t="s">
        <v>1411</v>
      </c>
      <c r="C507" t="s">
        <v>1412</v>
      </c>
      <c r="D507" t="s">
        <v>194</v>
      </c>
      <c r="E507" t="s">
        <v>1166</v>
      </c>
      <c r="F507" t="s">
        <v>13</v>
      </c>
      <c r="G507" t="s">
        <v>13</v>
      </c>
      <c r="H507" t="s">
        <v>13</v>
      </c>
      <c r="K507" s="30"/>
      <c r="L507" s="8">
        <v>43006.04409722222</v>
      </c>
      <c r="M507" s="21">
        <f>LEN(ProjTextTable[[#This Row],[text]])</f>
        <v>3972</v>
      </c>
      <c r="N507" s="21">
        <f>LEN(TRIM(CLEAN(SUBSTITUTE(ProjTextTable[[#This Row],[text]],CHAR(10)," "))))+1 - LEN(SUBSTITUTE(CLEAN(SUBSTITUTE(ProjTextTable[[#This Row],[text]],CHAR(10)," "))," ",""))</f>
        <v>573</v>
      </c>
      <c r="O507" t="s">
        <v>13</v>
      </c>
      <c r="P507" t="s">
        <v>1419</v>
      </c>
    </row>
    <row r="508" spans="1:16" x14ac:dyDescent="0.4">
      <c r="A508">
        <f t="shared" si="7"/>
        <v>77</v>
      </c>
      <c r="B508" t="s">
        <v>1420</v>
      </c>
      <c r="C508" t="s">
        <v>1421</v>
      </c>
      <c r="D508" t="s">
        <v>533</v>
      </c>
      <c r="E508" t="s">
        <v>611</v>
      </c>
      <c r="F508" t="s">
        <v>1262</v>
      </c>
      <c r="G508" t="s">
        <v>1263</v>
      </c>
      <c r="H508" t="s">
        <v>546</v>
      </c>
      <c r="I508" t="s">
        <v>538</v>
      </c>
      <c r="J508" t="s">
        <v>1422</v>
      </c>
      <c r="K508" s="30">
        <v>43080</v>
      </c>
      <c r="L508" s="8">
        <v>43081.632118055553</v>
      </c>
      <c r="M508" s="21">
        <f>LEN(ProjTextTable[[#This Row],[text]])</f>
        <v>4105</v>
      </c>
      <c r="N508" s="21">
        <f>LEN(TRIM(CLEAN(SUBSTITUTE(ProjTextTable[[#This Row],[text]],CHAR(10)," "))))+1 - LEN(SUBSTITUTE(CLEAN(SUBSTITUTE(ProjTextTable[[#This Row],[text]],CHAR(10)," "))," ",""))</f>
        <v>581</v>
      </c>
      <c r="O508" t="s">
        <v>309</v>
      </c>
      <c r="P508" t="s">
        <v>1423</v>
      </c>
    </row>
    <row r="509" spans="1:16" x14ac:dyDescent="0.4">
      <c r="A509">
        <f t="shared" si="7"/>
        <v>77</v>
      </c>
      <c r="B509" t="s">
        <v>1420</v>
      </c>
      <c r="C509" t="s">
        <v>1421</v>
      </c>
      <c r="D509" t="s">
        <v>2</v>
      </c>
      <c r="E509" t="s">
        <v>611</v>
      </c>
      <c r="F509" t="s">
        <v>13</v>
      </c>
      <c r="G509" t="s">
        <v>609</v>
      </c>
      <c r="H509" t="s">
        <v>13</v>
      </c>
      <c r="I509" t="s">
        <v>13</v>
      </c>
      <c r="K509" s="30"/>
      <c r="L509" s="8">
        <v>43082.530312499999</v>
      </c>
      <c r="M509" s="21">
        <f>LEN(ProjTextTable[[#This Row],[text]])</f>
        <v>2056</v>
      </c>
      <c r="N509" s="21">
        <f>LEN(TRIM(CLEAN(SUBSTITUTE(ProjTextTable[[#This Row],[text]],CHAR(10)," "))))+1 - LEN(SUBSTITUTE(CLEAN(SUBSTITUTE(ProjTextTable[[#This Row],[text]],CHAR(10)," "))," ",""))</f>
        <v>302</v>
      </c>
      <c r="O509" t="s">
        <v>13</v>
      </c>
      <c r="P509" t="s">
        <v>1424</v>
      </c>
    </row>
    <row r="510" spans="1:16" x14ac:dyDescent="0.4">
      <c r="A510">
        <f t="shared" si="7"/>
        <v>77</v>
      </c>
      <c r="B510" t="s">
        <v>1420</v>
      </c>
      <c r="C510" t="s">
        <v>1421</v>
      </c>
      <c r="D510" t="s">
        <v>192</v>
      </c>
      <c r="E510" t="s">
        <v>611</v>
      </c>
      <c r="F510" t="s">
        <v>1283</v>
      </c>
      <c r="G510" t="s">
        <v>1284</v>
      </c>
      <c r="H510" t="s">
        <v>1285</v>
      </c>
      <c r="I510" t="s">
        <v>201</v>
      </c>
      <c r="J510" t="s">
        <v>175</v>
      </c>
      <c r="K510" s="30">
        <v>43081</v>
      </c>
      <c r="L510" s="8">
        <v>43079.956076388888</v>
      </c>
      <c r="M510" s="21">
        <f>LEN(ProjTextTable[[#This Row],[text]])</f>
        <v>2213</v>
      </c>
      <c r="N510" s="21">
        <f>LEN(TRIM(CLEAN(SUBSTITUTE(ProjTextTable[[#This Row],[text]],CHAR(10)," "))))+1 - LEN(SUBSTITUTE(CLEAN(SUBSTITUTE(ProjTextTable[[#This Row],[text]],CHAR(10)," "))," ",""))</f>
        <v>344</v>
      </c>
      <c r="O510" t="s">
        <v>193</v>
      </c>
      <c r="P510" t="s">
        <v>1425</v>
      </c>
    </row>
    <row r="511" spans="1:16" x14ac:dyDescent="0.4">
      <c r="A511">
        <f t="shared" si="7"/>
        <v>77</v>
      </c>
      <c r="B511" t="s">
        <v>1420</v>
      </c>
      <c r="C511" t="s">
        <v>1421</v>
      </c>
      <c r="D511" t="s">
        <v>192</v>
      </c>
      <c r="E511" t="s">
        <v>611</v>
      </c>
      <c r="F511" t="s">
        <v>1308</v>
      </c>
      <c r="G511" t="s">
        <v>1065</v>
      </c>
      <c r="H511" t="s">
        <v>1309</v>
      </c>
      <c r="I511" t="s">
        <v>201</v>
      </c>
      <c r="J511" t="s">
        <v>175</v>
      </c>
      <c r="K511" s="30">
        <v>43081</v>
      </c>
      <c r="L511" s="8">
        <v>43080.396932870368</v>
      </c>
      <c r="M511" s="21">
        <f>LEN(ProjTextTable[[#This Row],[text]])</f>
        <v>3710</v>
      </c>
      <c r="N511" s="21">
        <f>LEN(TRIM(CLEAN(SUBSTITUTE(ProjTextTable[[#This Row],[text]],CHAR(10)," "))))+1 - LEN(SUBSTITUTE(CLEAN(SUBSTITUTE(ProjTextTable[[#This Row],[text]],CHAR(10)," "))," ",""))</f>
        <v>558</v>
      </c>
      <c r="O511" t="s">
        <v>199</v>
      </c>
      <c r="P511" t="s">
        <v>1426</v>
      </c>
    </row>
    <row r="512" spans="1:16" x14ac:dyDescent="0.4">
      <c r="A512">
        <f t="shared" si="7"/>
        <v>77</v>
      </c>
      <c r="B512" t="s">
        <v>1420</v>
      </c>
      <c r="C512" t="s">
        <v>1421</v>
      </c>
      <c r="D512" t="s">
        <v>192</v>
      </c>
      <c r="E512" t="s">
        <v>611</v>
      </c>
      <c r="F512" t="s">
        <v>1290</v>
      </c>
      <c r="G512" t="s">
        <v>1291</v>
      </c>
      <c r="H512" t="s">
        <v>1292</v>
      </c>
      <c r="I512" t="s">
        <v>201</v>
      </c>
      <c r="J512" t="s">
        <v>175</v>
      </c>
      <c r="K512" s="30">
        <v>43081</v>
      </c>
      <c r="L512" s="8">
        <v>43081.243587962963</v>
      </c>
      <c r="M512" s="21">
        <f>LEN(ProjTextTable[[#This Row],[text]])</f>
        <v>3486</v>
      </c>
      <c r="N512" s="21">
        <f>LEN(TRIM(CLEAN(SUBSTITUTE(ProjTextTable[[#This Row],[text]],CHAR(10)," "))))+1 - LEN(SUBSTITUTE(CLEAN(SUBSTITUTE(ProjTextTable[[#This Row],[text]],CHAR(10)," "))," ",""))</f>
        <v>497</v>
      </c>
      <c r="O512" t="s">
        <v>197</v>
      </c>
      <c r="P512" t="s">
        <v>1427</v>
      </c>
    </row>
    <row r="513" spans="1:16" x14ac:dyDescent="0.4">
      <c r="A513">
        <f t="shared" si="7"/>
        <v>77</v>
      </c>
      <c r="B513" t="s">
        <v>1420</v>
      </c>
      <c r="C513" t="s">
        <v>1421</v>
      </c>
      <c r="D513" t="s">
        <v>192</v>
      </c>
      <c r="E513" t="s">
        <v>611</v>
      </c>
      <c r="F513" t="s">
        <v>1270</v>
      </c>
      <c r="G513" t="s">
        <v>1271</v>
      </c>
      <c r="H513" t="s">
        <v>1272</v>
      </c>
      <c r="I513" t="s">
        <v>201</v>
      </c>
      <c r="J513" t="s">
        <v>175</v>
      </c>
      <c r="K513" s="30">
        <v>43081</v>
      </c>
      <c r="L513" s="8">
        <v>43078.807430555556</v>
      </c>
      <c r="M513" s="21">
        <f>LEN(ProjTextTable[[#This Row],[text]])</f>
        <v>1467</v>
      </c>
      <c r="N513" s="21">
        <f>LEN(TRIM(CLEAN(SUBSTITUTE(ProjTextTable[[#This Row],[text]],CHAR(10)," "))))+1 - LEN(SUBSTITUTE(CLEAN(SUBSTITUTE(ProjTextTable[[#This Row],[text]],CHAR(10)," "))," ",""))</f>
        <v>219</v>
      </c>
      <c r="O513" t="s">
        <v>199</v>
      </c>
      <c r="P513" t="s">
        <v>1428</v>
      </c>
    </row>
    <row r="514" spans="1:16" x14ac:dyDescent="0.4">
      <c r="A514">
        <f t="shared" ref="A514" si="8">A513+(B514&lt;&gt;B513)</f>
        <v>77</v>
      </c>
      <c r="B514" t="s">
        <v>1420</v>
      </c>
      <c r="C514" t="s">
        <v>1421</v>
      </c>
      <c r="D514" t="s">
        <v>194</v>
      </c>
      <c r="E514" t="s">
        <v>611</v>
      </c>
      <c r="F514" t="s">
        <v>13</v>
      </c>
      <c r="G514" t="s">
        <v>13</v>
      </c>
      <c r="H514" t="s">
        <v>13</v>
      </c>
      <c r="K514" s="30"/>
      <c r="L514" s="8">
        <v>43006.044120370374</v>
      </c>
      <c r="M514" s="21">
        <f>LEN(ProjTextTable[[#This Row],[text]])</f>
        <v>3542</v>
      </c>
      <c r="N514" s="21">
        <f>LEN(TRIM(CLEAN(SUBSTITUTE(ProjTextTable[[#This Row],[text]],CHAR(10)," "))))+1 - LEN(SUBSTITUTE(CLEAN(SUBSTITUTE(ProjTextTable[[#This Row],[text]],CHAR(10)," "))," ",""))</f>
        <v>488</v>
      </c>
      <c r="O514" t="s">
        <v>13</v>
      </c>
      <c r="P514" t="s">
        <v>1429</v>
      </c>
    </row>
    <row r="515" spans="1:16" x14ac:dyDescent="0.4">
      <c r="B515" t="s">
        <v>200</v>
      </c>
      <c r="K515" s="30"/>
      <c r="M515"/>
      <c r="N515"/>
      <c r="P515">
        <f>SUBTOTAL(103,ProjTextTable[text])</f>
        <v>513</v>
      </c>
    </row>
  </sheetData>
  <conditionalFormatting sqref="A2:P514">
    <cfRule type="expression" dxfId="18"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39"/>
  <sheetViews>
    <sheetView zoomScale="80" zoomScaleNormal="80" workbookViewId="0">
      <selection activeCell="C34" sqref="C34"/>
    </sheetView>
  </sheetViews>
  <sheetFormatPr defaultColWidth="9.3046875" defaultRowHeight="14.6" x14ac:dyDescent="0.4"/>
  <cols>
    <col min="1" max="1" width="16.69140625" style="64" customWidth="1"/>
    <col min="2" max="2" width="16.53515625" style="64" customWidth="1"/>
    <col min="3" max="3" width="98.53515625" style="83" customWidth="1"/>
    <col min="4" max="4" width="23.3828125" style="62" customWidth="1"/>
    <col min="5" max="5" width="12" style="62" customWidth="1"/>
    <col min="6" max="16384" width="9.3046875" style="62"/>
  </cols>
  <sheetData>
    <row r="1" spans="1:5" x14ac:dyDescent="0.4">
      <c r="A1" s="64" t="s">
        <v>263</v>
      </c>
    </row>
    <row r="2" spans="1:5" x14ac:dyDescent="0.4">
      <c r="A2" s="65" t="s">
        <v>264</v>
      </c>
      <c r="B2" s="66" t="s">
        <v>265</v>
      </c>
    </row>
    <row r="3" spans="1:5" x14ac:dyDescent="0.4">
      <c r="A3" s="65" t="s">
        <v>266</v>
      </c>
      <c r="B3" s="67" t="s">
        <v>284</v>
      </c>
    </row>
    <row r="4" spans="1:5" x14ac:dyDescent="0.4">
      <c r="A4" s="64" t="s">
        <v>267</v>
      </c>
      <c r="B4" s="66" t="s">
        <v>268</v>
      </c>
    </row>
    <row r="5" spans="1:5" x14ac:dyDescent="0.4">
      <c r="A5" s="64" t="s">
        <v>269</v>
      </c>
      <c r="B5" s="66" t="s">
        <v>270</v>
      </c>
    </row>
    <row r="6" spans="1:5" x14ac:dyDescent="0.4">
      <c r="D6" s="62" t="s">
        <v>465</v>
      </c>
      <c r="E6" s="62">
        <v>2</v>
      </c>
    </row>
    <row r="7" spans="1:5" ht="15.9" x14ac:dyDescent="0.45">
      <c r="A7" s="68" t="s">
        <v>250</v>
      </c>
      <c r="B7" s="69" t="s">
        <v>251</v>
      </c>
      <c r="D7" s="116" t="s">
        <v>470</v>
      </c>
      <c r="E7" s="114" t="s">
        <v>468</v>
      </c>
    </row>
    <row r="8" spans="1:5" ht="15.9" x14ac:dyDescent="0.45">
      <c r="A8" s="70" t="s">
        <v>255</v>
      </c>
      <c r="B8" s="71"/>
      <c r="D8" s="116" t="s">
        <v>471</v>
      </c>
      <c r="E8" s="115" t="s">
        <v>466</v>
      </c>
    </row>
    <row r="9" spans="1:5" ht="15.9" x14ac:dyDescent="0.45">
      <c r="A9" s="70" t="s">
        <v>240</v>
      </c>
      <c r="B9" s="71"/>
      <c r="D9" s="116" t="s">
        <v>472</v>
      </c>
      <c r="E9" s="115" t="s">
        <v>467</v>
      </c>
    </row>
    <row r="10" spans="1:5" ht="15.9" x14ac:dyDescent="0.45">
      <c r="A10" s="70" t="s">
        <v>254</v>
      </c>
      <c r="B10" s="71"/>
      <c r="D10" s="116" t="s">
        <v>473</v>
      </c>
      <c r="E10" s="115" t="s">
        <v>469</v>
      </c>
    </row>
    <row r="11" spans="1:5" ht="15.9" x14ac:dyDescent="0.45">
      <c r="A11" s="70" t="s">
        <v>253</v>
      </c>
      <c r="B11" s="71"/>
      <c r="D11" s="116" t="s">
        <v>474</v>
      </c>
      <c r="E11" s="115" t="s">
        <v>464</v>
      </c>
    </row>
    <row r="12" spans="1:5" x14ac:dyDescent="0.4">
      <c r="A12" s="70" t="s">
        <v>252</v>
      </c>
      <c r="B12" s="71"/>
    </row>
    <row r="13" spans="1:5" x14ac:dyDescent="0.4">
      <c r="A13" s="70" t="s">
        <v>256</v>
      </c>
      <c r="B13" s="71"/>
    </row>
    <row r="14" spans="1:5" x14ac:dyDescent="0.4">
      <c r="A14" s="70" t="s">
        <v>257</v>
      </c>
      <c r="B14" s="71"/>
    </row>
    <row r="15" spans="1:5" x14ac:dyDescent="0.4">
      <c r="A15" s="70" t="s">
        <v>244</v>
      </c>
      <c r="B15" s="71"/>
    </row>
    <row r="16" spans="1:5" x14ac:dyDescent="0.4">
      <c r="A16" s="70" t="s">
        <v>247</v>
      </c>
      <c r="B16" s="71"/>
    </row>
    <row r="17" spans="1:5" x14ac:dyDescent="0.4">
      <c r="A17" s="72" t="s">
        <v>249</v>
      </c>
      <c r="B17" s="73"/>
      <c r="D17" s="88" t="s">
        <v>407</v>
      </c>
      <c r="E17" t="s">
        <v>444</v>
      </c>
    </row>
    <row r="18" spans="1:5" x14ac:dyDescent="0.4">
      <c r="D18" s="25" t="s">
        <v>13</v>
      </c>
      <c r="E18" s="21">
        <v>9</v>
      </c>
    </row>
    <row r="19" spans="1:5" x14ac:dyDescent="0.4">
      <c r="D19" s="25" t="s">
        <v>451</v>
      </c>
      <c r="E19" s="21">
        <v>1</v>
      </c>
    </row>
    <row r="20" spans="1:5" x14ac:dyDescent="0.4">
      <c r="D20" s="25" t="s">
        <v>481</v>
      </c>
      <c r="E20" s="21">
        <v>1</v>
      </c>
    </row>
    <row r="21" spans="1:5" x14ac:dyDescent="0.4">
      <c r="D21" s="25" t="s">
        <v>511</v>
      </c>
      <c r="E21" s="21">
        <v>2</v>
      </c>
    </row>
    <row r="22" spans="1:5" x14ac:dyDescent="0.4">
      <c r="D22" s="25" t="s">
        <v>512</v>
      </c>
      <c r="E22" s="21">
        <v>1</v>
      </c>
    </row>
    <row r="23" spans="1:5" x14ac:dyDescent="0.4">
      <c r="A23" s="74" t="s">
        <v>182</v>
      </c>
      <c r="B23" s="75" t="s">
        <v>271</v>
      </c>
      <c r="C23" s="84" t="s">
        <v>272</v>
      </c>
      <c r="D23" s="25" t="s">
        <v>513</v>
      </c>
      <c r="E23" s="21">
        <v>8</v>
      </c>
    </row>
    <row r="24" spans="1:5" ht="29.7" customHeight="1" x14ac:dyDescent="0.4">
      <c r="A24" s="64" t="s">
        <v>273</v>
      </c>
      <c r="B24" s="76">
        <v>43076.559108796297</v>
      </c>
      <c r="C24" s="85" t="s">
        <v>352</v>
      </c>
      <c r="D24" s="25" t="s">
        <v>405</v>
      </c>
      <c r="E24" s="21">
        <v>22</v>
      </c>
    </row>
    <row r="25" spans="1:5" ht="35.700000000000003" customHeight="1" x14ac:dyDescent="0.4">
      <c r="A25" s="64" t="s">
        <v>274</v>
      </c>
      <c r="B25" s="76">
        <v>43076.559108796297</v>
      </c>
      <c r="C25" s="85" t="s">
        <v>383</v>
      </c>
    </row>
    <row r="26" spans="1:5" ht="35.700000000000003" customHeight="1" x14ac:dyDescent="0.4">
      <c r="A26" s="64" t="s">
        <v>275</v>
      </c>
      <c r="B26" s="76">
        <v>43076.559108796297</v>
      </c>
      <c r="C26" s="85" t="s">
        <v>384</v>
      </c>
    </row>
    <row r="27" spans="1:5" ht="35.700000000000003" customHeight="1" x14ac:dyDescent="0.4">
      <c r="A27" s="64" t="s">
        <v>276</v>
      </c>
      <c r="B27" s="76">
        <v>43076.559108796297</v>
      </c>
      <c r="C27" s="85" t="s">
        <v>385</v>
      </c>
    </row>
    <row r="28" spans="1:5" ht="35.700000000000003" customHeight="1" x14ac:dyDescent="0.4">
      <c r="A28" s="64" t="s">
        <v>277</v>
      </c>
      <c r="B28" s="76">
        <v>43076.559108796297</v>
      </c>
      <c r="C28" s="85" t="s">
        <v>386</v>
      </c>
    </row>
    <row r="29" spans="1:5" ht="35.700000000000003" customHeight="1" x14ac:dyDescent="0.4">
      <c r="A29" s="64" t="s">
        <v>278</v>
      </c>
      <c r="B29" s="76">
        <v>43077.112500000003</v>
      </c>
      <c r="C29" s="85" t="s">
        <v>487</v>
      </c>
    </row>
    <row r="30" spans="1:5" ht="35.700000000000003" customHeight="1" x14ac:dyDescent="0.4">
      <c r="A30" s="64" t="s">
        <v>279</v>
      </c>
      <c r="B30" s="76">
        <v>43076.559108796297</v>
      </c>
      <c r="C30" s="85" t="s">
        <v>445</v>
      </c>
    </row>
    <row r="31" spans="1:5" ht="35.700000000000003" customHeight="1" x14ac:dyDescent="0.4">
      <c r="A31" s="64" t="s">
        <v>280</v>
      </c>
      <c r="B31" s="76">
        <v>43076.559108796297</v>
      </c>
      <c r="C31" s="85" t="s">
        <v>353</v>
      </c>
    </row>
    <row r="32" spans="1:5" ht="35.700000000000003" customHeight="1" x14ac:dyDescent="0.4">
      <c r="A32" s="64" t="s">
        <v>281</v>
      </c>
      <c r="B32" s="76">
        <v>43076.559108796297</v>
      </c>
      <c r="C32" s="85" t="s">
        <v>389</v>
      </c>
    </row>
    <row r="33" spans="1:3" ht="35.700000000000003" customHeight="1" x14ac:dyDescent="0.4">
      <c r="A33" s="64" t="s">
        <v>282</v>
      </c>
      <c r="B33" s="76">
        <v>43076.559108796297</v>
      </c>
      <c r="C33" s="85" t="s">
        <v>388</v>
      </c>
    </row>
    <row r="34" spans="1:3" ht="35.700000000000003" customHeight="1" x14ac:dyDescent="0.4">
      <c r="A34" s="64" t="s">
        <v>349</v>
      </c>
      <c r="B34" s="76">
        <v>43082.47148148148</v>
      </c>
      <c r="C34" s="85" t="s">
        <v>575</v>
      </c>
    </row>
    <row r="35" spans="1:3" ht="35.700000000000003" customHeight="1" x14ac:dyDescent="0.4">
      <c r="A35" s="64" t="s">
        <v>351</v>
      </c>
      <c r="B35" s="76">
        <v>43076.559108796297</v>
      </c>
      <c r="C35" s="85" t="s">
        <v>446</v>
      </c>
    </row>
    <row r="36" spans="1:3" ht="35.700000000000003" customHeight="1" x14ac:dyDescent="0.4">
      <c r="A36" s="64" t="s">
        <v>350</v>
      </c>
      <c r="B36" s="76">
        <v>43076.559108796297</v>
      </c>
      <c r="C36" s="85" t="s">
        <v>402</v>
      </c>
    </row>
    <row r="37" spans="1:3" ht="36" customHeight="1" x14ac:dyDescent="0.4">
      <c r="A37" s="64" t="s">
        <v>387</v>
      </c>
      <c r="B37" s="76">
        <v>43076.559108796297</v>
      </c>
      <c r="C37" s="85" t="s">
        <v>462</v>
      </c>
    </row>
    <row r="38" spans="1:3" ht="36" customHeight="1" x14ac:dyDescent="0.4">
      <c r="A38" s="64" t="s">
        <v>354</v>
      </c>
      <c r="B38" s="76">
        <v>43076.559108796297</v>
      </c>
      <c r="C38" s="85" t="s">
        <v>480</v>
      </c>
    </row>
    <row r="39" spans="1:3" ht="24.45" customHeight="1" x14ac:dyDescent="0.4">
      <c r="A39" s="64" t="s">
        <v>460</v>
      </c>
      <c r="B39" s="76">
        <v>43076.559108796297</v>
      </c>
      <c r="C39" s="85" t="s">
        <v>461</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602AF29-2074-4C67-B827-8D84F341BCB4}">
  <ds:schemaRefs>
    <ds:schemaRef ds:uri="http://schemas.microsoft.com/sharepoint/v3/contenttype/forms"/>
  </ds:schemaRefs>
</ds:datastoreItem>
</file>

<file path=customXml/itemProps2.xml><?xml version="1.0" encoding="utf-8"?>
<ds:datastoreItem xmlns:ds="http://schemas.openxmlformats.org/officeDocument/2006/customXml" ds:itemID="{2ADB11A6-7F28-4369-9B55-3636E52D10E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48</vt:i4>
      </vt:variant>
    </vt:vector>
  </HeadingPairs>
  <TitlesOfParts>
    <vt:vector size="58" baseType="lpstr">
      <vt:lpstr>RoboRA</vt:lpstr>
      <vt:lpstr>ckCoding</vt:lpstr>
      <vt:lpstr>ckAwd</vt:lpstr>
      <vt:lpstr>Budgets</vt:lpstr>
      <vt:lpstr>PRCs</vt:lpstr>
      <vt:lpstr>RAData</vt:lpstr>
      <vt:lpstr>Advanced</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PO_id</vt:lpstr>
      <vt:lpstr>prop_atr_code</vt:lpstr>
      <vt:lpstr>Advanced!prop_stts_code</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HiddenSettings!rpt_pwd</vt:lpstr>
      <vt:lpstr>select_prop_stts</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2017-12-15T13:05:55Z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#REF!</vt:lpwstr>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0x0101008EE06AAFA8F9984CAFC6287E16BADFE6</vt:lpwstr>
  </property>
</Properties>
</file>